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-02-2026 " sheetId="1" r:id="rId4"/>
    <sheet state="visible" name="03-02-2026 " sheetId="2" r:id="rId5"/>
    <sheet state="visible" name="04-02-2026 " sheetId="3" r:id="rId6"/>
    <sheet state="visible" name="05-02-2026 " sheetId="4" r:id="rId7"/>
    <sheet state="visible" name="06-02-2026 " sheetId="5" r:id="rId8"/>
    <sheet state="visible" name="09-02-2026 " sheetId="6" r:id="rId9"/>
    <sheet state="visible" name="10-02-2026 " sheetId="7" r:id="rId10"/>
    <sheet state="visible" name="11-02-2026 " sheetId="8" r:id="rId11"/>
    <sheet state="visible" name="12-02-2026 " sheetId="9" r:id="rId12"/>
    <sheet state="visible" name="13-02-2026 " sheetId="10" r:id="rId13"/>
    <sheet state="visible" name="17-02-2026 " sheetId="11" r:id="rId14"/>
    <sheet state="visible" name="18-02-2026 " sheetId="12" r:id="rId15"/>
    <sheet state="visible" name="19-02-2026 " sheetId="13" r:id="rId16"/>
    <sheet state="visible" name="20-02-2026 " sheetId="14" r:id="rId17"/>
    <sheet state="visible" name="23-02-2026 " sheetId="15" r:id="rId18"/>
    <sheet state="visible" name="24-02-2026 " sheetId="16" r:id="rId19"/>
    <sheet state="visible" name="25-02-2026 " sheetId="17" r:id="rId20"/>
    <sheet state="visible" name="26-02-2026 " sheetId="18" r:id="rId21"/>
    <sheet state="visible" name="REMITO c IVA" sheetId="19" r:id="rId22"/>
    <sheet state="visible" name="REMITO" sheetId="20" r:id="rId23"/>
    <sheet state="visible" name="CUENTAS CORRIENTES" sheetId="21" r:id="rId24"/>
    <sheet state="visible" name="CTA CTE" sheetId="22" r:id="rId25"/>
    <sheet state="visible" name="CTA CTE MESTIZOLAGUNA" sheetId="23" r:id="rId26"/>
    <sheet state="visible" name="JUAN COMISION" sheetId="24" r:id="rId27"/>
    <sheet state="visible" name="EXTRAS FV" sheetId="25" r:id="rId28"/>
    <sheet state="visible" name="CRECIMIENTO" sheetId="26" r:id="rId29"/>
    <sheet state="visible" name="CAJA MENSUAL" sheetId="27" r:id="rId30"/>
    <sheet state="visible" name="UTILIDAD" sheetId="28" r:id="rId31"/>
    <sheet state="visible" name="FIADO" sheetId="29" r:id="rId32"/>
    <sheet state="visible" name="ESTADO DE RESULTADO" sheetId="30" r:id="rId33"/>
    <sheet state="visible" name="Bdta Tierra &amp; Nonna" sheetId="31" r:id="rId34"/>
    <sheet state="visible" name="CHEQUES" sheetId="32" r:id="rId35"/>
    <sheet state="visible" name="RETIROS" sheetId="33" r:id="rId36"/>
    <sheet state="visible" name="IMPUESTOS" sheetId="34" r:id="rId37"/>
    <sheet state="visible" name="VACIOS" sheetId="35" r:id="rId38"/>
    <sheet state="visible" name="INVERSION " sheetId="36" r:id="rId39"/>
    <sheet state="visible" name="Conversión" sheetId="37" r:id="rId40"/>
    <sheet state="visible" name="Hoja2" sheetId="38" r:id="rId41"/>
    <sheet state="visible" name="Sheet50" sheetId="39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hidden="1" localSheetId="30" name="_xlnm._FilterDatabase">'Bdta Tierra &amp; Nonna'!$A$1:$C$13</definedName>
    <definedName hidden="1" localSheetId="31" name="_xlnm._FilterDatabase">CHEQUES!$A$4:$D$8</definedName>
  </definedNames>
  <calcPr/>
  <extLst>
    <ext uri="GoogleSheetsCustomDataVersion2">
      <go:sheetsCustomData xmlns:go="http://customooxmlschemas.google.com/" r:id="rId67" roundtripDataChecksum="74YdTHJRtQYp+C5gWziunRzYqQzWIrGMRqsjOZX5w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4">
      <text>
        <t xml:space="preserve">======
ID#AAAB0PJ1_Kc
Vegetales Argentinos    (2026-02-13 14:38:02)
310K EFECTIVO</t>
      </text>
    </comment>
    <comment authorId="0" ref="D95">
      <text>
        <t xml:space="preserve">======
ID#AAAB0PJ1_KY
Vegetales Argentinos    (2026-02-13 14:24:56)
HAY 350K TRANSFERIDOS QUE SON DEVOLUCION DE PLATA QUE PUSE</t>
      </text>
    </comment>
    <comment authorId="0" ref="B95">
      <text>
        <t xml:space="preserve">======
ID#AAABzVPjIo8
Vegetales Argentinos    (2026-02-03 22:18:05)
450k efectivo</t>
      </text>
    </comment>
  </commentList>
  <extLst>
    <ext uri="GoogleSheetsCustomDataVersion2">
      <go:sheetsCustomData xmlns:go="http://customooxmlschemas.google.com/" r:id="rId1" roundtripDataSignature="AMtx7mhSjdWybaKHorgnms6azSOy613JbA=="/>
    </ext>
  </extLst>
</comments>
</file>

<file path=xl/sharedStrings.xml><?xml version="1.0" encoding="utf-8"?>
<sst xmlns="http://schemas.openxmlformats.org/spreadsheetml/2006/main" count="9552" uniqueCount="729">
  <si>
    <t>FV</t>
  </si>
  <si>
    <t>rto: 223</t>
  </si>
  <si>
    <t>**</t>
  </si>
  <si>
    <t>COMPRA</t>
  </si>
  <si>
    <t>CANTIDAD</t>
  </si>
  <si>
    <t>UNIDAD</t>
  </si>
  <si>
    <t>PRODUCTO</t>
  </si>
  <si>
    <t>PRECIO</t>
  </si>
  <si>
    <t>TOTAL</t>
  </si>
  <si>
    <t>TOTAL + IVA</t>
  </si>
  <si>
    <t>DIFERENCIA</t>
  </si>
  <si>
    <t>ATADOS</t>
  </si>
  <si>
    <t>TOMILLO</t>
  </si>
  <si>
    <t xml:space="preserve"> </t>
  </si>
  <si>
    <t>ROMERO</t>
  </si>
  <si>
    <t>SALVIA</t>
  </si>
  <si>
    <t>ALBAHACA</t>
  </si>
  <si>
    <t>CEB VERDEO</t>
  </si>
  <si>
    <t>CAJON</t>
  </si>
  <si>
    <t>TOMATE REDONDO</t>
  </si>
  <si>
    <t>TOMATE CHERRY</t>
  </si>
  <si>
    <t>HUEVO</t>
  </si>
  <si>
    <t>ZUCCINI</t>
  </si>
  <si>
    <t>BERENJENA</t>
  </si>
  <si>
    <t>MORRON ROJO</t>
  </si>
  <si>
    <t>MORRON VERDE</t>
  </si>
  <si>
    <t>MORRON AMARILLO</t>
  </si>
  <si>
    <t>PAQUETES</t>
  </si>
  <si>
    <t>BROTE DE SOJA</t>
  </si>
  <si>
    <t>CAJA</t>
  </si>
  <si>
    <t>MANZANA GRANNY</t>
  </si>
  <si>
    <t>BANANA</t>
  </si>
  <si>
    <t>NARANJA FRIO</t>
  </si>
  <si>
    <t>KG</t>
  </si>
  <si>
    <t>SANDIA</t>
  </si>
  <si>
    <t>MELON BLANCO</t>
  </si>
  <si>
    <t>UVA RED GLOBE</t>
  </si>
  <si>
    <t xml:space="preserve">CAJA </t>
  </si>
  <si>
    <t>BOLSA</t>
  </si>
  <si>
    <t>NARANJA</t>
  </si>
  <si>
    <t>CAJÓN</t>
  </si>
  <si>
    <t>BOLSA PROPIA</t>
  </si>
  <si>
    <t>LUSQTOFF</t>
  </si>
  <si>
    <t>SEDE: IRALA</t>
  </si>
  <si>
    <t>rto: 1</t>
  </si>
  <si>
    <t>ANCO</t>
  </si>
  <si>
    <t>PAPA</t>
  </si>
  <si>
    <t>ZANAHORIA</t>
  </si>
  <si>
    <t>LECHUGA</t>
  </si>
  <si>
    <t>ZAPALLITOS</t>
  </si>
  <si>
    <t>ATADO</t>
  </si>
  <si>
    <t>RABANITOS</t>
  </si>
  <si>
    <t>HUEVO N2</t>
  </si>
  <si>
    <t>KIWI</t>
  </si>
  <si>
    <t>NARANJA DE JUGO</t>
  </si>
  <si>
    <t>BANANA ECUADOR</t>
  </si>
  <si>
    <t>PERA</t>
  </si>
  <si>
    <t>FRUTILLA</t>
  </si>
  <si>
    <t>UVA NEGRA</t>
  </si>
  <si>
    <t>S/COST</t>
  </si>
  <si>
    <t>Comisión Juan</t>
  </si>
  <si>
    <t>EVENTO</t>
  </si>
  <si>
    <t>rto: 2</t>
  </si>
  <si>
    <t>LEC CRIOLLA</t>
  </si>
  <si>
    <t>TOMATE PERITA</t>
  </si>
  <si>
    <t>RUCULA</t>
  </si>
  <si>
    <t>SEDE: MORENO</t>
  </si>
  <si>
    <t>CEBOLLA</t>
  </si>
  <si>
    <t>PEREJIL</t>
  </si>
  <si>
    <t>REMOLACHA</t>
  </si>
  <si>
    <t>RABANITO</t>
  </si>
  <si>
    <t>REP BLANCO</t>
  </si>
  <si>
    <t>LIMON</t>
  </si>
  <si>
    <t>AUPA</t>
  </si>
  <si>
    <t>rto: 4</t>
  </si>
  <si>
    <t>REMOLCHA</t>
  </si>
  <si>
    <t>ZAPALLITO</t>
  </si>
  <si>
    <t>ACELGA</t>
  </si>
  <si>
    <t>MANZANA ROJA</t>
  </si>
  <si>
    <t>REP COLOR</t>
  </si>
  <si>
    <t>PAULA CASERO</t>
  </si>
  <si>
    <t>rto: 8</t>
  </si>
  <si>
    <t>LEC MANTECOSA</t>
  </si>
  <si>
    <t>LA MARQUESA</t>
  </si>
  <si>
    <t>CUBETA</t>
  </si>
  <si>
    <t>ARANDANOS</t>
  </si>
  <si>
    <t>LIMA</t>
  </si>
  <si>
    <t>PALTA</t>
  </si>
  <si>
    <t>POMELO ROSADO</t>
  </si>
  <si>
    <t>PUERRO</t>
  </si>
  <si>
    <t>HAVANNA</t>
  </si>
  <si>
    <t>MORENO</t>
  </si>
  <si>
    <t>COLCAR</t>
  </si>
  <si>
    <t>LEC MANTECA</t>
  </si>
  <si>
    <t>PAQUETE</t>
  </si>
  <si>
    <t>BROCOLI</t>
  </si>
  <si>
    <t>ZANAHORIA CUBITO</t>
  </si>
  <si>
    <t>CHAMPIGNON</t>
  </si>
  <si>
    <t>REPOLLO COLORADO</t>
  </si>
  <si>
    <t>REPOLLO BLANCO</t>
  </si>
  <si>
    <t>LA PIADINA</t>
  </si>
  <si>
    <t>rto: 14</t>
  </si>
  <si>
    <t>LEC FRANCESA</t>
  </si>
  <si>
    <t>ESPINACA</t>
  </si>
  <si>
    <t>APIO</t>
  </si>
  <si>
    <t>CAFE MARTINEZ</t>
  </si>
  <si>
    <t>MORENO - GORRITI</t>
  </si>
  <si>
    <t xml:space="preserve">TOMATE </t>
  </si>
  <si>
    <t>MESTIZO</t>
  </si>
  <si>
    <t>rto: 9</t>
  </si>
  <si>
    <t>ALBAHCA</t>
  </si>
  <si>
    <t>TOM PERITA</t>
  </si>
  <si>
    <t>LEC FRACNESA</t>
  </si>
  <si>
    <t>LEC MORADA</t>
  </si>
  <si>
    <t>CEB MROADA</t>
  </si>
  <si>
    <t>COMO SIEMPRE LAGUNA</t>
  </si>
  <si>
    <t>rto: 26</t>
  </si>
  <si>
    <t>BONIATO</t>
  </si>
  <si>
    <t>MANGO</t>
  </si>
  <si>
    <t>POMELO</t>
  </si>
  <si>
    <t>TOTAL DIA</t>
  </si>
  <si>
    <t>GANANCIA</t>
  </si>
  <si>
    <t>Comision Juan</t>
  </si>
  <si>
    <t>%</t>
  </si>
  <si>
    <t>BULTOS COMPRADOS</t>
  </si>
  <si>
    <t>EFECTIVO</t>
  </si>
  <si>
    <t>MERCADO PAGO</t>
  </si>
  <si>
    <t>BANCO GALCIA</t>
  </si>
  <si>
    <t>BANCO RIO</t>
  </si>
  <si>
    <t>CHEQUES</t>
  </si>
  <si>
    <t>INGRESOS</t>
  </si>
  <si>
    <t>COBR. CTA. CTE</t>
  </si>
  <si>
    <t>RENDIMIENTO MP</t>
  </si>
  <si>
    <t>CHE ACREDITADO</t>
  </si>
  <si>
    <t>COBR. VACIOS</t>
  </si>
  <si>
    <t>PRESTAMOS</t>
  </si>
  <si>
    <t>IMP. CRED. 0,6%</t>
  </si>
  <si>
    <t>GASTOS</t>
  </si>
  <si>
    <t>ING. MERCADO</t>
  </si>
  <si>
    <t>CARGA / VACIOS</t>
  </si>
  <si>
    <t>CHEQ DEBITADO</t>
  </si>
  <si>
    <t>PEAJE</t>
  </si>
  <si>
    <t>MERCADERIA</t>
  </si>
  <si>
    <t>COMBUSTIBLE</t>
  </si>
  <si>
    <t>SUELDOS</t>
  </si>
  <si>
    <t>DEV. PRESTAMOS</t>
  </si>
  <si>
    <t>AGUA</t>
  </si>
  <si>
    <t>FLETE JUAN</t>
  </si>
  <si>
    <t>RETIRO JOAQUIN</t>
  </si>
  <si>
    <t>RETIRO FEDERICO</t>
  </si>
  <si>
    <t>ALQUILER LOCAL</t>
  </si>
  <si>
    <t>CONTADOR</t>
  </si>
  <si>
    <t>ACEITE/AGUA CHATA</t>
  </si>
  <si>
    <t>REMIS</t>
  </si>
  <si>
    <t>MECANICO</t>
  </si>
  <si>
    <t>BOLSAS/LIMPIEZA</t>
  </si>
  <si>
    <t>SEGURO LEO</t>
  </si>
  <si>
    <t>MONOTRIB. LEO</t>
  </si>
  <si>
    <t>IIBB CHEQUE</t>
  </si>
  <si>
    <t>IIBB</t>
  </si>
  <si>
    <t>IVA</t>
  </si>
  <si>
    <t>GANANCIAS</t>
  </si>
  <si>
    <t>MANT. CTA.</t>
  </si>
  <si>
    <t>IMP. DEB. 0,6%</t>
  </si>
  <si>
    <t>PASE DE CUENTAS</t>
  </si>
  <si>
    <t>TOTAL SALIDAS</t>
  </si>
  <si>
    <t>SALDOS</t>
  </si>
  <si>
    <t>fede</t>
  </si>
  <si>
    <t>joaquin</t>
  </si>
  <si>
    <t>FABRIC SUSHI - MORENO</t>
  </si>
  <si>
    <t>rto: 3</t>
  </si>
  <si>
    <t>CILANTRO</t>
  </si>
  <si>
    <t>CIBOULLETE</t>
  </si>
  <si>
    <t>ZAP LARGO</t>
  </si>
  <si>
    <t>CEBOLLA MORADA</t>
  </si>
  <si>
    <t xml:space="preserve">CEBOLLA </t>
  </si>
  <si>
    <t>AJO</t>
  </si>
  <si>
    <t>PEPINO</t>
  </si>
  <si>
    <t>TOMATE</t>
  </si>
  <si>
    <t>PAPA LAVADA</t>
  </si>
  <si>
    <t>BATATA</t>
  </si>
  <si>
    <t>BANDEJAS</t>
  </si>
  <si>
    <t>GIRGOLAS</t>
  </si>
  <si>
    <t>PORTOBELLO</t>
  </si>
  <si>
    <t>AJI PERUANO</t>
  </si>
  <si>
    <t>AJI ROCOTO</t>
  </si>
  <si>
    <t>AJI LIMO</t>
  </si>
  <si>
    <t>HONGOS DE PINO</t>
  </si>
  <si>
    <t>BROTES DE SOJA</t>
  </si>
  <si>
    <t>AJI PANKA ROJO</t>
  </si>
  <si>
    <t>S&amp;T CATERING</t>
  </si>
  <si>
    <t>ZAPALLITO LARGO</t>
  </si>
  <si>
    <t>ZAPALLITO REDONDO</t>
  </si>
  <si>
    <t>S/COSTO</t>
  </si>
  <si>
    <t>LECHUGA FRANCESA</t>
  </si>
  <si>
    <t>LECHUGA MORADA</t>
  </si>
  <si>
    <t>CHERRY</t>
  </si>
  <si>
    <t>RAKUS</t>
  </si>
  <si>
    <t>rto: 19</t>
  </si>
  <si>
    <t>CHAMPI</t>
  </si>
  <si>
    <t>ARANDANO</t>
  </si>
  <si>
    <t>DURAZNO</t>
  </si>
  <si>
    <t>TOM CHERRY</t>
  </si>
  <si>
    <t>TOM CHERRY AMA</t>
  </si>
  <si>
    <t>POMELO IMPORTADO</t>
  </si>
  <si>
    <t>MENTA</t>
  </si>
  <si>
    <t>BRASOV</t>
  </si>
  <si>
    <t>rto: 10</t>
  </si>
  <si>
    <t>BANDEJA</t>
  </si>
  <si>
    <t xml:space="preserve">TOM CHERRY </t>
  </si>
  <si>
    <t xml:space="preserve">ZANAHORIA </t>
  </si>
  <si>
    <t>MANZANA</t>
  </si>
  <si>
    <t>rto: 224</t>
  </si>
  <si>
    <t>CIRUELA</t>
  </si>
  <si>
    <t>PELON</t>
  </si>
  <si>
    <t>PALTA HASS</t>
  </si>
  <si>
    <t>MELON</t>
  </si>
  <si>
    <t>UVA blanca s/semilla</t>
  </si>
  <si>
    <t>bolsa</t>
  </si>
  <si>
    <t>bolsa propia</t>
  </si>
  <si>
    <t>rto: 15</t>
  </si>
  <si>
    <t>UVA</t>
  </si>
  <si>
    <t>HOGAR CARDALES</t>
  </si>
  <si>
    <t>rto: 5</t>
  </si>
  <si>
    <t>VERDU</t>
  </si>
  <si>
    <t>CHAUCHA</t>
  </si>
  <si>
    <t>PAPA CEPILLADA</t>
  </si>
  <si>
    <t>rto: 11</t>
  </si>
  <si>
    <t>MUNCHIS</t>
  </si>
  <si>
    <t>rto: 16</t>
  </si>
  <si>
    <t>COLEGIO SJCB - VIRREY DEL PINO 3299</t>
  </si>
  <si>
    <t>MAPLE</t>
  </si>
  <si>
    <t>MANZANA VERDE</t>
  </si>
  <si>
    <t>LECHUGA CRIOLLA</t>
  </si>
  <si>
    <t>COLEGIO ST CATHERINES MOORLANDS - CARBAJAL 3250</t>
  </si>
  <si>
    <t>CIBOULETTE</t>
  </si>
  <si>
    <t>CEBOLLA DE VERDEO</t>
  </si>
  <si>
    <t>NARANJA JUGO</t>
  </si>
  <si>
    <t>COLEGIO VILLA DEVOTO SCHOOL - PEDRO MORAN 4441</t>
  </si>
  <si>
    <t>CEBOLLA BLANCA</t>
  </si>
  <si>
    <t>REPOLLO MORADO</t>
  </si>
  <si>
    <t>CHOCLO</t>
  </si>
  <si>
    <t>BANANA PARAGUAY</t>
  </si>
  <si>
    <t>rto: 225</t>
  </si>
  <si>
    <t>CAFE MARTINEZ - CAAMAÑO</t>
  </si>
  <si>
    <t>FRUTILLA - ELEGIDA</t>
  </si>
  <si>
    <t>FRUTILLA - COMERCIAL</t>
  </si>
  <si>
    <t>PAPA GARLIC</t>
  </si>
  <si>
    <t>MARQUESA</t>
  </si>
  <si>
    <t>JENGIBRE</t>
  </si>
  <si>
    <t xml:space="preserve">PALTA </t>
  </si>
  <si>
    <t>SIN CARGO</t>
  </si>
  <si>
    <t>REPOLLO ROJO</t>
  </si>
  <si>
    <t>PAULA CASERO.</t>
  </si>
  <si>
    <t>LIMON COMERCIAL</t>
  </si>
  <si>
    <t>S/CARGO</t>
  </si>
  <si>
    <t xml:space="preserve">MELON </t>
  </si>
  <si>
    <t>rto: 27</t>
  </si>
  <si>
    <t>ROCOTO</t>
  </si>
  <si>
    <t>FLORES COMESTIBLES</t>
  </si>
  <si>
    <t>COSTO</t>
  </si>
  <si>
    <t>MORRÓN ROJO</t>
  </si>
  <si>
    <t>MORRÓN VERDE</t>
  </si>
  <si>
    <t>LECHUGA MANTECA</t>
  </si>
  <si>
    <t>rto: 226</t>
  </si>
  <si>
    <t>rto: 12</t>
  </si>
  <si>
    <t>FABRIC SUSHI</t>
  </si>
  <si>
    <t>GORRITI</t>
  </si>
  <si>
    <t>GIRGOLA</t>
  </si>
  <si>
    <t>JALAPEÑO ROJO</t>
  </si>
  <si>
    <t>JALAPEÑO VERDE</t>
  </si>
  <si>
    <t>ENELDO</t>
  </si>
  <si>
    <t>ZANAHORIA INDUSTRIAL</t>
  </si>
  <si>
    <t>rto: 28</t>
  </si>
  <si>
    <t>S/C</t>
  </si>
  <si>
    <t>rto: 17</t>
  </si>
  <si>
    <t>MANZANA ROJA ELEGIDA</t>
  </si>
  <si>
    <t>HUEVO N1</t>
  </si>
  <si>
    <t>MANDARINA</t>
  </si>
  <si>
    <t>CHAUCHA REDONDA</t>
  </si>
  <si>
    <t>rto: 227</t>
  </si>
  <si>
    <t>NARANJA JUGO COMERCIAL</t>
  </si>
  <si>
    <t>rto: 20</t>
  </si>
  <si>
    <t>NARANJA JUGO ELEGIDA</t>
  </si>
  <si>
    <t>rto: 228</t>
  </si>
  <si>
    <t>rto: 6</t>
  </si>
  <si>
    <t>REPOLLO</t>
  </si>
  <si>
    <t>CABUTIA</t>
  </si>
  <si>
    <t>CJAON</t>
  </si>
  <si>
    <t>COLIFLOR</t>
  </si>
  <si>
    <t>rto: 18</t>
  </si>
  <si>
    <t>rto: 21</t>
  </si>
  <si>
    <t>CUBETAS</t>
  </si>
  <si>
    <t>FRUTILLA GRANEL</t>
  </si>
  <si>
    <t>rto: 229</t>
  </si>
  <si>
    <t xml:space="preserve">BANANA </t>
  </si>
  <si>
    <t>rto: 13</t>
  </si>
  <si>
    <t>PALTA T.84</t>
  </si>
  <si>
    <t>PALTA T.70</t>
  </si>
  <si>
    <t>TOAMTE REDONDO</t>
  </si>
  <si>
    <t>PAULA</t>
  </si>
  <si>
    <t>HAVANNA MORENO</t>
  </si>
  <si>
    <t>NARANJA JUGO FRIO</t>
  </si>
  <si>
    <t>CEBOLLA COMUN</t>
  </si>
  <si>
    <t>MANZANA VERDE ELEGIDA</t>
  </si>
  <si>
    <t>PAPA BLANCA</t>
  </si>
  <si>
    <t>MORRÓN AMARILLO</t>
  </si>
  <si>
    <t>ZANAHORIA CUBITO ELEGIDA</t>
  </si>
  <si>
    <t>KALE</t>
  </si>
  <si>
    <t>COLEGIO ST. MATTHEWS - MOLDES 1469, BELGRANO</t>
  </si>
  <si>
    <t>BRÓCOLI</t>
  </si>
  <si>
    <t>COLEGIO BRICK TOWERS | DEL VISO</t>
  </si>
  <si>
    <t>CEBOLLA DE  VERDEO</t>
  </si>
  <si>
    <t>COLEGIO SAN JAVIER - JOSE A CABRERA 5901</t>
  </si>
  <si>
    <t>COLEGIO WASHINGTON - LACROZE 1973</t>
  </si>
  <si>
    <t>FABRIC SUSHI - GORRITI</t>
  </si>
  <si>
    <t>AJI PERUANO AMARILLO</t>
  </si>
  <si>
    <t>BROTE DE ALFALFA</t>
  </si>
  <si>
    <t>PORTOBELLOS</t>
  </si>
  <si>
    <t>RAKUS CAFE - PADUA</t>
  </si>
  <si>
    <t>rto: 22</t>
  </si>
  <si>
    <t>MANDARINA IMPORTADO</t>
  </si>
  <si>
    <t>rto:9</t>
  </si>
  <si>
    <t>NARANJA SIN SEMILLA</t>
  </si>
  <si>
    <t>NARANJA JUGO SIN SEMILLA</t>
  </si>
  <si>
    <t>rto: 29</t>
  </si>
  <si>
    <t>NARANJA DE JUGO COMERCIAL</t>
  </si>
  <si>
    <t>rto: 23</t>
  </si>
  <si>
    <t>s/c</t>
  </si>
  <si>
    <t>NARANJA DE JUGO SIN SEMILLA</t>
  </si>
  <si>
    <t>ESPIANCA</t>
  </si>
  <si>
    <t>CEBOLLON</t>
  </si>
  <si>
    <t>PIÑA</t>
  </si>
  <si>
    <t>rto: 30</t>
  </si>
  <si>
    <t>UNDIAD</t>
  </si>
  <si>
    <t>SAO MEDIALUNAS</t>
  </si>
  <si>
    <t>SEDE PILAR</t>
  </si>
  <si>
    <t>rto: 7</t>
  </si>
  <si>
    <t>BRUSELAS</t>
  </si>
  <si>
    <t>***</t>
  </si>
  <si>
    <t>MAPLES</t>
  </si>
  <si>
    <t>rto: 230</t>
  </si>
  <si>
    <t>NARNAJA JUGO</t>
  </si>
  <si>
    <t>SEDE: GORRITI</t>
  </si>
  <si>
    <t xml:space="preserve">COLEGIO SWORM JUNIOR COLLAGE | PACHECO </t>
  </si>
  <si>
    <t>ZAPALLITO VERDE</t>
  </si>
  <si>
    <t>NARANJA JUGO DE FRIO</t>
  </si>
  <si>
    <t>rto: 231</t>
  </si>
  <si>
    <t>DOCENA</t>
  </si>
  <si>
    <t>CHAUCHA PLANA</t>
  </si>
  <si>
    <t>MASTER COLLAGE (OHHIGINS)</t>
  </si>
  <si>
    <t xml:space="preserve">NARANJA DE JUGO </t>
  </si>
  <si>
    <t>COLEGIO SAN MARCOS | SAN ISIDRO</t>
  </si>
  <si>
    <t xml:space="preserve">REMOLACHA </t>
  </si>
  <si>
    <t>BERRO</t>
  </si>
  <si>
    <t>rto: 24</t>
  </si>
  <si>
    <t>NARANJA DE JUGO FRIO</t>
  </si>
  <si>
    <t>FRUTILLA TAMARA</t>
  </si>
  <si>
    <t>PALTA PROPAL</t>
  </si>
  <si>
    <t>rto: 31</t>
  </si>
  <si>
    <t>CEB MORADA</t>
  </si>
  <si>
    <t>LOCOTO</t>
  </si>
  <si>
    <t>ALUMNI</t>
  </si>
  <si>
    <t>JAULA</t>
  </si>
  <si>
    <t>23/2</t>
  </si>
  <si>
    <t>BROTE SOJA</t>
  </si>
  <si>
    <t>LA CANTINA</t>
  </si>
  <si>
    <t>REP ROJO</t>
  </si>
  <si>
    <t>MORRON</t>
  </si>
  <si>
    <t>COLEGIO ST. MATTHEWS | CAAMAÑO</t>
  </si>
  <si>
    <t>rto: 232</t>
  </si>
  <si>
    <t xml:space="preserve">ZANAHORIA CUBITO </t>
  </si>
  <si>
    <t>rto: 32</t>
  </si>
  <si>
    <t>MANANA VERDE</t>
  </si>
  <si>
    <t>rto: 25</t>
  </si>
  <si>
    <t>GRANADA</t>
  </si>
  <si>
    <t>rto: 233</t>
  </si>
  <si>
    <t>rto:5</t>
  </si>
  <si>
    <t>BANANA ECUANDOR</t>
  </si>
  <si>
    <t>NARANJA DE FRIO</t>
  </si>
  <si>
    <t xml:space="preserve">KALE </t>
  </si>
  <si>
    <t>HUENO NRO 1</t>
  </si>
  <si>
    <t>NARANJA DE JUGO DE FRIO</t>
  </si>
  <si>
    <t>25/02</t>
  </si>
  <si>
    <t>LE FRANCESA</t>
  </si>
  <si>
    <t>TOMTE REDONDO</t>
  </si>
  <si>
    <t>25/2</t>
  </si>
  <si>
    <t>rto: 234</t>
  </si>
  <si>
    <t>Remito</t>
  </si>
  <si>
    <t>Razón Social</t>
  </si>
  <si>
    <t>VEGETALES ARGENTINOS SRL</t>
  </si>
  <si>
    <t>CUIT</t>
  </si>
  <si>
    <t>30-71855184-2</t>
  </si>
  <si>
    <t>Teléfono</t>
  </si>
  <si>
    <t>11-7123-2459</t>
  </si>
  <si>
    <t>Remito Nº</t>
  </si>
  <si>
    <t>Fecha</t>
  </si>
  <si>
    <t>CLIENTE:</t>
  </si>
  <si>
    <t>RECIBI CONFORME</t>
  </si>
  <si>
    <t>FIRMA:</t>
  </si>
  <si>
    <t>18/02/2026</t>
  </si>
  <si>
    <t>SEDE GORRITI</t>
  </si>
  <si>
    <t>CLIENTE</t>
  </si>
  <si>
    <t>SALDOS DICIEMBRE</t>
  </si>
  <si>
    <t>FACTURACION</t>
  </si>
  <si>
    <t>COBRANZA</t>
  </si>
  <si>
    <t>RETENCIONES</t>
  </si>
  <si>
    <t>SALDO</t>
  </si>
  <si>
    <t>% del FIADO</t>
  </si>
  <si>
    <t>FERIADO CANTINA</t>
  </si>
  <si>
    <t>$  -</t>
  </si>
  <si>
    <t>A.U.P.A.</t>
  </si>
  <si>
    <t>TODO CASERITO</t>
  </si>
  <si>
    <t>PAULA CASEROS</t>
  </si>
  <si>
    <t>CONTADO</t>
  </si>
  <si>
    <t>LAS BRISAS</t>
  </si>
  <si>
    <t>HOGAR SAN MARINO</t>
  </si>
  <si>
    <t>HOWARD JOHNSON</t>
  </si>
  <si>
    <t>LENTAX S.R.L</t>
  </si>
  <si>
    <t>FV S.A.</t>
  </si>
  <si>
    <t>ROSSO RISTORANTE</t>
  </si>
  <si>
    <t>NORTH SIDE</t>
  </si>
  <si>
    <t>ONNEG</t>
  </si>
  <si>
    <t>COLEGIOS</t>
  </si>
  <si>
    <t>AL ESTRIBO</t>
  </si>
  <si>
    <t>PIO</t>
  </si>
  <si>
    <t>SAO MEDIALUNAS - PALMAS</t>
  </si>
  <si>
    <t>RAKUS CAFE</t>
  </si>
  <si>
    <t>FABRIC - MORENO</t>
  </si>
  <si>
    <t>HAVANA - MORENO</t>
  </si>
  <si>
    <t>LUSQTOFF - IRALA</t>
  </si>
  <si>
    <t>LUSQTOFF - MORENO</t>
  </si>
  <si>
    <t>CAFE MARTINEZ - MORENO CENTRO</t>
  </si>
  <si>
    <t>CAFE MARTINEZ - MORENO GORRITI</t>
  </si>
  <si>
    <t>VENTA ACUMULADA</t>
  </si>
  <si>
    <t>GANANCIA ACUMULADA BRUTA</t>
  </si>
  <si>
    <t>BULTOS</t>
  </si>
  <si>
    <t>1° SEMANA 02/02 - 06/02</t>
  </si>
  <si>
    <t>2° SEMANA 09/02 - 13/02</t>
  </si>
  <si>
    <t>3° SEMANA 16/02 - 20/02</t>
  </si>
  <si>
    <t>4° SEMANA 23/02 - 27/02</t>
  </si>
  <si>
    <t>BULTOS MES</t>
  </si>
  <si>
    <t>VENTA DEL MES</t>
  </si>
  <si>
    <t>PROMEDIO VENTA X DIA</t>
  </si>
  <si>
    <t>PROMEDIO GCIA X DIA</t>
  </si>
  <si>
    <t>CTA. CTE.</t>
  </si>
  <si>
    <t>13/02</t>
  </si>
  <si>
    <t>18/02</t>
  </si>
  <si>
    <t>20/02</t>
  </si>
  <si>
    <t>24/02</t>
  </si>
  <si>
    <t>31/10</t>
  </si>
  <si>
    <t>15/12</t>
  </si>
  <si>
    <t>26/01</t>
  </si>
  <si>
    <t>rto 7</t>
  </si>
  <si>
    <t>30/01</t>
  </si>
  <si>
    <t>rto 8</t>
  </si>
  <si>
    <t>16/01</t>
  </si>
  <si>
    <t>rto 9</t>
  </si>
  <si>
    <t>19/01</t>
  </si>
  <si>
    <t>rto 10</t>
  </si>
  <si>
    <t>23/01</t>
  </si>
  <si>
    <t>rto 11</t>
  </si>
  <si>
    <t>rto 12</t>
  </si>
  <si>
    <t>17/02</t>
  </si>
  <si>
    <t>rto 13</t>
  </si>
  <si>
    <t>rto 14</t>
  </si>
  <si>
    <t>23/02</t>
  </si>
  <si>
    <t>rto 15</t>
  </si>
  <si>
    <t>FEBRERO</t>
  </si>
  <si>
    <t>ENERO</t>
  </si>
  <si>
    <t>JUAN</t>
  </si>
  <si>
    <t>FACTURACION TOTAL</t>
  </si>
  <si>
    <t>COMISION 4%</t>
  </si>
  <si>
    <t>LUSQTOFF SEDE IRALA</t>
  </si>
  <si>
    <t>LUSQTOFF SEDE IRALA EVENTO</t>
  </si>
  <si>
    <t>LUSQTOFF SEDE MORENO</t>
  </si>
  <si>
    <t>TOTAL FACTURADO FEBRERO</t>
  </si>
  <si>
    <t>TOTAL COMISIONES FEBRERO</t>
  </si>
  <si>
    <t>DIVISION FV</t>
  </si>
  <si>
    <t>DIVISION FV + IVA + BOLSA PROPIA</t>
  </si>
  <si>
    <t>OCTUBRE</t>
  </si>
  <si>
    <t>A PAGAR C/U</t>
  </si>
  <si>
    <t>PAGO C/U</t>
  </si>
  <si>
    <t>HUEVOS</t>
  </si>
  <si>
    <t>26/12</t>
  </si>
  <si>
    <t>NOVIEMBRE</t>
  </si>
  <si>
    <t>28/01</t>
  </si>
  <si>
    <t>DICIEMBRE</t>
  </si>
  <si>
    <t>UVA SUPERIOR NACIONAL</t>
  </si>
  <si>
    <t>CIRUELA RED</t>
  </si>
  <si>
    <t>UVA BLANCA</t>
  </si>
  <si>
    <t>NARNAJA</t>
  </si>
  <si>
    <t>SUBTOTAL</t>
  </si>
  <si>
    <t>RET. IMP. GAN.</t>
  </si>
  <si>
    <t>RET IMP. IIBB</t>
  </si>
  <si>
    <t>RET. IMP. IVA</t>
  </si>
  <si>
    <t>IMP Cs y Ds</t>
  </si>
  <si>
    <t>DIVISION C/U</t>
  </si>
  <si>
    <t>VEGETALES</t>
  </si>
  <si>
    <t>MES</t>
  </si>
  <si>
    <t>% CRECIMIENTO MES</t>
  </si>
  <si>
    <t>JULIO</t>
  </si>
  <si>
    <t>BASE</t>
  </si>
  <si>
    <t>AGOSTO</t>
  </si>
  <si>
    <t>SEPTIEMBRE</t>
  </si>
  <si>
    <t>RECORD ANUAL</t>
  </si>
  <si>
    <t>% CRECIMIENTO</t>
  </si>
  <si>
    <t>MARZO</t>
  </si>
  <si>
    <t>ABRIL</t>
  </si>
  <si>
    <t>MAYO</t>
  </si>
  <si>
    <t>JUNIO</t>
  </si>
  <si>
    <t>ANUAL</t>
  </si>
  <si>
    <t>INGRESOS BRUTOS</t>
  </si>
  <si>
    <t>&lt;&lt;</t>
  </si>
  <si>
    <t>SUELDO LEO</t>
  </si>
  <si>
    <t>SUELDO JONATAN</t>
  </si>
  <si>
    <t>SUELDO CARLOS</t>
  </si>
  <si>
    <t>DEV PRESTAMO</t>
  </si>
  <si>
    <t>GASTOS FIJOS</t>
  </si>
  <si>
    <t>GASTOS VARIABLES</t>
  </si>
  <si>
    <t>GASTOS IMPUESTOS</t>
  </si>
  <si>
    <t>IMP. DEB/CRED 0,6%</t>
  </si>
  <si>
    <t>MOR. IIBB</t>
  </si>
  <si>
    <t>MOR. IVA</t>
  </si>
  <si>
    <t>FLETES JUAN</t>
  </si>
  <si>
    <t>GASTOS TOTALES</t>
  </si>
  <si>
    <t>GANANCIA ACUMULADA</t>
  </si>
  <si>
    <t>RESULTADO</t>
  </si>
  <si>
    <t>JCB</t>
  </si>
  <si>
    <t>RCH</t>
  </si>
  <si>
    <t>LOTO</t>
  </si>
  <si>
    <t>ROTELLI</t>
  </si>
  <si>
    <t>CRUZ</t>
  </si>
  <si>
    <t>OLIVER</t>
  </si>
  <si>
    <t>MP</t>
  </si>
  <si>
    <t>ECH</t>
  </si>
  <si>
    <t>VAC</t>
  </si>
  <si>
    <t>DESC</t>
  </si>
  <si>
    <t>EFT</t>
  </si>
  <si>
    <t>VAC+EFT</t>
  </si>
  <si>
    <t>FIADO TOTAL</t>
  </si>
  <si>
    <t xml:space="preserve">                CIERRE AL 28/02/2025</t>
  </si>
  <si>
    <t>EFECTIVO EN CAJA</t>
  </si>
  <si>
    <t>SALDO EN MERCADO PAGO</t>
  </si>
  <si>
    <t>EDENOR</t>
  </si>
  <si>
    <t>SALDO BANCO</t>
  </si>
  <si>
    <t>PROVEEDORES</t>
  </si>
  <si>
    <t>EXISTENCIA</t>
  </si>
  <si>
    <t>MORATORIA IIBB - AL</t>
  </si>
  <si>
    <t>CTAS CTES CLIENTES</t>
  </si>
  <si>
    <t>MORATORIA IVA - AL</t>
  </si>
  <si>
    <t>CHEQUES EN CARTERA</t>
  </si>
  <si>
    <t>VACIOS</t>
  </si>
  <si>
    <t>VALES A COBRAR</t>
  </si>
  <si>
    <t>INGRESOS COMPRAS JUNIO</t>
  </si>
  <si>
    <t>INGRESOS COMPRAS JULIO</t>
  </si>
  <si>
    <t>INGRESOS COMPRAS AGOSTO</t>
  </si>
  <si>
    <t>RETIROS ATRASADOS</t>
  </si>
  <si>
    <t>** EXISTENCIA **</t>
  </si>
  <si>
    <t>MORRON ROJO - 2KG</t>
  </si>
  <si>
    <t>TOM CHERRY - 4KG</t>
  </si>
  <si>
    <t>ZAP LARGO -6,5 KG</t>
  </si>
  <si>
    <t>MANZANA GRANNY 4 KG</t>
  </si>
  <si>
    <t>PIM VERDE - 2KG</t>
  </si>
  <si>
    <t>PIM AMARILLO -2KG</t>
  </si>
  <si>
    <t>MANZANA RED -5KG</t>
  </si>
  <si>
    <t>MEDIA PALTA</t>
  </si>
  <si>
    <t>AJO CAJA</t>
  </si>
  <si>
    <t>MEDIO TOMATE</t>
  </si>
  <si>
    <t>MEDIO ZAPALLITO</t>
  </si>
  <si>
    <t>TOM PERITA -4 KG</t>
  </si>
  <si>
    <t>MEDO LIMON</t>
  </si>
  <si>
    <t>MEDIO POMELO</t>
  </si>
  <si>
    <t>MEDIO DURAZNO</t>
  </si>
  <si>
    <t>Monto</t>
  </si>
  <si>
    <t>Proveedor</t>
  </si>
  <si>
    <t>Bendita Tierra SRL</t>
  </si>
  <si>
    <t>Nonna SRL</t>
  </si>
  <si>
    <t>CHEQUES EMITIOS</t>
  </si>
  <si>
    <t>CHEQUES A COBRAR</t>
  </si>
  <si>
    <t>EMISION</t>
  </si>
  <si>
    <t>DESTINATARIO</t>
  </si>
  <si>
    <t>VTO</t>
  </si>
  <si>
    <t>MONTO</t>
  </si>
  <si>
    <t>FECHA COBRO</t>
  </si>
  <si>
    <t>JCB RAICES</t>
  </si>
  <si>
    <t>TOTAL A CUBRIR</t>
  </si>
  <si>
    <t>TOTAL A COBRAR</t>
  </si>
  <si>
    <t>MARZO 2025</t>
  </si>
  <si>
    <t>FEDE</t>
  </si>
  <si>
    <t>31/3: $60.000 / 4/4: $140.000</t>
  </si>
  <si>
    <t>Joaquin prestamo USD</t>
  </si>
  <si>
    <t>JOAQUIN</t>
  </si>
  <si>
    <t>12/4: 75.000 / 23/4: $125.000</t>
  </si>
  <si>
    <t>2nd cuota Ducato</t>
  </si>
  <si>
    <t>16/5</t>
  </si>
  <si>
    <t>RETIRO PESOS</t>
  </si>
  <si>
    <t>28/5</t>
  </si>
  <si>
    <t>4/4: $60.000 / 13/4: $100.000 / 19/4: $40.000</t>
  </si>
  <si>
    <t>23/4: $20.000 / 26/4: $95.100 / 6/5: $15.000 / 22/5: $41.700 / 23/5: $12.500/ 16/6: $15.700</t>
  </si>
  <si>
    <t>RESTAN</t>
  </si>
  <si>
    <t>USD</t>
  </si>
  <si>
    <t>19/4: $60.000 / 26/4: $100.000 / 2/5: $20.000 / 3/5: $20.000</t>
  </si>
  <si>
    <t>16/6: $200.000</t>
  </si>
  <si>
    <t>CUOTA CAMIONETA</t>
  </si>
  <si>
    <t>3/5: $30.000 / 6/5: $50.000 / 7/5: $20.000 / 9/5: $50.000 / 10/5: $50.000</t>
  </si>
  <si>
    <t>3nd cuota Ducato</t>
  </si>
  <si>
    <t>18/6</t>
  </si>
  <si>
    <t>16/6: $37.500 / 8/7: $50.000 / 15/7: $20.000 / 22/7: $50.000 / 30/7: $29.000 / 15/9 $13.500</t>
  </si>
  <si>
    <t>ABRIL 2025</t>
  </si>
  <si>
    <t>10/5: $150.000 / 12/5: $50.000</t>
  </si>
  <si>
    <t>15/9: $200.000</t>
  </si>
  <si>
    <t>16/5 + 18/6</t>
  </si>
  <si>
    <t xml:space="preserve">RESTAN </t>
  </si>
  <si>
    <t>15/01/26</t>
  </si>
  <si>
    <t>17/5: $100.000 / 28/5: $50.000 / 29/5: $50.000</t>
  </si>
  <si>
    <t>15/9: $128.000 / 30/9: $72.000</t>
  </si>
  <si>
    <t>29/5: $50.000 / 31/5: $100.000 / 2/6: $16.000 / 6/6: $34.000</t>
  </si>
  <si>
    <t>30/9: $200.000</t>
  </si>
  <si>
    <t>6/6: $66.000 / 14/6: $134.000</t>
  </si>
  <si>
    <t>30/9: $28.000 / 2/10 $50.000 / 8/10: $100.000 / 5/11: $22.000</t>
  </si>
  <si>
    <t>MAYO 2025</t>
  </si>
  <si>
    <t>14/6: $16.000 / 21/6: $50.000 / 25/6: $100.000 / 27/6: $34.000</t>
  </si>
  <si>
    <t>5/11: $178.000 / 13/11: $20.000</t>
  </si>
  <si>
    <t>18/6: $200.000</t>
  </si>
  <si>
    <t>19/11: $100.000 / 28/11: $30.000 / 18/12: $70.000</t>
  </si>
  <si>
    <t>27/6: $26.000 / 28/6: $40.000 / 2/7: $50.000 / 3/7: $30.000 / 6/7: $50.000 / 12/7: $4000</t>
  </si>
  <si>
    <t xml:space="preserve">18/12: $80.000 / 24/12: $120.000 </t>
  </si>
  <si>
    <t>12/7: $96.000 / 15/7: $50.000 / 21/7: $50.000 / 27/7: $4000</t>
  </si>
  <si>
    <t>24/12: $80.000 / 3/1 $100.000 / 5/1:$20.000</t>
  </si>
  <si>
    <t>26/7: $50.000 / 27/7:$46.000 // 31/7: $104.000</t>
  </si>
  <si>
    <t>15/1: $200.000</t>
  </si>
  <si>
    <t>JUNIO 2025</t>
  </si>
  <si>
    <t>31/7: $44.000 5/8: $50.000 / 7/8:$20.000 / 14/8: $10.000 / 19/8: $20.000 + algo efect</t>
  </si>
  <si>
    <t>algun dia $200.000</t>
  </si>
  <si>
    <t>DEL 20/8 AL 15/01</t>
  </si>
  <si>
    <t xml:space="preserve">PENDIENTE JOAQUIN </t>
  </si>
  <si>
    <t>Dif retiros MP</t>
  </si>
  <si>
    <t>Dif retiros GALICIA</t>
  </si>
  <si>
    <t>Dif retiros total</t>
  </si>
  <si>
    <t>2890 usd (valor enero 2025)</t>
  </si>
  <si>
    <t xml:space="preserve">cheque </t>
  </si>
  <si>
    <t>13/02 (650.000)</t>
  </si>
  <si>
    <t>Dif Inversion</t>
  </si>
  <si>
    <t>:</t>
  </si>
  <si>
    <t>1600 usd (valor septiembre 2024)</t>
  </si>
  <si>
    <t>ducato</t>
  </si>
  <si>
    <t>total en usd cuotas</t>
  </si>
  <si>
    <t>2263 usd</t>
  </si>
  <si>
    <t>arreglo sprinter 3.4 m</t>
  </si>
  <si>
    <t>2345 usd</t>
  </si>
  <si>
    <t>total en usd</t>
  </si>
  <si>
    <t>9 CUOTAS DE 1000. (ABRIL A DICIEMBRE)</t>
  </si>
  <si>
    <t>cheque 30/1/2026</t>
  </si>
  <si>
    <t>usado</t>
  </si>
  <si>
    <t>partner</t>
  </si>
  <si>
    <t>cheque 28/2/2026</t>
  </si>
  <si>
    <t>cheque 31/3/2026</t>
  </si>
  <si>
    <t>cheque 30/4/2026</t>
  </si>
  <si>
    <t>cheque 31/5/2026</t>
  </si>
  <si>
    <t>cheque 30/6/2026</t>
  </si>
  <si>
    <t>RETIROS 16/01 A 31/01</t>
  </si>
  <si>
    <t>Fede</t>
  </si>
  <si>
    <t>Joaquin</t>
  </si>
  <si>
    <t>RETIROS FEBRERO</t>
  </si>
  <si>
    <t>RETIROS MARZO</t>
  </si>
  <si>
    <t>PLAN IIBB</t>
  </si>
  <si>
    <t>VALOR A PAGAR</t>
  </si>
  <si>
    <t>PAGO</t>
  </si>
  <si>
    <t>NO</t>
  </si>
  <si>
    <t>INTERESES</t>
  </si>
  <si>
    <t>BECCAR GALPON</t>
  </si>
  <si>
    <t>TOTAL VACIOS</t>
  </si>
  <si>
    <t>GALPON</t>
  </si>
  <si>
    <t>VALE</t>
  </si>
  <si>
    <t xml:space="preserve">TOTAL </t>
  </si>
  <si>
    <t>VEGETALES ARGENTINOS</t>
  </si>
  <si>
    <t>Total</t>
  </si>
  <si>
    <t>Federico</t>
  </si>
  <si>
    <t>*</t>
  </si>
  <si>
    <t>Escribania - Estatuto</t>
  </si>
  <si>
    <t>Seña de Local</t>
  </si>
  <si>
    <t>Edicto boletin oficial</t>
  </si>
  <si>
    <t>Saldo del contrato del local</t>
  </si>
  <si>
    <t>Contador - Alta impuestos</t>
  </si>
  <si>
    <t>Compras 24/06 - 28/06</t>
  </si>
  <si>
    <t>Compras 1/07 - 6/07</t>
  </si>
  <si>
    <t>Compras 8/07 - 12/07</t>
  </si>
  <si>
    <t>Compras 15/07 - 19/07</t>
  </si>
  <si>
    <t>Compras 05/08 - 09/08</t>
  </si>
  <si>
    <t>16/08</t>
  </si>
  <si>
    <t>3/9 al 10/9</t>
  </si>
  <si>
    <t>11/9 al 17/9</t>
  </si>
  <si>
    <t>17/9 al 30/9</t>
  </si>
  <si>
    <t xml:space="preserve">Diferencia de inversion inicial </t>
  </si>
  <si>
    <t>usd valor Sep 2024</t>
  </si>
  <si>
    <t>KG/UNIDAD</t>
  </si>
  <si>
    <t>BERENJENA NEGRA</t>
  </si>
  <si>
    <t>CHAUCHA ROLLIZA</t>
  </si>
  <si>
    <t>PIMIENTO AMARILLO</t>
  </si>
  <si>
    <t>PIMIENTO ROJO</t>
  </si>
  <si>
    <t>PIMIENTO VERDE</t>
  </si>
  <si>
    <t xml:space="preserve">PUERRO </t>
  </si>
  <si>
    <t>PAPA NEGRA CEPILLADA</t>
  </si>
  <si>
    <t>PAPA LAVADA PREMIUM</t>
  </si>
  <si>
    <t>ZANAHORIA INDUSTRIAL 19 KG</t>
  </si>
  <si>
    <t>CHAMPIGNON BANDEJA X 200 GR</t>
  </si>
  <si>
    <t>ZANAHORIA ELEGIDA CUBITO</t>
  </si>
  <si>
    <t>ZAPALLO ANCO COMUN</t>
  </si>
  <si>
    <t>PORTOBELLO x kilo</t>
  </si>
  <si>
    <t>ZAPALLO CABUTIA</t>
  </si>
  <si>
    <t>CIBOULLETE FRESCO</t>
  </si>
  <si>
    <t>CILANTRO FRESCO</t>
  </si>
  <si>
    <t>MENTA FRESCA</t>
  </si>
  <si>
    <t>ROMERO FRESCO</t>
  </si>
  <si>
    <t>TOMILLO FRESCO</t>
  </si>
  <si>
    <t>JENGIBRE X KG</t>
  </si>
  <si>
    <t>LIMA X KG</t>
  </si>
  <si>
    <t>HUEVO NRO 1</t>
  </si>
  <si>
    <t>HUEVO NRO 2</t>
  </si>
  <si>
    <t>MANZANA RED ELEGIDA</t>
  </si>
  <si>
    <t>MANZANA RED COMERCIAL</t>
  </si>
  <si>
    <t>PALTA BRASIL</t>
  </si>
  <si>
    <t>POMELO ELEGIDO</t>
  </si>
  <si>
    <t>UVA ROSADA S/SEMILLA BRASIL</t>
  </si>
  <si>
    <t>UVA NEGRA S/SEMILLA BRASIL</t>
  </si>
  <si>
    <t>saldo febrero</t>
  </si>
  <si>
    <t>ST CATERING</t>
  </si>
  <si>
    <t>AJI PICANTE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</si>
</sst>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-* #,##0.00\ _€_-;\-* #,##0.00\ _€_-;_-* &quot;-&quot;??\ _€_-;_-@"/>
    <numFmt numFmtId="165" formatCode="_ [$$-2C0A]\ * #,##0.00_ ;_ [$$-2C0A]\ * \-#,##0.00_ ;_ [$$-2C0A]\ * &quot;-&quot;??_ ;_ @_ "/>
    <numFmt numFmtId="166" formatCode="0.0%"/>
    <numFmt numFmtId="167" formatCode="_-&quot;$&quot;\ * #,##0.00_-;\-&quot;$&quot;\ * #,##0.00_-;_-&quot;$&quot;\ * &quot;-&quot;??_-;_-@"/>
    <numFmt numFmtId="168" formatCode="&quot;$&quot;#,##0.00"/>
    <numFmt numFmtId="169" formatCode="mm/dd"/>
    <numFmt numFmtId="170" formatCode="m/d"/>
    <numFmt numFmtId="171" formatCode="&quot;$&quot;#,##0"/>
    <numFmt numFmtId="172" formatCode="&quot;$&quot;\ #,##0.00"/>
    <numFmt numFmtId="173" formatCode="#,##0.00_ ;[Red]\-#,##0.00\ "/>
    <numFmt numFmtId="174" formatCode="_(&quot;$&quot;* #,##0.00_);_(&quot;$&quot;* \(#,##0.00\);_(&quot;$&quot;* &quot;-&quot;??_);_(@_)"/>
    <numFmt numFmtId="175" formatCode="d-mmm"/>
    <numFmt numFmtId="176" formatCode="_ [$$-2C0A]\ * #,##0_ ;_ [$$-2C0A]\ * \-#,##0_ ;_ [$$-2C0A]\ * &quot;-&quot;??_ ;_ @_ "/>
    <numFmt numFmtId="177" formatCode="_-[$$-2C0A]\ * #,##0.00_-;\-[$$-2C0A]\ * #,##0.00_-;_-[$$-2C0A]\ * &quot;-&quot;??_-;_-@"/>
  </numFmts>
  <fonts count="4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Calibri"/>
    </font>
    <font>
      <sz val="11.0"/>
      <color theme="1"/>
      <name val="Arial"/>
    </font>
    <font>
      <b/>
      <color theme="1"/>
      <name val="Aptos Narrow"/>
    </font>
    <font>
      <color theme="1"/>
      <name val="Aptos Narrow"/>
    </font>
    <font>
      <i/>
      <sz val="11.0"/>
      <color theme="1"/>
      <name val="Calibri"/>
    </font>
    <font>
      <b/>
      <sz val="16.0"/>
      <color theme="1"/>
      <name val="Calibri"/>
    </font>
    <font>
      <color theme="1"/>
      <name val="Arial"/>
    </font>
    <font>
      <b/>
      <sz val="14.0"/>
      <color theme="1"/>
      <name val="Calibri"/>
    </font>
    <font>
      <b/>
      <i/>
      <sz val="11.0"/>
      <color theme="1"/>
      <name val="Arial"/>
    </font>
    <font>
      <b/>
      <sz val="12.0"/>
      <color theme="1"/>
      <name val="Arial"/>
    </font>
    <font/>
    <font>
      <b/>
      <sz val="11.0"/>
      <color theme="1"/>
      <name val="Calibri"/>
    </font>
    <font>
      <b/>
      <i/>
      <sz val="11.0"/>
      <color rgb="FFFF0000"/>
      <name val="Calibri"/>
    </font>
    <font>
      <b/>
      <sz val="16.0"/>
      <color rgb="FFFFFFFF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ptos Narrow"/>
    </font>
    <font>
      <b/>
      <color theme="1"/>
      <name val="Calibri"/>
    </font>
    <font>
      <color theme="1"/>
      <name val="Aptos Narrow"/>
      <scheme val="minor"/>
    </font>
    <font>
      <u/>
      <sz val="11.0"/>
      <color theme="1"/>
      <name val="Calibri"/>
    </font>
    <font>
      <b/>
      <i/>
      <sz val="11.0"/>
      <color theme="1"/>
      <name val="Calibri"/>
    </font>
    <font>
      <b/>
      <color theme="1"/>
      <name val="Arial"/>
    </font>
    <font>
      <b/>
      <sz val="11.0"/>
      <color theme="1"/>
      <name val="Arial"/>
    </font>
    <font>
      <i/>
      <sz val="11.0"/>
      <color theme="1"/>
      <name val="Arial"/>
    </font>
    <font>
      <sz val="11.0"/>
      <color rgb="FFFF0000"/>
      <name val="Aptos Narrow"/>
    </font>
    <font>
      <b/>
      <sz val="11.0"/>
      <color theme="1"/>
      <name val="Aptos Narrow"/>
    </font>
    <font>
      <sz val="11.0"/>
      <color rgb="FF000000"/>
      <name val="Aptos Narrow"/>
    </font>
    <font>
      <sz val="11.0"/>
      <color rgb="FF000000"/>
      <name val="Arial"/>
    </font>
    <font>
      <sz val="11.0"/>
      <color rgb="FFFF0000"/>
      <name val="Arial"/>
    </font>
    <font>
      <b/>
      <sz val="11.0"/>
      <color rgb="FFFF0000"/>
      <name val="Arial"/>
    </font>
    <font>
      <color rgb="FFFF0000"/>
      <name val="Arial"/>
    </font>
    <font>
      <b/>
      <color rgb="FFFF0000"/>
      <name val="Arial"/>
    </font>
    <font>
      <color rgb="FF000000"/>
      <name val="Arial"/>
    </font>
    <font>
      <b/>
      <sz val="11.0"/>
      <color rgb="FFFF0000"/>
      <name val="Aptos Narrow"/>
    </font>
    <font>
      <color rgb="FFFF0000"/>
      <name val="Aptos Narrow"/>
    </font>
    <font>
      <sz val="18.0"/>
      <color theme="1"/>
      <name val="Calibri"/>
    </font>
    <font>
      <b/>
      <color theme="0"/>
      <name val="Arial"/>
    </font>
    <font>
      <sz val="11.0"/>
      <color rgb="FFFF0000"/>
      <name val="Calibri"/>
    </font>
    <font>
      <sz val="11.0"/>
      <color rgb="FF000000"/>
      <name val="Calibri"/>
    </font>
    <font>
      <sz val="12.0"/>
      <color theme="1"/>
      <name val="Arial"/>
    </font>
    <font>
      <b/>
      <color rgb="FFFFFFFF"/>
      <name val="Arial"/>
    </font>
    <font>
      <b/>
      <sz val="11.0"/>
      <color rgb="FFFFFFFF"/>
      <name val="Calibri"/>
    </font>
    <font>
      <b/>
      <sz val="15.0"/>
      <color theme="1"/>
      <name val="Calibri"/>
    </font>
    <font>
      <sz val="7.0"/>
      <color theme="1"/>
      <name val="Aptos Narrow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CCFFCC"/>
        <bgColor rgb="FFCCFFCC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8AB242"/>
        <bgColor rgb="FF8AB242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B8CCE4"/>
        <bgColor rgb="FFB8CCE4"/>
      </patternFill>
    </fill>
    <fill>
      <patternFill patternType="solid">
        <fgColor rgb="FFFFCC99"/>
        <bgColor rgb="FFFFCC99"/>
      </patternFill>
    </fill>
    <fill>
      <patternFill patternType="solid">
        <fgColor rgb="FF64951E"/>
        <bgColor rgb="FF64951E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</fills>
  <borders count="89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C2809"/>
      </top>
    </border>
    <border>
      <right style="medium">
        <color rgb="FF000000"/>
      </right>
      <top style="medium">
        <color rgb="FF0C2809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medium">
        <color rgb="FF0C2809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C2809"/>
      </bottom>
    </border>
    <border>
      <top style="medium">
        <color rgb="FF000000"/>
      </top>
      <bottom style="medium">
        <color rgb="FF0C2809"/>
      </bottom>
    </border>
    <border>
      <left style="medium">
        <color rgb="FF0C2809"/>
      </left>
      <right style="medium">
        <color rgb="FF000000"/>
      </right>
      <top style="medium">
        <color rgb="FF000000"/>
      </top>
      <bottom style="medium">
        <color rgb="FF0C2809"/>
      </bottom>
    </border>
    <border>
      <left style="medium">
        <color rgb="FF000000"/>
      </left>
      <right style="medium">
        <color rgb="FF000000"/>
      </right>
      <bottom style="medium">
        <color rgb="FF0C2809"/>
      </bottom>
    </border>
    <border>
      <left style="medium">
        <color rgb="FF000000"/>
      </left>
      <top style="medium">
        <color rgb="FF0C2809"/>
      </top>
      <bottom style="medium">
        <color rgb="FF0C2809"/>
      </bottom>
    </border>
    <border>
      <top style="medium">
        <color rgb="FF0C2809"/>
      </top>
      <bottom style="medium">
        <color rgb="FF0C2809"/>
      </bottom>
    </border>
    <border>
      <left style="medium">
        <color rgb="FF0C2809"/>
      </left>
      <right style="medium">
        <color rgb="FF0C2809"/>
      </right>
      <top style="medium">
        <color rgb="FF0C2809"/>
      </top>
      <bottom style="medium">
        <color rgb="FF0C2809"/>
      </bottom>
    </border>
    <border>
      <right style="medium">
        <color rgb="FF000000"/>
      </right>
      <top style="medium">
        <color rgb="FF0C2809"/>
      </top>
      <bottom style="medium">
        <color rgb="FF0C2809"/>
      </bottom>
    </border>
    <border>
      <left style="medium">
        <color rgb="FF000000"/>
      </left>
      <bottom style="medium">
        <color rgb="FF0C2809"/>
      </bottom>
    </border>
    <border>
      <bottom style="medium">
        <color rgb="FF0C2809"/>
      </bottom>
    </border>
    <border>
      <left style="medium">
        <color rgb="FF000000"/>
      </left>
      <right style="medium">
        <color rgb="FF0C2809"/>
      </right>
      <bottom style="medium">
        <color rgb="FF0C2809"/>
      </bottom>
    </border>
    <border>
      <left style="medium">
        <color rgb="FF000000"/>
      </left>
      <right style="medium">
        <color rgb="FF000000"/>
      </right>
      <top style="medium">
        <color rgb="FF0C2809"/>
      </top>
      <bottom style="medium">
        <color rgb="FF0C2809"/>
      </bottom>
    </border>
    <border>
      <left style="medium">
        <color rgb="FF000000"/>
      </left>
      <right style="medium">
        <color rgb="FF0C2809"/>
      </right>
      <top style="medium">
        <color rgb="FF0C2809"/>
      </top>
      <bottom style="medium">
        <color rgb="FF0C2809"/>
      </bottom>
    </border>
    <border>
      <left style="medium">
        <color rgb="FF0C2809"/>
      </left>
      <right style="medium">
        <color rgb="FF000000"/>
      </right>
      <top style="medium">
        <color rgb="FF0C2809"/>
      </top>
      <bottom style="medium">
        <color rgb="FF0C2809"/>
      </bottom>
    </border>
    <border>
      <left style="medium">
        <color rgb="FF0C2809"/>
      </left>
      <right style="medium">
        <color rgb="FF000000"/>
      </right>
      <top style="medium">
        <color rgb="FF0C2809"/>
      </top>
    </border>
    <border>
      <left style="medium">
        <color rgb="FF000000"/>
      </left>
      <top style="medium">
        <color rgb="FF0C2809"/>
      </top>
      <bottom style="medium">
        <color rgb="FF000000"/>
      </bottom>
    </border>
    <border>
      <top style="medium">
        <color rgb="FF0C2809"/>
      </top>
      <bottom style="medium">
        <color rgb="FF000000"/>
      </bottom>
    </border>
    <border>
      <left style="medium">
        <color rgb="FF0C2809"/>
      </left>
      <right style="medium">
        <color rgb="FF000000"/>
      </right>
      <top style="medium">
        <color rgb="FF0C2809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0C2809"/>
      </left>
      <top style="medium">
        <color rgb="FF0C2809"/>
      </top>
      <bottom style="medium">
        <color rgb="FF0C2809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</border>
    <border>
      <right style="medium">
        <color rgb="FFFFFFFF"/>
      </right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</borders>
  <cellStyleXfs count="1">
    <xf borderId="0" fillId="0" fontId="0" numFmtId="0" applyAlignment="1" applyFont="1"/>
  </cellStyleXfs>
  <cellXfs count="64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16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center" vertical="bottom"/>
    </xf>
    <xf borderId="0" fillId="0" fontId="1" numFmtId="16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5" xfId="0" applyFont="1" applyNumberFormat="1"/>
    <xf borderId="0" fillId="0" fontId="2" numFmtId="164" xfId="0" applyAlignment="1" applyFont="1" applyNumberFormat="1">
      <alignment horizontal="right"/>
    </xf>
    <xf borderId="0" fillId="0" fontId="2" numFmtId="0" xfId="0" applyFont="1"/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164" xfId="0" applyFont="1" applyNumberFormat="1"/>
    <xf borderId="0" fillId="0" fontId="5" numFmtId="165" xfId="0" applyFont="1" applyNumberFormat="1"/>
    <xf borderId="0" fillId="0" fontId="2" numFmtId="165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vertical="bottom"/>
    </xf>
    <xf borderId="0" fillId="0" fontId="2" numFmtId="164" xfId="0" applyFont="1" applyNumberFormat="1"/>
    <xf borderId="0" fillId="0" fontId="1" numFmtId="165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6" numFmtId="164" xfId="0" applyAlignment="1" applyFont="1" applyNumberFormat="1">
      <alignment vertical="bottom"/>
    </xf>
    <xf borderId="0" fillId="0" fontId="2" numFmtId="0" xfId="0" applyAlignment="1" applyFont="1">
      <alignment horizontal="right"/>
    </xf>
    <xf borderId="0" fillId="0" fontId="7" numFmtId="164" xfId="0" applyAlignment="1" applyFont="1" applyNumberForma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8" numFmtId="0" xfId="0" applyFont="1"/>
    <xf borderId="0" fillId="0" fontId="1" numFmtId="10" xfId="0" applyFont="1" applyNumberFormat="1"/>
    <xf borderId="0" fillId="0" fontId="1" numFmtId="0" xfId="0" applyFont="1"/>
    <xf borderId="0" fillId="0" fontId="2" numFmtId="10" xfId="0" applyAlignment="1" applyFont="1" applyNumberFormat="1">
      <alignment horizontal="right"/>
    </xf>
    <xf borderId="0" fillId="0" fontId="3" numFmtId="165" xfId="0" applyFont="1" applyNumberFormat="1"/>
    <xf borderId="0" fillId="0" fontId="6" numFmtId="164" xfId="0" applyFont="1" applyNumberFormat="1"/>
    <xf borderId="0" fillId="0" fontId="9" numFmtId="164" xfId="0" applyAlignment="1" applyFont="1" applyNumberForma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7" numFmtId="166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/>
    </xf>
    <xf borderId="1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5" fillId="0" fontId="12" numFmtId="0" xfId="0" applyBorder="1" applyFont="1"/>
    <xf borderId="3" fillId="0" fontId="2" numFmtId="167" xfId="0" applyAlignment="1" applyBorder="1" applyFont="1" applyNumberFormat="1">
      <alignment horizontal="center" vertical="bottom"/>
    </xf>
    <xf borderId="3" fillId="0" fontId="2" numFmtId="167" xfId="0" applyBorder="1" applyFont="1" applyNumberFormat="1"/>
    <xf borderId="0" fillId="0" fontId="1" numFmtId="167" xfId="0" applyAlignment="1" applyFont="1" applyNumberFormat="1">
      <alignment vertical="bottom"/>
    </xf>
    <xf borderId="4" fillId="0" fontId="12" numFmtId="0" xfId="0" applyBorder="1" applyFont="1"/>
    <xf borderId="6" fillId="0" fontId="12" numFmtId="0" xfId="0" applyBorder="1" applyFont="1"/>
    <xf borderId="0" fillId="0" fontId="2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/>
    </xf>
    <xf borderId="3" fillId="0" fontId="2" numFmtId="164" xfId="0" applyAlignment="1" applyBorder="1" applyFont="1" applyNumberFormat="1">
      <alignment horizontal="right" vertical="bottom"/>
    </xf>
    <xf borderId="4" fillId="0" fontId="2" numFmtId="167" xfId="0" applyAlignment="1" applyBorder="1" applyFont="1" applyNumberFormat="1">
      <alignment horizontal="center" vertical="bottom"/>
    </xf>
    <xf borderId="4" fillId="0" fontId="2" numFmtId="167" xfId="0" applyAlignment="1" applyBorder="1" applyFont="1" applyNumberFormat="1">
      <alignment horizontal="center"/>
    </xf>
    <xf borderId="6" fillId="0" fontId="2" numFmtId="167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horizontal="right" vertical="top"/>
    </xf>
    <xf borderId="0" fillId="0" fontId="1" numFmtId="167" xfId="0" applyAlignment="1" applyFont="1" applyNumberFormat="1">
      <alignment vertical="top"/>
    </xf>
    <xf borderId="0" fillId="0" fontId="1" numFmtId="164" xfId="0" applyFont="1" applyNumberFormat="1"/>
    <xf borderId="0" fillId="0" fontId="3" numFmtId="0" xfId="0" applyFont="1"/>
    <xf borderId="3" fillId="0" fontId="2" numFmtId="164" xfId="0" applyAlignment="1" applyBorder="1" applyFont="1" applyNumberFormat="1">
      <alignment horizontal="right"/>
    </xf>
    <xf borderId="4" fillId="0" fontId="2" numFmtId="167" xfId="0" applyAlignment="1" applyBorder="1" applyFont="1" applyNumberFormat="1">
      <alignment horizontal="right"/>
    </xf>
    <xf borderId="6" fillId="0" fontId="1" numFmtId="167" xfId="0" applyBorder="1" applyFont="1" applyNumberFormat="1"/>
    <xf borderId="3" fillId="0" fontId="13" numFmtId="167" xfId="0" applyAlignment="1" applyBorder="1" applyFont="1" applyNumberFormat="1">
      <alignment horizontal="center"/>
    </xf>
    <xf borderId="4" fillId="0" fontId="13" numFmtId="167" xfId="0" applyAlignment="1" applyBorder="1" applyFont="1" applyNumberFormat="1">
      <alignment horizontal="center"/>
    </xf>
    <xf borderId="7" fillId="2" fontId="13" numFmtId="167" xfId="0" applyAlignment="1" applyBorder="1" applyFill="1" applyFont="1" applyNumberFormat="1">
      <alignment horizontal="center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3" fillId="0" fontId="1" numFmtId="164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4" fillId="0" fontId="1" numFmtId="165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vertical="bottom"/>
    </xf>
    <xf borderId="4" fillId="0" fontId="1" numFmtId="167" xfId="0" applyAlignment="1" applyBorder="1" applyFont="1" applyNumberFormat="1">
      <alignment vertical="bottom"/>
    </xf>
    <xf borderId="6" fillId="0" fontId="1" numFmtId="167" xfId="0" applyAlignment="1" applyBorder="1" applyFont="1" applyNumberFormat="1">
      <alignment vertical="bottom"/>
    </xf>
    <xf borderId="7" fillId="2" fontId="1" numFmtId="167" xfId="0" applyAlignment="1" applyBorder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16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14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165" xfId="0" applyAlignment="1" applyFont="1" applyNumberFormat="1">
      <alignment readingOrder="0"/>
    </xf>
    <xf borderId="0" fillId="0" fontId="9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/>
    </xf>
    <xf borderId="0" fillId="0" fontId="8" numFmtId="165" xfId="0" applyAlignment="1" applyFont="1" applyNumberFormat="1">
      <alignment vertical="bottom"/>
    </xf>
    <xf borderId="0" fillId="0" fontId="8" numFmtId="10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10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1" numFmtId="168" xfId="0" applyAlignment="1" applyFont="1" applyNumberFormat="1">
      <alignment vertical="bottom"/>
    </xf>
    <xf borderId="0" fillId="0" fontId="13" numFmtId="10" xfId="0" applyAlignment="1" applyFont="1" applyNumberFormat="1">
      <alignment horizontal="right"/>
    </xf>
    <xf borderId="0" fillId="3" fontId="2" numFmtId="10" xfId="0" applyAlignment="1" applyFill="1" applyFont="1" applyNumberFormat="1">
      <alignment horizontal="right"/>
    </xf>
    <xf borderId="0" fillId="2" fontId="2" numFmtId="10" xfId="0" applyAlignment="1" applyFont="1" applyNumberFormat="1">
      <alignment horizontal="right"/>
    </xf>
    <xf borderId="0" fillId="0" fontId="8" numFmtId="165" xfId="0" applyAlignment="1" applyFont="1" applyNumberFormat="1">
      <alignment readingOrder="0" vertical="bottom"/>
    </xf>
    <xf borderId="0" fillId="0" fontId="6" numFmtId="164" xfId="0" applyAlignment="1" applyFont="1" applyNumberFormat="1">
      <alignment readingOrder="0"/>
    </xf>
    <xf borderId="0" fillId="3" fontId="13" numFmtId="10" xfId="0" applyAlignment="1" applyFont="1" applyNumberFormat="1">
      <alignment horizontal="right"/>
    </xf>
    <xf borderId="0" fillId="0" fontId="13" numFmtId="10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 vertical="bottom"/>
    </xf>
    <xf borderId="0" fillId="0" fontId="1" numFmtId="10" xfId="0" applyAlignment="1" applyFont="1" applyNumberFormat="1">
      <alignment vertical="bottom"/>
    </xf>
    <xf borderId="0" fillId="0" fontId="7" numFmtId="164" xfId="0" applyAlignment="1" applyFont="1" applyNumberFormat="1">
      <alignment readingOrder="0" vertical="bottom"/>
    </xf>
    <xf borderId="0" fillId="0" fontId="9" numFmtId="164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 vertical="bottom"/>
    </xf>
    <xf borderId="0" fillId="0" fontId="5" numFmtId="0" xfId="0" applyFont="1"/>
    <xf borderId="2" fillId="4" fontId="15" numFmtId="0" xfId="0" applyAlignment="1" applyBorder="1" applyFill="1" applyFont="1">
      <alignment horizontal="center" vertical="center"/>
    </xf>
    <xf borderId="8" fillId="0" fontId="12" numFmtId="0" xfId="0" applyBorder="1" applyFont="1"/>
    <xf borderId="8" fillId="4" fontId="5" numFmtId="0" xfId="0" applyBorder="1" applyFont="1"/>
    <xf borderId="9" fillId="4" fontId="5" numFmtId="0" xfId="0" applyBorder="1" applyFont="1"/>
    <xf borderId="10" fillId="0" fontId="12" numFmtId="0" xfId="0" applyBorder="1" applyFont="1"/>
    <xf borderId="0" fillId="4" fontId="5" numFmtId="0" xfId="0" applyFont="1"/>
    <xf borderId="11" fillId="4" fontId="5" numFmtId="0" xfId="0" applyBorder="1" applyFont="1"/>
    <xf borderId="0" fillId="0" fontId="2" numFmtId="0" xfId="0" applyAlignment="1" applyFont="1">
      <alignment horizontal="left" shrinkToFit="0" vertical="bottom" wrapText="0"/>
    </xf>
    <xf borderId="10" fillId="0" fontId="5" numFmtId="0" xfId="0" applyBorder="1" applyFont="1"/>
    <xf borderId="11" fillId="0" fontId="5" numFmtId="0" xfId="0" applyBorder="1" applyFont="1"/>
    <xf borderId="0" fillId="0" fontId="2" numFmtId="0" xfId="0" applyAlignment="1" applyFont="1">
      <alignment horizontal="left" shrinkToFit="0" wrapText="0"/>
    </xf>
    <xf borderId="0" fillId="0" fontId="16" numFmtId="0" xfId="0" applyAlignment="1" applyFont="1">
      <alignment horizontal="left" shrinkToFit="0" wrapText="0"/>
    </xf>
    <xf borderId="0" fillId="0" fontId="17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left" shrinkToFit="0" wrapText="0"/>
    </xf>
    <xf borderId="0" fillId="0" fontId="18" numFmtId="0" xfId="0" applyFont="1"/>
    <xf borderId="0" fillId="0" fontId="16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11" fillId="0" fontId="13" numFmtId="0" xfId="0" applyAlignment="1" applyBorder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10" fillId="0" fontId="1" numFmtId="165" xfId="0" applyAlignment="1" applyBorder="1" applyFont="1" applyNumberFormat="1">
      <alignment vertical="bottom"/>
    </xf>
    <xf borderId="11" fillId="0" fontId="1" numFmtId="165" xfId="0" applyAlignment="1" applyBorder="1" applyFont="1" applyNumberFormat="1">
      <alignment vertical="bottom"/>
    </xf>
    <xf borderId="10" fillId="0" fontId="2" numFmtId="164" xfId="0" applyAlignment="1" applyBorder="1" applyFont="1" applyNumberFormat="1">
      <alignment vertical="bottom"/>
    </xf>
    <xf borderId="0" fillId="0" fontId="13" numFmtId="0" xfId="0" applyAlignment="1" applyFont="1">
      <alignment horizontal="left" shrinkToFit="0" wrapText="0"/>
    </xf>
    <xf borderId="10" fillId="0" fontId="13" numFmtId="0" xfId="0" applyAlignment="1" applyBorder="1" applyFont="1">
      <alignment horizontal="left" shrinkToFit="0" wrapText="0"/>
    </xf>
    <xf borderId="0" fillId="0" fontId="6" numFmtId="0" xfId="0" applyAlignment="1" applyFont="1">
      <alignment horizontal="left" shrinkToFit="0" vertical="bottom" wrapText="0"/>
    </xf>
    <xf borderId="10" fillId="0" fontId="1" numFmtId="164" xfId="0" applyAlignment="1" applyBorder="1" applyFont="1" applyNumberFormat="1">
      <alignment vertical="bottom"/>
    </xf>
    <xf borderId="0" fillId="0" fontId="13" numFmtId="164" xfId="0" applyAlignment="1" applyFont="1" applyNumberFormat="1">
      <alignment horizontal="left" vertical="bottom"/>
    </xf>
    <xf borderId="10" fillId="0" fontId="13" numFmtId="164" xfId="0" applyAlignment="1" applyBorder="1" applyFont="1" applyNumberFormat="1">
      <alignment horizontal="left" vertical="bottom"/>
    </xf>
    <xf borderId="0" fillId="0" fontId="13" numFmtId="165" xfId="0" applyAlignment="1" applyFont="1" applyNumberFormat="1">
      <alignment horizontal="left" vertical="bottom"/>
    </xf>
    <xf borderId="0" fillId="0" fontId="13" numFmtId="167" xfId="0" applyAlignment="1" applyFont="1" applyNumberFormat="1">
      <alignment horizontal="left" vertical="bottom"/>
    </xf>
    <xf borderId="11" fillId="0" fontId="13" numFmtId="165" xfId="0" applyAlignment="1" applyBorder="1" applyFont="1" applyNumberFormat="1">
      <alignment horizontal="left" vertical="bottom"/>
    </xf>
    <xf borderId="10" fillId="0" fontId="2" numFmtId="164" xfId="0" applyAlignment="1" applyBorder="1" applyFont="1" applyNumberFormat="1">
      <alignment horizontal="right" readingOrder="0"/>
    </xf>
    <xf borderId="11" fillId="0" fontId="2" numFmtId="165" xfId="0" applyAlignment="1" applyBorder="1" applyFont="1" applyNumberFormat="1">
      <alignment horizontal="right" vertical="bottom"/>
    </xf>
    <xf borderId="10" fillId="0" fontId="8" numFmtId="164" xfId="0" applyAlignment="1" applyBorder="1" applyFont="1" applyNumberFormat="1">
      <alignment readingOrder="0" vertical="bottom"/>
    </xf>
    <xf borderId="0" fillId="0" fontId="8" numFmtId="0" xfId="0" applyAlignment="1" applyFont="1">
      <alignment vertical="bottom"/>
    </xf>
    <xf borderId="11" fillId="0" fontId="8" numFmtId="165" xfId="0" applyAlignment="1" applyBorder="1" applyFont="1" applyNumberFormat="1">
      <alignment vertical="bottom"/>
    </xf>
    <xf borderId="10" fillId="0" fontId="2" numFmtId="164" xfId="0" applyAlignment="1" applyBorder="1" applyFont="1" applyNumberFormat="1">
      <alignment horizontal="right" readingOrder="0" vertical="bottom"/>
    </xf>
    <xf borderId="10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readingOrder="0" vertical="bottom"/>
    </xf>
    <xf borderId="10" fillId="0" fontId="3" numFmtId="164" xfId="0" applyAlignment="1" applyBorder="1" applyFont="1" applyNumberFormat="1">
      <alignment readingOrder="0" vertical="bottom"/>
    </xf>
    <xf borderId="5" fillId="0" fontId="2" numFmtId="164" xfId="0" applyAlignment="1" applyBorder="1" applyFont="1" applyNumberFormat="1">
      <alignment horizontal="right"/>
    </xf>
    <xf borderId="1" fillId="0" fontId="2" numFmtId="165" xfId="0" applyBorder="1" applyFont="1" applyNumberFormat="1"/>
    <xf borderId="1" fillId="0" fontId="2" numFmtId="0" xfId="0" applyBorder="1" applyFont="1"/>
    <xf borderId="1" fillId="0" fontId="2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/>
    </xf>
    <xf borderId="12" fillId="0" fontId="2" numFmtId="165" xfId="0" applyAlignment="1" applyBorder="1" applyFont="1" applyNumberFormat="1">
      <alignment horizontal="right"/>
    </xf>
    <xf borderId="2" fillId="0" fontId="13" numFmtId="0" xfId="0" applyAlignment="1" applyBorder="1" applyFont="1">
      <alignment shrinkToFit="0" vertical="bottom" wrapText="0"/>
    </xf>
    <xf borderId="8" fillId="0" fontId="5" numFmtId="0" xfId="0" applyBorder="1" applyFont="1"/>
    <xf borderId="9" fillId="0" fontId="5" numFmtId="0" xfId="0" applyBorder="1" applyFont="1"/>
    <xf borderId="10" fillId="0" fontId="13" numFmtId="0" xfId="0" applyAlignment="1" applyBorder="1" applyFont="1">
      <alignment shrinkToFit="0" vertical="bottom" wrapText="0"/>
    </xf>
    <xf borderId="0" fillId="0" fontId="19" numFmtId="0" xfId="0" applyFont="1"/>
    <xf borderId="10" fillId="0" fontId="19" numFmtId="0" xfId="0" applyBorder="1" applyFont="1"/>
    <xf borderId="13" fillId="0" fontId="8" numFmtId="0" xfId="0" applyBorder="1" applyFont="1"/>
    <xf borderId="13" fillId="0" fontId="5" numFmtId="0" xfId="0" applyBorder="1" applyFont="1"/>
    <xf borderId="5" fillId="0" fontId="5" numFmtId="0" xfId="0" applyBorder="1" applyFont="1"/>
    <xf borderId="1" fillId="0" fontId="5" numFmtId="0" xfId="0" applyBorder="1" applyFont="1"/>
    <xf borderId="1" fillId="0" fontId="8" numFmtId="0" xfId="0" applyAlignment="1" applyBorder="1" applyFont="1">
      <alignment horizontal="center"/>
    </xf>
    <xf borderId="1" fillId="0" fontId="12" numFmtId="0" xfId="0" applyBorder="1" applyFont="1"/>
    <xf borderId="12" fillId="0" fontId="5" numFmtId="0" xfId="0" applyBorder="1" applyFont="1"/>
    <xf borderId="10" fillId="0" fontId="2" numFmtId="164" xfId="0" applyAlignment="1" applyBorder="1" applyFont="1" applyNumberFormat="1">
      <alignment horizontal="right"/>
    </xf>
    <xf borderId="11" fillId="0" fontId="2" numFmtId="165" xfId="0" applyAlignment="1" applyBorder="1" applyFont="1" applyNumberFormat="1">
      <alignment horizontal="right"/>
    </xf>
    <xf borderId="0" fillId="0" fontId="2" numFmtId="0" xfId="0" applyFont="1"/>
    <xf borderId="0" fillId="0" fontId="20" numFmtId="164" xfId="0" applyFont="1" applyNumberFormat="1"/>
    <xf borderId="0" fillId="0" fontId="20" numFmtId="165" xfId="0" applyFont="1" applyNumberFormat="1"/>
    <xf borderId="0" fillId="0" fontId="20" numFmtId="0" xfId="0" applyFont="1"/>
    <xf borderId="0" fillId="0" fontId="8" numFmtId="165" xfId="0" applyAlignment="1" applyFont="1" applyNumberFormat="1">
      <alignment readingOrder="0"/>
    </xf>
    <xf borderId="9" fillId="0" fontId="8" numFmtId="0" xfId="0" applyAlignment="1" applyBorder="1" applyFont="1">
      <alignment readingOrder="0"/>
    </xf>
    <xf borderId="14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4" fillId="0" fontId="2" numFmtId="0" xfId="0" applyBorder="1" applyFont="1"/>
    <xf borderId="14" fillId="0" fontId="2" numFmtId="167" xfId="0" applyAlignment="1" applyBorder="1" applyFont="1" applyNumberFormat="1">
      <alignment horizontal="left"/>
    </xf>
    <xf borderId="14" fillId="0" fontId="2" numFmtId="167" xfId="0" applyBorder="1" applyFont="1" applyNumberFormat="1"/>
    <xf borderId="14" fillId="5" fontId="2" numFmtId="0" xfId="0" applyBorder="1" applyFill="1" applyFont="1"/>
    <xf borderId="14" fillId="0" fontId="2" numFmtId="10" xfId="0" applyAlignment="1" applyBorder="1" applyFont="1" applyNumberFormat="1">
      <alignment horizontal="center"/>
    </xf>
    <xf borderId="14" fillId="0" fontId="2" numFmtId="165" xfId="0" applyBorder="1" applyFont="1" applyNumberFormat="1"/>
    <xf borderId="0" fillId="0" fontId="3" numFmtId="0" xfId="0" applyAlignment="1" applyFont="1">
      <alignment readingOrder="0"/>
    </xf>
    <xf borderId="14" fillId="0" fontId="2" numFmtId="167" xfId="0" applyAlignment="1" applyBorder="1" applyFont="1" applyNumberFormat="1">
      <alignment horizontal="left" readingOrder="0"/>
    </xf>
    <xf borderId="0" fillId="0" fontId="2" numFmtId="167" xfId="0" applyFont="1" applyNumberFormat="1"/>
    <xf borderId="14" fillId="0" fontId="2" numFmtId="167" xfId="0" applyAlignment="1" applyBorder="1" applyFont="1" applyNumberFormat="1">
      <alignment readingOrder="0"/>
    </xf>
    <xf borderId="14" fillId="0" fontId="21" numFmtId="167" xfId="0" applyBorder="1" applyFont="1" applyNumberFormat="1"/>
    <xf borderId="0" fillId="0" fontId="1" numFmtId="16" xfId="0" applyFont="1" applyNumberFormat="1"/>
    <xf borderId="0" fillId="0" fontId="5" numFmtId="167" xfId="0" applyFont="1" applyNumberFormat="1"/>
    <xf borderId="14" fillId="0" fontId="2" numFmtId="0" xfId="0" applyAlignment="1" applyBorder="1" applyFont="1">
      <alignment readingOrder="0" vertical="bottom"/>
    </xf>
    <xf borderId="14" fillId="0" fontId="2" numFmtId="0" xfId="0" applyAlignment="1" applyBorder="1" applyFont="1">
      <alignment vertical="bottom"/>
    </xf>
    <xf borderId="16" fillId="0" fontId="2" numFmtId="167" xfId="0" applyAlignment="1" applyBorder="1" applyFont="1" applyNumberFormat="1">
      <alignment horizontal="center" vertical="center"/>
    </xf>
    <xf borderId="16" fillId="0" fontId="2" numFmtId="167" xfId="0" applyAlignment="1" applyBorder="1" applyFont="1" applyNumberFormat="1">
      <alignment horizontal="center" readingOrder="0" vertical="center"/>
    </xf>
    <xf borderId="17" fillId="0" fontId="12" numFmtId="0" xfId="0" applyBorder="1" applyFont="1"/>
    <xf borderId="14" fillId="2" fontId="2" numFmtId="167" xfId="0" applyBorder="1" applyFont="1" applyNumberFormat="1"/>
    <xf borderId="18" fillId="6" fontId="2" numFmtId="167" xfId="0" applyBorder="1" applyFill="1" applyFont="1" applyNumberFormat="1"/>
    <xf borderId="0" fillId="0" fontId="2" numFmtId="10" xfId="0" applyAlignment="1" applyFont="1" applyNumberFormat="1">
      <alignment horizontal="center"/>
    </xf>
    <xf borderId="0" fillId="0" fontId="3" numFmtId="167" xfId="0" applyFont="1" applyNumberFormat="1"/>
    <xf borderId="0" fillId="0" fontId="1" numFmtId="167" xfId="0" applyFont="1" applyNumberFormat="1"/>
    <xf borderId="0" fillId="0" fontId="2" numFmtId="10" xfId="0" applyFont="1" applyNumberFormat="1"/>
    <xf borderId="0" fillId="0" fontId="22" numFmtId="167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8" numFmtId="168" xfId="0" applyFont="1" applyNumberFormat="1"/>
    <xf borderId="0" fillId="0" fontId="24" numFmtId="0" xfId="0" applyAlignment="1" applyFont="1">
      <alignment horizontal="center" readingOrder="0"/>
    </xf>
    <xf borderId="1" fillId="0" fontId="24" numFmtId="0" xfId="0" applyAlignment="1" applyBorder="1" applyFont="1">
      <alignment horizontal="center"/>
    </xf>
    <xf borderId="0" fillId="0" fontId="10" numFmtId="0" xfId="0" applyFont="1"/>
    <xf borderId="0" fillId="0" fontId="24" numFmtId="0" xfId="0" applyAlignment="1" applyFont="1">
      <alignment horizontal="center"/>
    </xf>
    <xf borderId="1" fillId="4" fontId="5" numFmtId="0" xfId="0" applyBorder="1" applyFont="1"/>
    <xf borderId="12" fillId="4" fontId="5" numFmtId="0" xfId="0" applyBorder="1" applyFont="1"/>
    <xf borderId="10" fillId="7" fontId="5" numFmtId="0" xfId="0" applyBorder="1" applyFill="1" applyFont="1"/>
    <xf borderId="0" fillId="7" fontId="5" numFmtId="0" xfId="0" applyFont="1"/>
    <xf borderId="11" fillId="7" fontId="5" numFmtId="0" xfId="0" applyBorder="1" applyFont="1"/>
    <xf borderId="0" fillId="7" fontId="16" numFmtId="0" xfId="0" applyAlignment="1" applyFont="1">
      <alignment horizontal="left" shrinkToFit="0" wrapText="0"/>
    </xf>
    <xf borderId="0" fillId="7" fontId="17" numFmtId="0" xfId="0" applyAlignment="1" applyFont="1">
      <alignment horizontal="left" shrinkToFit="0" vertical="bottom" wrapText="0"/>
    </xf>
    <xf borderId="0" fillId="7" fontId="17" numFmtId="0" xfId="0" applyAlignment="1" applyFont="1">
      <alignment horizontal="left" shrinkToFit="0" wrapText="0"/>
    </xf>
    <xf borderId="0" fillId="7" fontId="18" numFmtId="0" xfId="0" applyFont="1"/>
    <xf borderId="0" fillId="7" fontId="16" numFmtId="0" xfId="0" applyAlignment="1" applyFont="1">
      <alignment horizontal="left" shrinkToFit="0" vertical="bottom" wrapText="0"/>
    </xf>
    <xf borderId="11" fillId="7" fontId="13" numFmtId="0" xfId="0" applyAlignment="1" applyBorder="1" applyFont="1">
      <alignment horizontal="left" shrinkToFit="0" vertical="bottom" wrapText="0"/>
    </xf>
    <xf borderId="0" fillId="7" fontId="13" numFmtId="0" xfId="0" applyAlignment="1" applyFont="1">
      <alignment horizontal="left" shrinkToFit="0" wrapText="0"/>
    </xf>
    <xf borderId="0" fillId="7" fontId="17" numFmtId="164" xfId="0" applyAlignment="1" applyFont="1" applyNumberFormat="1">
      <alignment readingOrder="0"/>
    </xf>
    <xf borderId="11" fillId="7" fontId="6" numFmtId="164" xfId="0" applyAlignment="1" applyBorder="1" applyFont="1" applyNumberFormat="1">
      <alignment readingOrder="0"/>
    </xf>
    <xf borderId="0" fillId="2" fontId="2" numFmtId="164" xfId="0" applyFont="1" applyNumberFormat="1"/>
    <xf borderId="0" fillId="2" fontId="5" numFmtId="0" xfId="0" applyFont="1"/>
    <xf borderId="10" fillId="7" fontId="1" numFmtId="165" xfId="0" applyAlignment="1" applyBorder="1" applyFont="1" applyNumberFormat="1">
      <alignment vertical="bottom"/>
    </xf>
    <xf borderId="0" fillId="7" fontId="1" numFmtId="165" xfId="0" applyAlignment="1" applyFont="1" applyNumberFormat="1">
      <alignment vertical="bottom"/>
    </xf>
    <xf borderId="11" fillId="7" fontId="1" numFmtId="165" xfId="0" applyAlignment="1" applyBorder="1" applyFont="1" applyNumberFormat="1">
      <alignment vertical="bottom"/>
    </xf>
    <xf borderId="3" fillId="7" fontId="2" numFmtId="169" xfId="0" applyAlignment="1" applyBorder="1" applyFont="1" applyNumberFormat="1">
      <alignment horizontal="left" readingOrder="0" vertical="bottom"/>
    </xf>
    <xf borderId="4" fillId="7" fontId="3" numFmtId="164" xfId="0" applyAlignment="1" applyBorder="1" applyFont="1" applyNumberFormat="1">
      <alignment readingOrder="0" vertical="bottom"/>
    </xf>
    <xf borderId="4" fillId="7" fontId="3" numFmtId="0" xfId="0" applyAlignment="1" applyBorder="1" applyFont="1">
      <alignment readingOrder="0" vertical="bottom"/>
    </xf>
    <xf borderId="6" fillId="7" fontId="2" numFmtId="165" xfId="0" applyAlignment="1" applyBorder="1" applyFont="1" applyNumberFormat="1">
      <alignment horizontal="right" readingOrder="0" vertical="bottom"/>
    </xf>
    <xf borderId="3" fillId="7" fontId="2" numFmtId="0" xfId="0" applyAlignment="1" applyBorder="1" applyFont="1">
      <alignment horizontal="left" readingOrder="0" vertical="bottom"/>
    </xf>
    <xf borderId="1" fillId="7" fontId="3" numFmtId="164" xfId="0" applyAlignment="1" applyBorder="1" applyFont="1" applyNumberFormat="1">
      <alignment readingOrder="0" vertical="bottom"/>
    </xf>
    <xf borderId="12" fillId="7" fontId="2" numFmtId="165" xfId="0" applyAlignment="1" applyBorder="1" applyFont="1" applyNumberFormat="1">
      <alignment horizontal="right" readingOrder="0" vertical="bottom"/>
    </xf>
    <xf borderId="11" fillId="7" fontId="2" numFmtId="165" xfId="0" applyAlignment="1" applyBorder="1" applyFont="1" applyNumberFormat="1">
      <alignment horizontal="right" readingOrder="0" vertical="bottom"/>
    </xf>
    <xf borderId="4" fillId="7" fontId="1" numFmtId="16" xfId="0" applyAlignment="1" applyBorder="1" applyFont="1" applyNumberFormat="1">
      <alignment vertical="bottom"/>
    </xf>
    <xf borderId="10" fillId="7" fontId="2" numFmtId="170" xfId="0" applyAlignment="1" applyBorder="1" applyFont="1" applyNumberFormat="1">
      <alignment horizontal="left" vertical="bottom"/>
    </xf>
    <xf borderId="0" fillId="7" fontId="1" numFmtId="164" xfId="0" applyAlignment="1" applyFont="1" applyNumberFormat="1">
      <alignment vertical="bottom"/>
    </xf>
    <xf borderId="0" fillId="7" fontId="1" numFmtId="16" xfId="0" applyAlignment="1" applyFont="1" applyNumberFormat="1">
      <alignment vertical="bottom"/>
    </xf>
    <xf borderId="11" fillId="7" fontId="2" numFmtId="165" xfId="0" applyAlignment="1" applyBorder="1" applyFont="1" applyNumberFormat="1">
      <alignment horizontal="right" vertical="bottom"/>
    </xf>
    <xf borderId="3" fillId="8" fontId="2" numFmtId="164" xfId="0" applyAlignment="1" applyBorder="1" applyFill="1" applyFont="1" applyNumberFormat="1">
      <alignment horizontal="left" vertical="bottom"/>
    </xf>
    <xf borderId="4" fillId="8" fontId="1" numFmtId="164" xfId="0" applyAlignment="1" applyBorder="1" applyFont="1" applyNumberFormat="1">
      <alignment vertical="bottom"/>
    </xf>
    <xf borderId="4" fillId="8" fontId="1" numFmtId="16" xfId="0" applyAlignment="1" applyBorder="1" applyFont="1" applyNumberFormat="1">
      <alignment vertical="bottom"/>
    </xf>
    <xf borderId="4" fillId="8" fontId="1" numFmtId="165" xfId="0" applyAlignment="1" applyBorder="1" applyFont="1" applyNumberFormat="1">
      <alignment vertical="bottom"/>
    </xf>
    <xf borderId="6" fillId="8" fontId="1" numFmtId="165" xfId="0" applyAlignment="1" applyBorder="1" applyFont="1" applyNumberFormat="1">
      <alignment vertical="bottom"/>
    </xf>
    <xf borderId="11" fillId="7" fontId="2" numFmtId="164" xfId="0" applyBorder="1" applyFont="1" applyNumberFormat="1"/>
    <xf borderId="18" fillId="0" fontId="24" numFmtId="0" xfId="0" applyAlignment="1" applyBorder="1" applyFont="1">
      <alignment horizontal="center" vertical="bottom"/>
    </xf>
    <xf borderId="0" fillId="0" fontId="1" numFmtId="168" xfId="0" applyAlignment="1" applyFont="1" applyNumberFormat="1">
      <alignment vertical="bottom"/>
    </xf>
    <xf borderId="19" fillId="9" fontId="13" numFmtId="0" xfId="0" applyAlignment="1" applyBorder="1" applyFill="1" applyFont="1">
      <alignment horizontal="center" vertical="bottom"/>
    </xf>
    <xf borderId="20" fillId="0" fontId="12" numFmtId="0" xfId="0" applyBorder="1" applyFont="1"/>
    <xf borderId="2" fillId="9" fontId="13" numFmtId="16" xfId="0" applyAlignment="1" applyBorder="1" applyFont="1" applyNumberFormat="1">
      <alignment horizontal="center" vertical="bottom"/>
    </xf>
    <xf borderId="9" fillId="0" fontId="12" numFmtId="0" xfId="0" applyBorder="1" applyFont="1"/>
    <xf borderId="21" fillId="7" fontId="13" numFmtId="165" xfId="0" applyAlignment="1" applyBorder="1" applyFont="1" applyNumberFormat="1">
      <alignment horizontal="center" vertical="bottom"/>
    </xf>
    <xf borderId="21" fillId="7" fontId="13" numFmtId="0" xfId="0" applyAlignment="1" applyBorder="1" applyFont="1">
      <alignment horizontal="center" vertical="bottom"/>
    </xf>
    <xf borderId="14" fillId="7" fontId="13" numFmtId="165" xfId="0" applyAlignment="1" applyBorder="1" applyFont="1" applyNumberFormat="1">
      <alignment horizontal="center" vertical="bottom"/>
    </xf>
    <xf borderId="22" fillId="7" fontId="13" numFmtId="165" xfId="0" applyAlignment="1" applyBorder="1" applyFont="1" applyNumberFormat="1">
      <alignment horizontal="center" vertical="bottom"/>
    </xf>
    <xf borderId="10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2" fillId="0" fontId="2" numFmtId="165" xfId="0" applyAlignment="1" applyBorder="1" applyFont="1" applyNumberFormat="1">
      <alignment horizontal="right" vertical="bottom"/>
    </xf>
    <xf borderId="14" fillId="7" fontId="16" numFmtId="0" xfId="0" applyAlignment="1" applyBorder="1" applyFont="1">
      <alignment horizontal="center" vertical="bottom"/>
    </xf>
    <xf borderId="23" fillId="7" fontId="16" numFmtId="165" xfId="0" applyAlignment="1" applyBorder="1" applyFont="1" applyNumberFormat="1">
      <alignment horizontal="center" vertical="bottom"/>
    </xf>
    <xf borderId="24" fillId="0" fontId="12" numFmtId="0" xfId="0" applyBorder="1" applyFont="1"/>
    <xf borderId="14" fillId="7" fontId="16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/>
    </xf>
    <xf borderId="23" fillId="0" fontId="24" numFmtId="16" xfId="0" applyAlignment="1" applyBorder="1" applyFont="1" applyNumberFormat="1">
      <alignment horizontal="center" vertical="bottom"/>
    </xf>
    <xf borderId="25" fillId="0" fontId="12" numFmtId="0" xfId="0" applyBorder="1" applyFont="1"/>
    <xf borderId="19" fillId="9" fontId="13" numFmtId="168" xfId="0" applyAlignment="1" applyBorder="1" applyFont="1" applyNumberFormat="1">
      <alignment horizontal="center" vertical="bottom"/>
    </xf>
    <xf borderId="26" fillId="0" fontId="12" numFmtId="0" xfId="0" applyBorder="1" applyFont="1"/>
    <xf borderId="14" fillId="7" fontId="13" numFmtId="164" xfId="0" applyAlignment="1" applyBorder="1" applyFont="1" applyNumberFormat="1">
      <alignment horizontal="center" vertical="bottom"/>
    </xf>
    <xf borderId="14" fillId="7" fontId="13" numFmtId="16" xfId="0" applyAlignment="1" applyBorder="1" applyFont="1" applyNumberFormat="1">
      <alignment horizontal="center" vertical="bottom"/>
    </xf>
    <xf borderId="21" fillId="7" fontId="13" numFmtId="164" xfId="0" applyAlignment="1" applyBorder="1" applyFont="1" applyNumberFormat="1">
      <alignment horizontal="center" vertical="bottom"/>
    </xf>
    <xf borderId="23" fillId="7" fontId="13" numFmtId="165" xfId="0" applyAlignment="1" applyBorder="1" applyFont="1" applyNumberFormat="1">
      <alignment horizontal="center" vertical="bottom"/>
    </xf>
    <xf borderId="21" fillId="7" fontId="1" numFmtId="165" xfId="0" applyAlignment="1" applyBorder="1" applyFont="1" applyNumberFormat="1">
      <alignment vertical="bottom"/>
    </xf>
    <xf borderId="27" fillId="0" fontId="2" numFmtId="164" xfId="0" applyAlignment="1" applyBorder="1" applyFont="1" applyNumberFormat="1">
      <alignment horizontal="right" vertical="bottom"/>
    </xf>
    <xf borderId="28" fillId="0" fontId="2" numFmtId="165" xfId="0" applyAlignment="1" applyBorder="1" applyFont="1" applyNumberFormat="1">
      <alignment horizontal="right" vertical="bottom"/>
    </xf>
    <xf borderId="21" fillId="7" fontId="24" numFmtId="165" xfId="0" applyAlignment="1" applyBorder="1" applyFont="1" applyNumberFormat="1">
      <alignment horizontal="center" vertical="bottom"/>
    </xf>
    <xf borderId="0" fillId="0" fontId="2" numFmtId="16" xfId="0" applyAlignment="1" applyFont="1" applyNumberFormat="1">
      <alignment vertical="bottom"/>
    </xf>
    <xf borderId="29" fillId="9" fontId="13" numFmtId="16" xfId="0" applyAlignment="1" applyBorder="1" applyFont="1" applyNumberFormat="1">
      <alignment horizontal="center" vertical="bottom"/>
    </xf>
    <xf borderId="30" fillId="0" fontId="12" numFmtId="0" xfId="0" applyBorder="1" applyFont="1"/>
    <xf borderId="19" fillId="10" fontId="13" numFmtId="0" xfId="0" applyAlignment="1" applyBorder="1" applyFill="1" applyFont="1">
      <alignment horizontal="center" vertical="bottom"/>
    </xf>
    <xf borderId="19" fillId="10" fontId="13" numFmtId="165" xfId="0" applyAlignment="1" applyBorder="1" applyFont="1" applyNumberFormat="1">
      <alignment horizontal="center" vertical="bottom"/>
    </xf>
    <xf borderId="0" fillId="0" fontId="2" numFmtId="167" xfId="0" applyAlignment="1" applyFont="1" applyNumberFormat="1">
      <alignment vertical="bottom"/>
    </xf>
    <xf borderId="27" fillId="0" fontId="1" numFmtId="164" xfId="0" applyAlignment="1" applyBorder="1" applyFont="1" applyNumberFormat="1">
      <alignment vertical="bottom"/>
    </xf>
    <xf borderId="28" fillId="0" fontId="1" numFmtId="165" xfId="0" applyAlignment="1" applyBorder="1" applyFont="1" applyNumberFormat="1">
      <alignment vertical="bottom"/>
    </xf>
    <xf borderId="3" fillId="7" fontId="1" numFmtId="164" xfId="0" applyAlignment="1" applyBorder="1" applyFont="1" applyNumberFormat="1">
      <alignment vertical="bottom"/>
    </xf>
    <xf borderId="4" fillId="7" fontId="1" numFmtId="165" xfId="0" applyAlignment="1" applyBorder="1" applyFont="1" applyNumberFormat="1">
      <alignment vertical="bottom"/>
    </xf>
    <xf borderId="4" fillId="7" fontId="1" numFmtId="167" xfId="0" applyAlignment="1" applyBorder="1" applyFont="1" applyNumberFormat="1">
      <alignment vertical="bottom"/>
    </xf>
    <xf borderId="6" fillId="7" fontId="1" numFmtId="165" xfId="0" applyAlignment="1" applyBorder="1" applyFont="1" applyNumberFormat="1">
      <alignment vertical="bottom"/>
    </xf>
    <xf borderId="3" fillId="7" fontId="1" numFmtId="165" xfId="0" applyAlignment="1" applyBorder="1" applyFont="1" applyNumberFormat="1">
      <alignment vertical="bottom"/>
    </xf>
    <xf borderId="31" fillId="7" fontId="13" numFmtId="164" xfId="0" applyAlignment="1" applyBorder="1" applyFont="1" applyNumberFormat="1">
      <alignment vertical="bottom"/>
    </xf>
    <xf borderId="32" fillId="7" fontId="1" numFmtId="165" xfId="0" applyAlignment="1" applyBorder="1" applyFont="1" applyNumberFormat="1">
      <alignment vertical="bottom"/>
    </xf>
    <xf borderId="32" fillId="7" fontId="1" numFmtId="167" xfId="0" applyAlignment="1" applyBorder="1" applyFont="1" applyNumberFormat="1">
      <alignment vertical="bottom"/>
    </xf>
    <xf borderId="8" fillId="7" fontId="1" numFmtId="165" xfId="0" applyAlignment="1" applyBorder="1" applyFont="1" applyNumberFormat="1">
      <alignment vertical="bottom"/>
    </xf>
    <xf borderId="33" fillId="7" fontId="2" numFmtId="165" xfId="0" applyAlignment="1" applyBorder="1" applyFont="1" applyNumberFormat="1">
      <alignment horizontal="right" vertical="bottom"/>
    </xf>
    <xf borderId="3" fillId="7" fontId="13" numFmtId="164" xfId="0" applyAlignment="1" applyBorder="1" applyFont="1" applyNumberFormat="1">
      <alignment vertical="bottom"/>
    </xf>
    <xf borderId="34" fillId="7" fontId="2" numFmtId="165" xfId="0" applyAlignment="1" applyBorder="1" applyFont="1" applyNumberFormat="1">
      <alignment horizontal="right" vertical="bottom"/>
    </xf>
    <xf borderId="35" fillId="7" fontId="13" numFmtId="164" xfId="0" applyAlignment="1" applyBorder="1" applyFont="1" applyNumberFormat="1">
      <alignment vertical="bottom"/>
    </xf>
    <xf borderId="36" fillId="7" fontId="1" numFmtId="165" xfId="0" applyAlignment="1" applyBorder="1" applyFont="1" applyNumberFormat="1">
      <alignment vertical="bottom"/>
    </xf>
    <xf borderId="36" fillId="7" fontId="1" numFmtId="167" xfId="0" applyAlignment="1" applyBorder="1" applyFont="1" applyNumberFormat="1">
      <alignment vertical="bottom"/>
    </xf>
    <xf borderId="37" fillId="7" fontId="2" numFmtId="10" xfId="0" applyAlignment="1" applyBorder="1" applyFont="1" applyNumberFormat="1">
      <alignment horizontal="right" vertical="bottom"/>
    </xf>
    <xf borderId="38" fillId="7" fontId="2" numFmtId="165" xfId="0" applyAlignment="1" applyBorder="1" applyFont="1" applyNumberFormat="1">
      <alignment horizontal="right" vertical="bottom"/>
    </xf>
    <xf borderId="39" fillId="7" fontId="13" numFmtId="164" xfId="0" applyAlignment="1" applyBorder="1" applyFont="1" applyNumberFormat="1">
      <alignment vertical="bottom"/>
    </xf>
    <xf borderId="40" fillId="0" fontId="12" numFmtId="0" xfId="0" applyBorder="1" applyFont="1"/>
    <xf borderId="41" fillId="7" fontId="2" numFmtId="10" xfId="0" applyAlignment="1" applyBorder="1" applyFont="1" applyNumberFormat="1">
      <alignment horizontal="right" vertical="bottom"/>
    </xf>
    <xf borderId="40" fillId="7" fontId="1" numFmtId="10" xfId="0" applyAlignment="1" applyBorder="1" applyFont="1" applyNumberFormat="1">
      <alignment vertical="bottom"/>
    </xf>
    <xf borderId="42" fillId="7" fontId="2" numFmtId="165" xfId="0" applyAlignment="1" applyBorder="1" applyFont="1" applyNumberFormat="1">
      <alignment horizontal="right" vertical="bottom"/>
    </xf>
    <xf borderId="36" fillId="7" fontId="1" numFmtId="16" xfId="0" applyAlignment="1" applyBorder="1" applyFont="1" applyNumberFormat="1">
      <alignment vertical="bottom"/>
    </xf>
    <xf borderId="36" fillId="0" fontId="12" numFmtId="0" xfId="0" applyBorder="1" applyFont="1"/>
    <xf borderId="43" fillId="7" fontId="2" numFmtId="10" xfId="0" applyAlignment="1" applyBorder="1" applyFont="1" applyNumberFormat="1">
      <alignment horizontal="right" vertical="bottom"/>
    </xf>
    <xf borderId="36" fillId="7" fontId="1" numFmtId="10" xfId="0" applyAlignment="1" applyBorder="1" applyFont="1" applyNumberFormat="1">
      <alignment vertical="bottom"/>
    </xf>
    <xf borderId="36" fillId="7" fontId="1" numFmtId="0" xfId="0" applyAlignment="1" applyBorder="1" applyFont="1">
      <alignment vertical="bottom"/>
    </xf>
    <xf borderId="44" fillId="7" fontId="2" numFmtId="165" xfId="0" applyAlignment="1" applyBorder="1" applyFont="1" applyNumberFormat="1">
      <alignment horizontal="right" vertical="bottom"/>
    </xf>
    <xf borderId="35" fillId="7" fontId="1" numFmtId="165" xfId="0" applyAlignment="1" applyBorder="1" applyFont="1" applyNumberFormat="1">
      <alignment vertical="bottom"/>
    </xf>
    <xf borderId="19" fillId="7" fontId="1" numFmtId="164" xfId="0" applyAlignment="1" applyBorder="1" applyFont="1" applyNumberFormat="1">
      <alignment vertical="bottom"/>
    </xf>
    <xf borderId="26" fillId="7" fontId="1" numFmtId="165" xfId="0" applyAlignment="1" applyBorder="1" applyFont="1" applyNumberFormat="1">
      <alignment vertical="bottom"/>
    </xf>
    <xf borderId="26" fillId="7" fontId="1" numFmtId="0" xfId="0" applyAlignment="1" applyBorder="1" applyFont="1">
      <alignment vertical="bottom"/>
    </xf>
    <xf borderId="45" fillId="7" fontId="1" numFmtId="165" xfId="0" applyAlignment="1" applyBorder="1" applyFont="1" applyNumberFormat="1">
      <alignment vertical="bottom"/>
    </xf>
    <xf borderId="19" fillId="7" fontId="1" numFmtId="165" xfId="0" applyAlignment="1" applyBorder="1" applyFont="1" applyNumberFormat="1">
      <alignment vertical="bottom"/>
    </xf>
    <xf borderId="46" fillId="7" fontId="13" numFmtId="164" xfId="0" applyAlignment="1" applyBorder="1" applyFont="1" applyNumberFormat="1">
      <alignment vertical="bottom"/>
    </xf>
    <xf borderId="47" fillId="7" fontId="1" numFmtId="165" xfId="0" applyAlignment="1" applyBorder="1" applyFont="1" applyNumberFormat="1">
      <alignment vertical="bottom"/>
    </xf>
    <xf borderId="47" fillId="7" fontId="1" numFmtId="16" xfId="0" applyAlignment="1" applyBorder="1" applyFont="1" applyNumberFormat="1">
      <alignment vertical="bottom"/>
    </xf>
    <xf borderId="48" fillId="7" fontId="2" numFmtId="165" xfId="0" applyAlignment="1" applyBorder="1" applyFont="1" applyNumberFormat="1">
      <alignment horizontal="right" vertical="bottom"/>
    </xf>
    <xf borderId="46" fillId="7" fontId="16" numFmtId="165" xfId="0" applyAlignment="1" applyBorder="1" applyFont="1" applyNumberFormat="1">
      <alignment vertical="bottom"/>
    </xf>
    <xf borderId="47" fillId="0" fontId="12" numFmtId="0" xfId="0" applyBorder="1" applyFont="1"/>
    <xf borderId="49" fillId="0" fontId="11" numFmtId="0" xfId="0" applyAlignment="1" applyBorder="1" applyFont="1">
      <alignment horizontal="center"/>
    </xf>
    <xf borderId="50" fillId="0" fontId="12" numFmtId="0" xfId="0" applyBorder="1" applyFont="1"/>
    <xf borderId="51" fillId="0" fontId="12" numFmtId="0" xfId="0" applyBorder="1" applyFont="1"/>
    <xf borderId="52" fillId="0" fontId="24" numFmtId="0" xfId="0" applyAlignment="1" applyBorder="1" applyFont="1">
      <alignment horizontal="center"/>
    </xf>
    <xf borderId="14" fillId="0" fontId="24" numFmtId="0" xfId="0" applyAlignment="1" applyBorder="1" applyFont="1">
      <alignment horizontal="center"/>
    </xf>
    <xf borderId="53" fillId="0" fontId="24" numFmtId="0" xfId="0" applyAlignment="1" applyBorder="1" applyFont="1">
      <alignment horizontal="center"/>
    </xf>
    <xf borderId="52" fillId="0" fontId="25" numFmtId="0" xfId="0" applyBorder="1" applyFont="1"/>
    <xf borderId="14" fillId="0" fontId="1" numFmtId="171" xfId="0" applyAlignment="1" applyBorder="1" applyFont="1" applyNumberFormat="1">
      <alignment horizontal="center"/>
    </xf>
    <xf borderId="53" fillId="0" fontId="3" numFmtId="0" xfId="0" applyAlignment="1" applyBorder="1" applyFont="1">
      <alignment horizontal="center"/>
    </xf>
    <xf borderId="53" fillId="0" fontId="1" numFmtId="10" xfId="0" applyAlignment="1" applyBorder="1" applyFont="1" applyNumberFormat="1">
      <alignment horizontal="center"/>
    </xf>
    <xf borderId="53" fillId="0" fontId="26" numFmtId="10" xfId="0" applyAlignment="1" applyBorder="1" applyFont="1" applyNumberFormat="1">
      <alignment horizontal="center"/>
    </xf>
    <xf borderId="52" fillId="8" fontId="10" numFmtId="0" xfId="0" applyBorder="1" applyFont="1"/>
    <xf borderId="14" fillId="8" fontId="27" numFmtId="171" xfId="0" applyAlignment="1" applyBorder="1" applyFont="1" applyNumberFormat="1">
      <alignment horizontal="center"/>
    </xf>
    <xf borderId="23" fillId="0" fontId="1" numFmtId="10" xfId="0" applyAlignment="1" applyBorder="1" applyFont="1" applyNumberFormat="1">
      <alignment horizontal="center"/>
    </xf>
    <xf borderId="54" fillId="0" fontId="23" numFmtId="0" xfId="0" applyAlignment="1" applyBorder="1" applyFont="1">
      <alignment horizontal="center"/>
    </xf>
    <xf borderId="55" fillId="0" fontId="25" numFmtId="0" xfId="0" applyBorder="1" applyFont="1"/>
    <xf borderId="56" fillId="0" fontId="1" numFmtId="171" xfId="0" applyAlignment="1" applyBorder="1" applyFont="1" applyNumberFormat="1">
      <alignment horizontal="center"/>
    </xf>
    <xf borderId="57" fillId="0" fontId="26" numFmtId="10" xfId="0" applyAlignment="1" applyBorder="1" applyFont="1" applyNumberFormat="1">
      <alignment horizontal="center"/>
    </xf>
    <xf borderId="58" fillId="0" fontId="25" numFmtId="0" xfId="0" applyBorder="1" applyFont="1"/>
    <xf borderId="16" fillId="0" fontId="1" numFmtId="171" xfId="0" applyAlignment="1" applyBorder="1" applyFont="1" applyNumberFormat="1">
      <alignment horizontal="center"/>
    </xf>
    <xf borderId="59" fillId="0" fontId="1" numFmtId="10" xfId="0" applyAlignment="1" applyBorder="1" applyFont="1" applyNumberFormat="1">
      <alignment horizontal="center"/>
    </xf>
    <xf borderId="14" fillId="0" fontId="3" numFmtId="171" xfId="0" applyAlignment="1" applyBorder="1" applyFont="1" applyNumberFormat="1">
      <alignment horizontal="center"/>
    </xf>
    <xf borderId="14" fillId="0" fontId="3" numFmtId="171" xfId="0" applyAlignment="1" applyBorder="1" applyFont="1" applyNumberFormat="1">
      <alignment horizontal="center" vertical="bottom"/>
    </xf>
    <xf borderId="53" fillId="0" fontId="26" numFmtId="10" xfId="0" applyAlignment="1" applyBorder="1" applyFont="1" applyNumberFormat="1">
      <alignment horizontal="center" vertical="bottom"/>
    </xf>
    <xf borderId="18" fillId="0" fontId="1" numFmtId="10" xfId="0" applyAlignment="1" applyBorder="1" applyFont="1" applyNumberFormat="1">
      <alignment horizontal="center"/>
    </xf>
    <xf borderId="14" fillId="8" fontId="24" numFmtId="171" xfId="0" applyAlignment="1" applyBorder="1" applyFont="1" applyNumberFormat="1">
      <alignment horizontal="center" vertical="bottom"/>
    </xf>
    <xf borderId="23" fillId="0" fontId="28" numFmtId="10" xfId="0" applyAlignment="1" applyBorder="1" applyFont="1" applyNumberFormat="1">
      <alignment horizontal="center" vertical="bottom"/>
    </xf>
    <xf borderId="56" fillId="0" fontId="3" numFmtId="171" xfId="0" applyAlignment="1" applyBorder="1" applyFont="1" applyNumberFormat="1">
      <alignment horizontal="center"/>
    </xf>
    <xf borderId="57" fillId="0" fontId="26" numFmtId="10" xfId="0" applyAlignment="1" applyBorder="1" applyFont="1" applyNumberFormat="1">
      <alignment horizontal="center" vertical="bottom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/>
    </xf>
    <xf borderId="3" fillId="0" fontId="2" numFmtId="167" xfId="0" applyAlignment="1" applyBorder="1" applyFont="1" applyNumberFormat="1">
      <alignment horizontal="center"/>
    </xf>
    <xf borderId="0" fillId="0" fontId="27" numFmtId="167" xfId="0" applyFont="1" applyNumberFormat="1"/>
    <xf borderId="0" fillId="11" fontId="2" numFmtId="164" xfId="0" applyAlignment="1" applyFill="1" applyFont="1" applyNumberFormat="1">
      <alignment horizontal="right"/>
    </xf>
    <xf borderId="4" fillId="0" fontId="2" numFmtId="167" xfId="0" applyBorder="1" applyFont="1" applyNumberFormat="1"/>
    <xf borderId="6" fillId="0" fontId="2" numFmtId="167" xfId="0" applyBorder="1" applyFont="1" applyNumberFormat="1"/>
    <xf borderId="0" fillId="0" fontId="27" numFmtId="164" xfId="0" applyFont="1" applyNumberFormat="1"/>
    <xf borderId="0" fillId="0" fontId="2" numFmtId="167" xfId="0" applyAlignment="1" applyFont="1" applyNumberFormat="1">
      <alignment vertical="top"/>
    </xf>
    <xf borderId="0" fillId="12" fontId="2" numFmtId="164" xfId="0" applyAlignment="1" applyFill="1" applyFont="1" applyNumberFormat="1">
      <alignment horizontal="right"/>
    </xf>
    <xf borderId="0" fillId="13" fontId="2" numFmtId="164" xfId="0" applyAlignment="1" applyFill="1" applyFont="1" applyNumberFormat="1">
      <alignment horizontal="right"/>
    </xf>
    <xf borderId="6" fillId="0" fontId="13" numFmtId="167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center"/>
    </xf>
    <xf borderId="0" fillId="0" fontId="3" numFmtId="169" xfId="0" applyFont="1" applyNumberFormat="1"/>
    <xf borderId="3" fillId="0" fontId="2" numFmtId="0" xfId="0" applyAlignment="1" applyBorder="1" applyFont="1">
      <alignment horizontal="center"/>
    </xf>
    <xf borderId="60" fillId="0" fontId="2" numFmtId="164" xfId="0" applyBorder="1" applyFont="1" applyNumberFormat="1"/>
    <xf borderId="61" fillId="0" fontId="2" numFmtId="172" xfId="0" applyBorder="1" applyFont="1" applyNumberFormat="1"/>
    <xf borderId="60" fillId="0" fontId="2" numFmtId="0" xfId="0" applyBorder="1" applyFont="1"/>
    <xf borderId="22" fillId="0" fontId="2" numFmtId="172" xfId="0" applyBorder="1" applyFont="1" applyNumberFormat="1"/>
    <xf borderId="62" fillId="0" fontId="2" numFmtId="164" xfId="0" applyBorder="1" applyFont="1" applyNumberFormat="1"/>
    <xf borderId="63" fillId="0" fontId="2" numFmtId="172" xfId="0" applyBorder="1" applyFont="1" applyNumberFormat="1"/>
    <xf borderId="62" fillId="0" fontId="2" numFmtId="0" xfId="0" applyBorder="1" applyFont="1"/>
    <xf borderId="62" fillId="0" fontId="2" numFmtId="167" xfId="0" applyBorder="1" applyFont="1" applyNumberFormat="1"/>
    <xf borderId="21" fillId="0" fontId="2" numFmtId="0" xfId="0" applyBorder="1" applyFont="1"/>
    <xf borderId="64" fillId="0" fontId="2" numFmtId="0" xfId="0" applyBorder="1" applyFont="1"/>
    <xf borderId="65" fillId="0" fontId="2" numFmtId="172" xfId="0" applyBorder="1" applyFont="1" applyNumberFormat="1"/>
    <xf borderId="0" fillId="0" fontId="2" numFmtId="172" xfId="0" applyFont="1" applyNumberFormat="1"/>
    <xf borderId="18" fillId="0" fontId="2" numFmtId="0" xfId="0" applyBorder="1" applyFont="1"/>
    <xf borderId="18" fillId="0" fontId="2" numFmtId="172" xfId="0" applyBorder="1" applyFont="1" applyNumberFormat="1"/>
    <xf borderId="18" fillId="0" fontId="2" numFmtId="167" xfId="0" applyBorder="1" applyFont="1" applyNumberFormat="1"/>
    <xf borderId="18" fillId="0" fontId="2" numFmtId="173" xfId="0" applyBorder="1" applyFont="1" applyNumberFormat="1"/>
    <xf borderId="3" fillId="0" fontId="1" numFmtId="0" xfId="0" applyAlignment="1" applyBorder="1" applyFont="1">
      <alignment horizontal="center"/>
    </xf>
    <xf borderId="3" fillId="6" fontId="1" numFmtId="0" xfId="0" applyAlignment="1" applyBorder="1" applyFont="1">
      <alignment horizontal="center"/>
    </xf>
    <xf borderId="3" fillId="6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0" fillId="0" fontId="1" numFmtId="16" xfId="0" applyAlignment="1" applyFont="1" applyNumberFormat="1">
      <alignment horizontal="center"/>
    </xf>
    <xf borderId="11" fillId="0" fontId="3" numFmtId="167" xfId="0" applyAlignment="1" applyBorder="1" applyFont="1" applyNumberFormat="1">
      <alignment horizontal="center"/>
    </xf>
    <xf borderId="10" fillId="0" fontId="29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0" fillId="0" fontId="3" numFmtId="0" xfId="0" applyAlignment="1" applyFont="1">
      <alignment horizontal="center"/>
    </xf>
    <xf borderId="10" fillId="0" fontId="1" numFmtId="16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74" xfId="0" applyAlignment="1" applyFont="1" applyNumberFormat="1">
      <alignment horizontal="center"/>
    </xf>
    <xf borderId="10" fillId="0" fontId="29" numFmtId="16" xfId="0" applyAlignment="1" applyBorder="1" applyFont="1" applyNumberFormat="1">
      <alignment horizontal="center"/>
    </xf>
    <xf borderId="0" fillId="0" fontId="24" numFmtId="174" xfId="0" applyAlignment="1" applyFont="1" applyNumberFormat="1">
      <alignment horizontal="center"/>
    </xf>
    <xf borderId="0" fillId="0" fontId="3" numFmtId="174" xfId="0" applyFont="1" applyNumberFormat="1"/>
    <xf borderId="11" fillId="0" fontId="1" numFmtId="167" xfId="0" applyBorder="1" applyFont="1" applyNumberFormat="1"/>
    <xf borderId="10" fillId="0" fontId="29" numFmtId="169" xfId="0" applyAlignment="1" applyBorder="1" applyFont="1" applyNumberFormat="1">
      <alignment horizontal="center"/>
    </xf>
    <xf borderId="0" fillId="0" fontId="29" numFmtId="174" xfId="0" applyFont="1" applyNumberFormat="1"/>
    <xf borderId="11" fillId="0" fontId="28" numFmtId="167" xfId="0" applyBorder="1" applyFont="1" applyNumberFormat="1"/>
    <xf borderId="10" fillId="0" fontId="30" numFmtId="0" xfId="0" applyAlignment="1" applyBorder="1" applyFont="1">
      <alignment horizontal="center"/>
    </xf>
    <xf borderId="0" fillId="0" fontId="31" numFmtId="174" xfId="0" applyFont="1" applyNumberFormat="1"/>
    <xf borderId="0" fillId="0" fontId="24" numFmtId="174" xfId="0" applyFont="1" applyNumberFormat="1"/>
    <xf borderId="0" fillId="0" fontId="30" numFmtId="174" xfId="0" applyFont="1" applyNumberFormat="1"/>
    <xf borderId="0" fillId="0" fontId="32" numFmtId="174" xfId="0" applyFont="1" applyNumberFormat="1"/>
    <xf borderId="0" fillId="0" fontId="33" numFmtId="174" xfId="0" applyFont="1" applyNumberFormat="1"/>
    <xf borderId="0" fillId="0" fontId="32" numFmtId="0" xfId="0" applyAlignment="1" applyFont="1">
      <alignment horizontal="center"/>
    </xf>
    <xf borderId="10" fillId="0" fontId="29" numFmtId="16" xfId="0" applyBorder="1" applyFont="1" applyNumberFormat="1"/>
    <xf borderId="0" fillId="0" fontId="30" numFmtId="167" xfId="0" applyFont="1" applyNumberFormat="1"/>
    <xf borderId="0" fillId="0" fontId="34" numFmtId="174" xfId="0" applyFont="1" applyNumberFormat="1"/>
    <xf borderId="10" fillId="0" fontId="30" numFmtId="170" xfId="0" applyAlignment="1" applyBorder="1" applyFont="1" applyNumberFormat="1">
      <alignment horizontal="center"/>
    </xf>
    <xf borderId="10" fillId="14" fontId="29" numFmtId="16" xfId="0" applyAlignment="1" applyBorder="1" applyFill="1" applyFont="1" applyNumberFormat="1">
      <alignment horizontal="center"/>
    </xf>
    <xf borderId="0" fillId="14" fontId="3" numFmtId="174" xfId="0" applyFont="1" applyNumberFormat="1"/>
    <xf borderId="11" fillId="14" fontId="1" numFmtId="167" xfId="0" applyBorder="1" applyFont="1" applyNumberFormat="1"/>
    <xf borderId="0" fillId="14" fontId="8" numFmtId="174" xfId="0" applyFont="1" applyNumberFormat="1"/>
    <xf borderId="10" fillId="0" fontId="30" numFmtId="16" xfId="0" applyBorder="1" applyFont="1" applyNumberFormat="1"/>
    <xf borderId="0" fillId="0" fontId="34" numFmtId="170" xfId="0" applyAlignment="1" applyFont="1" applyNumberFormat="1">
      <alignment horizontal="center"/>
    </xf>
    <xf borderId="10" fillId="0" fontId="30" numFmtId="0" xfId="0" applyBorder="1" applyFont="1"/>
    <xf borderId="10" fillId="0" fontId="3" numFmtId="0" xfId="0" applyBorder="1" applyFont="1"/>
    <xf borderId="0" fillId="0" fontId="29" numFmtId="167" xfId="0" applyFont="1" applyNumberFormat="1"/>
    <xf borderId="10" fillId="0" fontId="26" numFmtId="16" xfId="0" applyBorder="1" applyFont="1" applyNumberFormat="1"/>
    <xf borderId="0" fillId="0" fontId="35" numFmtId="174" xfId="0" applyFont="1" applyNumberFormat="1"/>
    <xf borderId="0" fillId="0" fontId="28" numFmtId="174" xfId="0" applyFont="1" applyNumberFormat="1"/>
    <xf borderId="10" fillId="0" fontId="1" numFmtId="16" xfId="0" applyBorder="1" applyFont="1" applyNumberFormat="1"/>
    <xf borderId="0" fillId="0" fontId="27" numFmtId="174" xfId="0" applyFont="1" applyNumberFormat="1"/>
    <xf borderId="10" fillId="0" fontId="28" numFmtId="16" xfId="0" applyBorder="1" applyFont="1" applyNumberFormat="1"/>
    <xf borderId="10" fillId="0" fontId="3" numFmtId="16" xfId="0" applyBorder="1" applyFont="1" applyNumberFormat="1"/>
    <xf borderId="10" fillId="0" fontId="28" numFmtId="0" xfId="0" applyBorder="1" applyFont="1"/>
    <xf borderId="10" fillId="0" fontId="1" numFmtId="0" xfId="0" applyBorder="1" applyFont="1"/>
    <xf borderId="0" fillId="0" fontId="32" numFmtId="0" xfId="0" applyFont="1"/>
    <xf borderId="0" fillId="0" fontId="26" numFmtId="174" xfId="0" applyFont="1" applyNumberFormat="1"/>
    <xf borderId="0" fillId="0" fontId="1" numFmtId="174" xfId="0" applyFont="1" applyNumberFormat="1"/>
    <xf borderId="0" fillId="0" fontId="32" numFmtId="170" xfId="0" applyFont="1" applyNumberFormat="1"/>
    <xf borderId="10" fillId="0" fontId="30" numFmtId="170" xfId="0" applyBorder="1" applyFont="1" applyNumberFormat="1"/>
    <xf borderId="0" fillId="0" fontId="36" numFmtId="0" xfId="0" applyFont="1"/>
    <xf borderId="10" fillId="0" fontId="3" numFmtId="170" xfId="0" applyBorder="1" applyFont="1" applyNumberFormat="1"/>
    <xf borderId="0" fillId="0" fontId="30" numFmtId="0" xfId="0" applyFont="1"/>
    <xf borderId="0" fillId="0" fontId="5" numFmtId="174" xfId="0" applyFont="1" applyNumberFormat="1"/>
    <xf borderId="11" fillId="0" fontId="3" numFmtId="167" xfId="0" applyBorder="1" applyFont="1" applyNumberFormat="1"/>
    <xf borderId="5" fillId="0" fontId="1" numFmtId="0" xfId="0" applyBorder="1" applyFont="1"/>
    <xf borderId="1" fillId="0" fontId="1" numFmtId="0" xfId="0" applyBorder="1" applyFont="1"/>
    <xf borderId="12" fillId="0" fontId="1" numFmtId="167" xfId="0" applyBorder="1" applyFont="1" applyNumberFormat="1"/>
    <xf borderId="0" fillId="0" fontId="1" numFmtId="0" xfId="0" applyAlignment="1" applyFont="1">
      <alignment horizontal="center"/>
    </xf>
    <xf borderId="0" fillId="0" fontId="37" numFmtId="165" xfId="0" applyFont="1" applyNumberFormat="1"/>
    <xf borderId="0" fillId="0" fontId="2" numFmtId="3" xfId="0" applyAlignment="1" applyFont="1" applyNumberFormat="1">
      <alignment horizontal="left"/>
    </xf>
    <xf borderId="1" fillId="0" fontId="2" numFmtId="0" xfId="0" applyAlignment="1" applyBorder="1" applyFont="1">
      <alignment horizontal="right"/>
    </xf>
    <xf borderId="1" fillId="0" fontId="2" numFmtId="173" xfId="0" applyBorder="1" applyFont="1" applyNumberFormat="1"/>
    <xf borderId="0" fillId="0" fontId="2" numFmtId="14" xfId="0" applyFont="1" applyNumberFormat="1"/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horizontal="center"/>
    </xf>
    <xf borderId="14" fillId="9" fontId="38" numFmtId="0" xfId="0" applyAlignment="1" applyBorder="1" applyFont="1">
      <alignment horizontal="center"/>
    </xf>
    <xf borderId="14" fillId="9" fontId="38" numFmtId="168" xfId="0" applyAlignment="1" applyBorder="1" applyFont="1" applyNumberFormat="1">
      <alignment horizontal="center"/>
    </xf>
    <xf borderId="27" fillId="0" fontId="8" numFmtId="175" xfId="0" applyAlignment="1" applyBorder="1" applyFont="1" applyNumberFormat="1">
      <alignment horizontal="center"/>
    </xf>
    <xf borderId="0" fillId="0" fontId="8" numFmtId="168" xfId="0" applyAlignment="1" applyFont="1" applyNumberFormat="1">
      <alignment horizontal="center"/>
    </xf>
    <xf borderId="28" fillId="0" fontId="8" numFmtId="0" xfId="0" applyAlignment="1" applyBorder="1" applyFont="1">
      <alignment horizontal="center"/>
    </xf>
    <xf borderId="66" fillId="0" fontId="8" numFmtId="175" xfId="0" applyAlignment="1" applyBorder="1" applyFont="1" applyNumberFormat="1">
      <alignment horizontal="center"/>
    </xf>
    <xf borderId="13" fillId="0" fontId="8" numFmtId="168" xfId="0" applyAlignment="1" applyBorder="1" applyFont="1" applyNumberFormat="1">
      <alignment horizontal="center"/>
    </xf>
    <xf borderId="67" fillId="0" fontId="8" numFmtId="0" xfId="0" applyAlignment="1" applyBorder="1" applyFont="1">
      <alignment horizontal="center"/>
    </xf>
    <xf borderId="14" fillId="0" fontId="8" numFmtId="0" xfId="0" applyBorder="1" applyFont="1"/>
    <xf borderId="23" fillId="0" fontId="5" numFmtId="168" xfId="0" applyAlignment="1" applyBorder="1" applyFont="1" applyNumberFormat="1">
      <alignment horizontal="center"/>
    </xf>
    <xf borderId="0" fillId="0" fontId="5" numFmtId="168" xfId="0" applyFont="1" applyNumberFormat="1"/>
    <xf borderId="0" fillId="0" fontId="39" numFmtId="165" xfId="0" applyAlignment="1" applyFont="1" applyNumberFormat="1">
      <alignment horizontal="center"/>
    </xf>
    <xf borderId="23" fillId="0" fontId="24" numFmtId="0" xfId="0" applyAlignment="1" applyBorder="1" applyFont="1">
      <alignment horizontal="center"/>
    </xf>
    <xf borderId="14" fillId="0" fontId="13" numFmtId="0" xfId="0" applyAlignment="1" applyBorder="1" applyFont="1">
      <alignment horizontal="center"/>
    </xf>
    <xf borderId="14" fillId="0" fontId="2" numFmtId="16" xfId="0" applyAlignment="1" applyBorder="1" applyFont="1" applyNumberFormat="1">
      <alignment horizontal="center"/>
    </xf>
    <xf borderId="14" fillId="0" fontId="39" numFmtId="165" xfId="0" applyAlignment="1" applyBorder="1" applyFont="1" applyNumberFormat="1">
      <alignment horizontal="center"/>
    </xf>
    <xf borderId="14" fillId="0" fontId="40" numFmtId="165" xfId="0" applyAlignment="1" applyBorder="1" applyFont="1" applyNumberFormat="1">
      <alignment horizontal="center"/>
    </xf>
    <xf borderId="0" fillId="0" fontId="31" numFmtId="0" xfId="0" applyFont="1"/>
    <xf borderId="0" fillId="0" fontId="31" numFmtId="165" xfId="0" applyFont="1" applyNumberFormat="1"/>
    <xf borderId="0" fillId="0" fontId="24" numFmtId="0" xfId="0" applyFont="1"/>
    <xf borderId="0" fillId="0" fontId="27" numFmtId="165" xfId="0" applyFont="1" applyNumberFormat="1"/>
    <xf borderId="0" fillId="0" fontId="2" numFmtId="16" xfId="0" applyAlignment="1" applyFont="1" applyNumberFormat="1">
      <alignment horizontal="right"/>
    </xf>
    <xf borderId="68" fillId="15" fontId="3" numFmtId="0" xfId="0" applyBorder="1" applyFill="1" applyFont="1"/>
    <xf borderId="68" fillId="15" fontId="2" numFmtId="176" xfId="0" applyAlignment="1" applyBorder="1" applyFont="1" applyNumberFormat="1">
      <alignment horizontal="right"/>
    </xf>
    <xf borderId="68" fillId="15" fontId="1" numFmtId="0" xfId="0" applyBorder="1" applyFont="1"/>
    <xf borderId="69" fillId="0" fontId="24" numFmtId="0" xfId="0" applyAlignment="1" applyBorder="1" applyFont="1">
      <alignment horizontal="center"/>
    </xf>
    <xf borderId="70" fillId="0" fontId="12" numFmtId="0" xfId="0" applyBorder="1" applyFont="1"/>
    <xf borderId="71" fillId="0" fontId="12" numFmtId="0" xfId="0" applyBorder="1" applyFont="1"/>
    <xf borderId="27" fillId="0" fontId="1" numFmtId="0" xfId="0" applyBorder="1" applyFont="1"/>
    <xf borderId="28" fillId="0" fontId="1" numFmtId="0" xfId="0" applyBorder="1" applyFont="1"/>
    <xf borderId="27" fillId="0" fontId="41" numFmtId="171" xfId="0" applyAlignment="1" applyBorder="1" applyFont="1" applyNumberFormat="1">
      <alignment horizontal="center"/>
    </xf>
    <xf borderId="28" fillId="0" fontId="3" numFmtId="170" xfId="0" applyAlignment="1" applyBorder="1" applyFont="1" applyNumberFormat="1">
      <alignment horizontal="center"/>
    </xf>
    <xf borderId="66" fillId="0" fontId="41" numFmtId="171" xfId="0" applyAlignment="1" applyBorder="1" applyFont="1" applyNumberFormat="1">
      <alignment horizontal="center"/>
    </xf>
    <xf borderId="13" fillId="0" fontId="3" numFmtId="0" xfId="0" applyAlignment="1" applyBorder="1" applyFont="1">
      <alignment horizontal="center"/>
    </xf>
    <xf borderId="67" fillId="0" fontId="3" numFmtId="0" xfId="0" applyAlignment="1" applyBorder="1" applyFont="1">
      <alignment horizontal="center"/>
    </xf>
    <xf borderId="68" fillId="16" fontId="3" numFmtId="0" xfId="0" applyBorder="1" applyFill="1" applyFont="1"/>
    <xf borderId="68" fillId="16" fontId="2" numFmtId="176" xfId="0" applyAlignment="1" applyBorder="1" applyFont="1" applyNumberFormat="1">
      <alignment horizontal="right"/>
    </xf>
    <xf borderId="68" fillId="16" fontId="1" numFmtId="0" xfId="0" applyBorder="1" applyFont="1"/>
    <xf borderId="0" fillId="0" fontId="1" numFmtId="171" xfId="0" applyAlignment="1" applyFont="1" applyNumberFormat="1">
      <alignment horizontal="center"/>
    </xf>
    <xf borderId="28" fillId="0" fontId="3" numFmtId="0" xfId="0" applyAlignment="1" applyBorder="1" applyFont="1">
      <alignment horizontal="center"/>
    </xf>
    <xf borderId="70" fillId="0" fontId="1" numFmtId="0" xfId="0" applyBorder="1" applyFont="1"/>
    <xf borderId="0" fillId="16" fontId="3" numFmtId="0" xfId="0" applyFont="1"/>
    <xf borderId="0" fillId="16" fontId="2" numFmtId="176" xfId="0" applyAlignment="1" applyFont="1" applyNumberFormat="1">
      <alignment horizontal="right"/>
    </xf>
    <xf borderId="0" fillId="16" fontId="5" numFmtId="0" xfId="0" applyFont="1"/>
    <xf borderId="0" fillId="16" fontId="8" numFmtId="0" xfId="0" applyFont="1"/>
    <xf borderId="0" fillId="17" fontId="3" numFmtId="0" xfId="0" applyFill="1" applyFont="1"/>
    <xf borderId="0" fillId="17" fontId="1" numFmtId="171" xfId="0" applyAlignment="1" applyFont="1" applyNumberFormat="1">
      <alignment horizontal="center"/>
    </xf>
    <xf borderId="70" fillId="0" fontId="3" numFmtId="171" xfId="0" applyAlignment="1" applyBorder="1" applyFont="1" applyNumberFormat="1">
      <alignment horizontal="center"/>
    </xf>
    <xf borderId="0" fillId="0" fontId="3" numFmtId="171" xfId="0" applyAlignment="1" applyFont="1" applyNumberFormat="1">
      <alignment horizontal="center"/>
    </xf>
    <xf borderId="68" fillId="18" fontId="3" numFmtId="0" xfId="0" applyBorder="1" applyFill="1" applyFont="1"/>
    <xf borderId="68" fillId="18" fontId="2" numFmtId="176" xfId="0" applyAlignment="1" applyBorder="1" applyFont="1" applyNumberFormat="1">
      <alignment horizontal="right"/>
    </xf>
    <xf borderId="68" fillId="18" fontId="1" numFmtId="0" xfId="0" applyBorder="1" applyFont="1"/>
    <xf borderId="0" fillId="18" fontId="3" numFmtId="0" xfId="0" applyFont="1"/>
    <xf borderId="0" fillId="18" fontId="2" numFmtId="176" xfId="0" applyAlignment="1" applyFont="1" applyNumberFormat="1">
      <alignment horizontal="right"/>
    </xf>
    <xf borderId="0" fillId="18" fontId="5" numFmtId="0" xfId="0" applyFont="1"/>
    <xf borderId="0" fillId="2" fontId="3" numFmtId="0" xfId="0" applyFont="1"/>
    <xf borderId="0" fillId="2" fontId="2" numFmtId="176" xfId="0" applyAlignment="1" applyFont="1" applyNumberFormat="1">
      <alignment horizontal="right"/>
    </xf>
    <xf borderId="0" fillId="0" fontId="2" numFmtId="176" xfId="0" applyAlignment="1" applyFont="1" applyNumberFormat="1">
      <alignment horizontal="right"/>
    </xf>
    <xf borderId="2" fillId="0" fontId="2" numFmtId="0" xfId="0" applyAlignment="1" applyBorder="1" applyFont="1">
      <alignment horizontal="center"/>
    </xf>
    <xf borderId="11" fillId="0" fontId="8" numFmtId="0" xfId="0" applyBorder="1" applyFont="1"/>
    <xf borderId="13" fillId="0" fontId="2" numFmtId="176" xfId="0" applyAlignment="1" applyBorder="1" applyFont="1" applyNumberFormat="1">
      <alignment horizontal="right"/>
    </xf>
    <xf borderId="0" fillId="0" fontId="8" numFmtId="0" xfId="0" applyAlignment="1" applyFont="1">
      <alignment horizontal="center"/>
    </xf>
    <xf borderId="11" fillId="0" fontId="3" numFmtId="0" xfId="0" applyBorder="1" applyFont="1"/>
    <xf borderId="0" fillId="0" fontId="23" numFmtId="0" xfId="0" applyAlignment="1" applyFont="1">
      <alignment horizontal="center" readingOrder="0"/>
    </xf>
    <xf borderId="10" fillId="0" fontId="8" numFmtId="0" xfId="0" applyBorder="1" applyFont="1"/>
    <xf borderId="0" fillId="0" fontId="2" numFmtId="176" xfId="0" applyAlignment="1" applyFont="1" applyNumberFormat="1">
      <alignment horizontal="right" readingOrder="0"/>
    </xf>
    <xf borderId="11" fillId="0" fontId="8" numFmtId="0" xfId="0" applyAlignment="1" applyBorder="1" applyFont="1">
      <alignment readingOrder="0"/>
    </xf>
    <xf borderId="10" fillId="0" fontId="2" numFmtId="16" xfId="0" applyAlignment="1" applyBorder="1" applyFont="1" applyNumberFormat="1">
      <alignment horizontal="right"/>
    </xf>
    <xf borderId="10" fillId="0" fontId="11" numFmtId="0" xfId="0" applyBorder="1" applyFont="1"/>
    <xf borderId="0" fillId="0" fontId="16" numFmtId="176" xfId="0" applyAlignment="1" applyFont="1" applyNumberFormat="1">
      <alignment horizontal="right"/>
    </xf>
    <xf borderId="5" fillId="0" fontId="3" numFmtId="0" xfId="0" applyBorder="1" applyFont="1"/>
    <xf borderId="1" fillId="0" fontId="2" numFmtId="176" xfId="0" applyAlignment="1" applyBorder="1" applyFont="1" applyNumberFormat="1">
      <alignment horizontal="right"/>
    </xf>
    <xf borderId="0" fillId="0" fontId="24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2" numFmtId="176" xfId="0" applyAlignment="1" applyFont="1" applyNumberFormat="1">
      <alignment horizontal="right" vertical="bottom"/>
    </xf>
    <xf borderId="0" fillId="0" fontId="1" numFmtId="176" xfId="0" applyAlignment="1" applyFont="1" applyNumberFormat="1">
      <alignment vertical="bottom"/>
    </xf>
    <xf borderId="0" fillId="0" fontId="2" numFmtId="176" xfId="0" applyAlignment="1" applyFont="1" applyNumberFormat="1">
      <alignment horizontal="right" readingOrder="0" vertical="bottom"/>
    </xf>
    <xf borderId="2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6" fillId="0" fontId="3" numFmtId="167" xfId="0" applyAlignment="1" applyBorder="1" applyFont="1" applyNumberFormat="1">
      <alignment horizontal="center"/>
    </xf>
    <xf borderId="14" fillId="0" fontId="3" numFmtId="0" xfId="0" applyAlignment="1" applyBorder="1" applyFont="1">
      <alignment horizontal="center"/>
    </xf>
    <xf borderId="14" fillId="0" fontId="3" numFmtId="167" xfId="0" applyAlignment="1" applyBorder="1" applyFont="1" applyNumberFormat="1">
      <alignment horizontal="center"/>
    </xf>
    <xf borderId="69" fillId="0" fontId="3" numFmtId="0" xfId="0" applyBorder="1" applyFont="1"/>
    <xf borderId="70" fillId="0" fontId="3" numFmtId="167" xfId="0" applyBorder="1" applyFont="1" applyNumberFormat="1"/>
    <xf borderId="70" fillId="0" fontId="3" numFmtId="16" xfId="0" applyBorder="1" applyFont="1" applyNumberFormat="1"/>
    <xf borderId="71" fillId="0" fontId="3" numFmtId="167" xfId="0" applyBorder="1" applyFont="1" applyNumberFormat="1"/>
    <xf borderId="27" fillId="0" fontId="3" numFmtId="0" xfId="0" applyBorder="1" applyFont="1"/>
    <xf borderId="0" fillId="0" fontId="3" numFmtId="16" xfId="0" applyFont="1" applyNumberFormat="1"/>
    <xf borderId="69" fillId="0" fontId="1" numFmtId="16" xfId="0" applyBorder="1" applyFont="1" applyNumberFormat="1"/>
    <xf borderId="70" fillId="0" fontId="1" numFmtId="167" xfId="0" applyBorder="1" applyFont="1" applyNumberFormat="1"/>
    <xf borderId="70" fillId="0" fontId="1" numFmtId="16" xfId="0" applyBorder="1" applyFont="1" applyNumberFormat="1"/>
    <xf borderId="71" fillId="0" fontId="1" numFmtId="167" xfId="0" applyBorder="1" applyFont="1" applyNumberFormat="1"/>
    <xf borderId="28" fillId="0" fontId="1" numFmtId="167" xfId="0" applyBorder="1" applyFont="1" applyNumberFormat="1"/>
    <xf borderId="28" fillId="0" fontId="3" numFmtId="167" xfId="0" applyBorder="1" applyFont="1" applyNumberFormat="1"/>
    <xf borderId="27" fillId="0" fontId="1" numFmtId="16" xfId="0" applyBorder="1" applyFont="1" applyNumberFormat="1"/>
    <xf borderId="27" fillId="0" fontId="26" numFmtId="16" xfId="0" applyBorder="1" applyFont="1" applyNumberFormat="1"/>
    <xf borderId="0" fillId="0" fontId="26" numFmtId="167" xfId="0" applyFont="1" applyNumberFormat="1"/>
    <xf borderId="66" fillId="0" fontId="1" numFmtId="0" xfId="0" applyBorder="1" applyFont="1"/>
    <xf borderId="13" fillId="0" fontId="1" numFmtId="0" xfId="0" applyBorder="1" applyFont="1"/>
    <xf borderId="13" fillId="0" fontId="1" numFmtId="167" xfId="0" applyBorder="1" applyFont="1" applyNumberFormat="1"/>
    <xf borderId="67" fillId="0" fontId="1" numFmtId="167" xfId="0" applyBorder="1" applyFont="1" applyNumberFormat="1"/>
    <xf borderId="23" fillId="0" fontId="24" numFmtId="0" xfId="0" applyBorder="1" applyFont="1"/>
    <xf borderId="3" fillId="19" fontId="27" numFmtId="0" xfId="0" applyAlignment="1" applyBorder="1" applyFill="1" applyFont="1">
      <alignment horizontal="center"/>
    </xf>
    <xf borderId="10" fillId="0" fontId="27" numFmtId="0" xfId="0" applyBorder="1" applyFont="1"/>
    <xf borderId="72" fillId="0" fontId="27" numFmtId="167" xfId="0" applyBorder="1" applyFont="1" applyNumberFormat="1"/>
    <xf borderId="72" fillId="0" fontId="24" numFmtId="167" xfId="0" applyBorder="1" applyFont="1" applyNumberFormat="1"/>
    <xf borderId="72" fillId="0" fontId="1" numFmtId="167" xfId="0" applyBorder="1" applyFont="1" applyNumberFormat="1"/>
    <xf borderId="14" fillId="0" fontId="2" numFmtId="175" xfId="0" applyAlignment="1" applyBorder="1" applyFont="1" applyNumberFormat="1">
      <alignment horizontal="center"/>
    </xf>
    <xf borderId="73" fillId="19" fontId="27" numFmtId="0" xfId="0" applyAlignment="1" applyBorder="1" applyFont="1">
      <alignment horizontal="left"/>
    </xf>
    <xf borderId="74" fillId="19" fontId="27" numFmtId="167" xfId="0" applyBorder="1" applyFont="1" applyNumberFormat="1"/>
    <xf borderId="0" fillId="0" fontId="1" numFmtId="177" xfId="0" applyFont="1" applyNumberFormat="1"/>
    <xf borderId="0" fillId="0" fontId="17" numFmtId="0" xfId="0" applyFont="1"/>
    <xf borderId="3" fillId="0" fontId="17" numFmtId="0" xfId="0" applyAlignment="1" applyBorder="1" applyFont="1">
      <alignment horizontal="center"/>
    </xf>
    <xf borderId="60" fillId="20" fontId="17" numFmtId="0" xfId="0" applyBorder="1" applyFill="1" applyFont="1"/>
    <xf borderId="75" fillId="0" fontId="17" numFmtId="0" xfId="0" applyAlignment="1" applyBorder="1" applyFont="1">
      <alignment horizontal="center"/>
    </xf>
    <xf borderId="61" fillId="0" fontId="17" numFmtId="0" xfId="0" applyAlignment="1" applyBorder="1" applyFont="1">
      <alignment horizontal="center"/>
    </xf>
    <xf borderId="0" fillId="0" fontId="16" numFmtId="0" xfId="0" applyAlignment="1" applyFont="1">
      <alignment horizontal="right"/>
    </xf>
    <xf borderId="21" fillId="0" fontId="17" numFmtId="0" xfId="0" applyBorder="1" applyFont="1"/>
    <xf borderId="14" fillId="0" fontId="17" numFmtId="167" xfId="0" applyBorder="1" applyFont="1" applyNumberFormat="1"/>
    <xf borderId="22" fillId="0" fontId="17" numFmtId="167" xfId="0" applyBorder="1" applyFont="1" applyNumberFormat="1"/>
    <xf borderId="76" fillId="0" fontId="17" numFmtId="0" xfId="0" applyBorder="1" applyFont="1"/>
    <xf borderId="16" fillId="0" fontId="17" numFmtId="167" xfId="0" applyBorder="1" applyFont="1" applyNumberFormat="1"/>
    <xf borderId="77" fillId="0" fontId="17" numFmtId="167" xfId="0" applyBorder="1" applyFont="1" applyNumberFormat="1"/>
    <xf borderId="64" fillId="0" fontId="17" numFmtId="0" xfId="0" applyBorder="1" applyFont="1"/>
    <xf borderId="78" fillId="0" fontId="17" numFmtId="167" xfId="0" applyBorder="1" applyFont="1" applyNumberFormat="1"/>
    <xf borderId="65" fillId="0" fontId="17" numFmtId="167" xfId="0" applyBorder="1" applyFont="1" applyNumberFormat="1"/>
    <xf borderId="0" fillId="0" fontId="17" numFmtId="167" xfId="0" applyFont="1" applyNumberFormat="1"/>
    <xf borderId="18" fillId="0" fontId="17" numFmtId="167" xfId="0" applyBorder="1" applyFont="1" applyNumberFormat="1"/>
    <xf borderId="79" fillId="0" fontId="2" numFmtId="0" xfId="0" applyAlignment="1" applyBorder="1" applyFont="1">
      <alignment vertical="bottom"/>
    </xf>
    <xf borderId="37" fillId="21" fontId="42" numFmtId="0" xfId="0" applyAlignment="1" applyBorder="1" applyFill="1" applyFont="1">
      <alignment horizontal="center" vertical="center"/>
    </xf>
    <xf borderId="37" fillId="21" fontId="43" numFmtId="0" xfId="0" applyAlignment="1" applyBorder="1" applyFont="1">
      <alignment horizontal="center" vertical="center"/>
    </xf>
    <xf borderId="80" fillId="21" fontId="42" numFmtId="0" xfId="0" applyAlignment="1" applyBorder="1" applyFont="1">
      <alignment horizontal="center" vertical="center"/>
    </xf>
    <xf borderId="81" fillId="0" fontId="5" numFmtId="0" xfId="0" applyBorder="1" applyFont="1"/>
    <xf borderId="79" fillId="0" fontId="5" numFmtId="0" xfId="0" applyBorder="1" applyFont="1"/>
    <xf borderId="82" fillId="0" fontId="5" numFmtId="0" xfId="0" applyBorder="1" applyFont="1"/>
    <xf borderId="37" fillId="0" fontId="44" numFmtId="0" xfId="0" applyAlignment="1" applyBorder="1" applyFont="1">
      <alignment vertical="center"/>
    </xf>
    <xf borderId="37" fillId="0" fontId="45" numFmtId="0" xfId="0" applyAlignment="1" applyBorder="1" applyFont="1">
      <alignment vertical="top"/>
    </xf>
    <xf borderId="37" fillId="0" fontId="45" numFmtId="0" xfId="0" applyAlignment="1" applyBorder="1" applyFont="1">
      <alignment horizontal="center" vertical="top"/>
    </xf>
    <xf borderId="80" fillId="0" fontId="45" numFmtId="0" xfId="0" applyAlignment="1" applyBorder="1" applyFont="1">
      <alignment horizontal="center" vertical="top"/>
    </xf>
    <xf borderId="37" fillId="0" fontId="5" numFmtId="0" xfId="0" applyBorder="1" applyFont="1"/>
    <xf borderId="79" fillId="0" fontId="2" numFmtId="167" xfId="0" applyAlignment="1" applyBorder="1" applyFont="1" applyNumberFormat="1">
      <alignment vertical="bottom"/>
    </xf>
    <xf borderId="79" fillId="0" fontId="2" numFmtId="0" xfId="0" applyBorder="1" applyFont="1"/>
    <xf borderId="83" fillId="0" fontId="5" numFmtId="0" xfId="0" applyBorder="1" applyFont="1"/>
    <xf borderId="84" fillId="0" fontId="5" numFmtId="0" xfId="0" applyBorder="1" applyFont="1"/>
    <xf borderId="85" fillId="0" fontId="5" numFmtId="0" xfId="0" applyBorder="1" applyFont="1"/>
    <xf borderId="82" fillId="0" fontId="2" numFmtId="0" xfId="0" applyBorder="1" applyFont="1"/>
    <xf borderId="37" fillId="0" fontId="2" numFmtId="0" xfId="0" applyAlignment="1" applyBorder="1" applyFont="1">
      <alignment vertical="bottom"/>
    </xf>
    <xf borderId="86" fillId="0" fontId="5" numFmtId="0" xfId="0" applyBorder="1" applyFont="1"/>
    <xf borderId="87" fillId="0" fontId="5" numFmtId="0" xfId="0" applyBorder="1" applyFont="1"/>
    <xf borderId="37" fillId="0" fontId="7" numFmtId="0" xfId="0" applyAlignment="1" applyBorder="1" applyFont="1">
      <alignment vertical="center"/>
    </xf>
    <xf borderId="82" fillId="0" fontId="2" numFmtId="0" xfId="0" applyAlignment="1" applyBorder="1" applyFont="1">
      <alignment vertical="bottom"/>
    </xf>
    <xf borderId="82" fillId="0" fontId="2" numFmtId="0" xfId="0" applyAlignment="1" applyBorder="1" applyFont="1">
      <alignment horizontal="center"/>
    </xf>
    <xf borderId="82" fillId="0" fontId="2" numFmtId="167" xfId="0" applyAlignment="1" applyBorder="1" applyFont="1" applyNumberFormat="1">
      <alignment vertical="bottom"/>
    </xf>
    <xf borderId="88" fillId="0" fontId="5" numFmtId="0" xfId="0" applyBorder="1" applyFont="1"/>
    <xf borderId="82" fillId="0" fontId="1" numFmtId="16" xfId="0" applyAlignment="1" applyBorder="1" applyFont="1" applyNumberFormat="1">
      <alignment vertical="bottom"/>
    </xf>
    <xf borderId="82" fillId="0" fontId="1" numFmtId="0" xfId="0" applyAlignment="1" applyBorder="1" applyFont="1">
      <alignment vertical="bottom"/>
    </xf>
    <xf borderId="82" fillId="0" fontId="1" numFmtId="167" xfId="0" applyAlignment="1" applyBorder="1" applyFont="1" applyNumberFormat="1">
      <alignment vertical="bottom"/>
    </xf>
    <xf borderId="82" fillId="0" fontId="2" numFmtId="16" xfId="0" applyAlignment="1" applyBorder="1" applyFont="1" applyNumberFormat="1">
      <alignment horizontal="right"/>
    </xf>
    <xf borderId="82" fillId="0" fontId="1" numFmtId="16" xfId="0" applyBorder="1" applyFont="1" applyNumberFormat="1"/>
    <xf borderId="82" fillId="0" fontId="1" numFmtId="0" xfId="0" applyBorder="1" applyFont="1"/>
    <xf borderId="82" fillId="0" fontId="1" numFmtId="167" xfId="0" applyBorder="1" applyFont="1" applyNumberFormat="1"/>
    <xf borderId="68" fillId="14" fontId="1" numFmtId="0" xfId="0" applyBorder="1" applyFont="1"/>
    <xf borderId="68" fillId="22" fontId="1" numFmtId="0" xfId="0" applyBorder="1" applyFill="1" applyFont="1"/>
    <xf borderId="68" fillId="23" fontId="1" numFmtId="0" xfId="0" applyBorder="1" applyFill="1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horizontal="right" readingOrder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.xml"/><Relationship Id="rId46" Type="http://schemas.openxmlformats.org/officeDocument/2006/relationships/externalLink" Target="externalLinks/externalLink4.xml"/><Relationship Id="rId45" Type="http://schemas.openxmlformats.org/officeDocument/2006/relationships/externalLink" Target="externalLinks/externalLink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externalLink" Target="externalLinks/externalLink6.xml"/><Relationship Id="rId47" Type="http://schemas.openxmlformats.org/officeDocument/2006/relationships/externalLink" Target="externalLinks/externalLink5.xml"/><Relationship Id="rId49" Type="http://schemas.openxmlformats.org/officeDocument/2006/relationships/externalLink" Target="externalLinks/externalLink7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externalLink" Target="externalLinks/externalLink20.xml"/><Relationship Id="rId61" Type="http://schemas.openxmlformats.org/officeDocument/2006/relationships/externalLink" Target="externalLinks/externalLink19.xml"/><Relationship Id="rId20" Type="http://schemas.openxmlformats.org/officeDocument/2006/relationships/worksheet" Target="worksheets/sheet17.xml"/><Relationship Id="rId64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21.xml"/><Relationship Id="rId22" Type="http://schemas.openxmlformats.org/officeDocument/2006/relationships/worksheet" Target="worksheets/sheet19.xml"/><Relationship Id="rId66" Type="http://schemas.openxmlformats.org/officeDocument/2006/relationships/externalLink" Target="externalLinks/externalLink24.xml"/><Relationship Id="rId21" Type="http://schemas.openxmlformats.org/officeDocument/2006/relationships/worksheet" Target="worksheets/sheet18.xml"/><Relationship Id="rId65" Type="http://schemas.openxmlformats.org/officeDocument/2006/relationships/externalLink" Target="externalLinks/externalLink23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7" Type="http://customschemas.google.com/relationships/workbookmetadata" Target="metadata"/><Relationship Id="rId60" Type="http://schemas.openxmlformats.org/officeDocument/2006/relationships/externalLink" Target="externalLinks/externalLink18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externalLink" Target="externalLinks/externalLink9.xml"/><Relationship Id="rId50" Type="http://schemas.openxmlformats.org/officeDocument/2006/relationships/externalLink" Target="externalLinks/externalLink8.xml"/><Relationship Id="rId53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0.xml"/><Relationship Id="rId11" Type="http://schemas.openxmlformats.org/officeDocument/2006/relationships/worksheet" Target="worksheets/sheet8.xml"/><Relationship Id="rId55" Type="http://schemas.openxmlformats.org/officeDocument/2006/relationships/externalLink" Target="externalLinks/externalLink13.xml"/><Relationship Id="rId10" Type="http://schemas.openxmlformats.org/officeDocument/2006/relationships/worksheet" Target="worksheets/sheet7.xml"/><Relationship Id="rId54" Type="http://schemas.openxmlformats.org/officeDocument/2006/relationships/externalLink" Target="externalLinks/externalLink12.xml"/><Relationship Id="rId13" Type="http://schemas.openxmlformats.org/officeDocument/2006/relationships/worksheet" Target="worksheets/sheet10.xml"/><Relationship Id="rId57" Type="http://schemas.openxmlformats.org/officeDocument/2006/relationships/externalLink" Target="externalLinks/externalLink15.xml"/><Relationship Id="rId12" Type="http://schemas.openxmlformats.org/officeDocument/2006/relationships/worksheet" Target="worksheets/sheet9.xml"/><Relationship Id="rId56" Type="http://schemas.openxmlformats.org/officeDocument/2006/relationships/externalLink" Target="externalLinks/externalLink14.xml"/><Relationship Id="rId15" Type="http://schemas.openxmlformats.org/officeDocument/2006/relationships/worksheet" Target="worksheets/sheet12.xml"/><Relationship Id="rId59" Type="http://schemas.openxmlformats.org/officeDocument/2006/relationships/externalLink" Target="externalLinks/externalLink17.xml"/><Relationship Id="rId14" Type="http://schemas.openxmlformats.org/officeDocument/2006/relationships/worksheet" Target="worksheets/sheet11.xml"/><Relationship Id="rId58" Type="http://schemas.openxmlformats.org/officeDocument/2006/relationships/externalLink" Target="externalLinks/externalLink16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3</xdr:row>
      <xdr:rowOff>57150</xdr:rowOff>
    </xdr:from>
    <xdr:ext cx="1581150" cy="189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3</xdr:row>
      <xdr:rowOff>57150</xdr:rowOff>
    </xdr:from>
    <xdr:ext cx="1581150" cy="189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3</xdr:row>
      <xdr:rowOff>57150</xdr:rowOff>
    </xdr:from>
    <xdr:ext cx="1581150" cy="189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3</xdr:row>
      <xdr:rowOff>57150</xdr:rowOff>
    </xdr:from>
    <xdr:ext cx="1581150" cy="189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3</xdr:row>
      <xdr:rowOff>57150</xdr:rowOff>
    </xdr:from>
    <xdr:ext cx="1581150" cy="1895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7.%20JULIO%202025%20(3)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7.%20JULIO%202025%20(5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microsoft.com/office/2006/relationships/xlExternalLinkPath/xlPathMissing" Target="07-02-2025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microsoft.com/office/2006/relationships/xlExternalLinkPath/xlPathMissing" Target="11-02-2025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microsoft.com/office/2006/relationships/xlExternalLinkPath/xlPathMissing" Target="14-02-2025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microsoft.com/office/2006/relationships/xlExternalLinkPath/xlPathMissing" Target="17-02-2025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microsoft.com/office/2006/relationships/xlExternalLinkPath/xlPathMissing" Target="18-02-2025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microsoft.com/office/2006/relationships/xlExternalLinkPath/xlPathMissing" Target="21-02-2025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microsoft.com/office/2006/relationships/xlExternalLinkPath/xlPathMissing" Target="24-02-2025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microsoft.com/office/2006/relationships/xlExternalLinkPath/xlPathMissing" Target="25-02-2025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microsoft.com/office/2006/relationships/xlExternalLinkPath/xlPathMissing" Target="26-02-2025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microsoft.com/office/2006/relationships/xlExternalLinkPath/xlPathMissing" Target="28-02-2025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microsoft.com/office/2006/relationships/xlExternalLinkPath/xlPathMissing" Target="03-02-2025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microsoft.com/office/2006/relationships/xlExternalLinkPath/xlPathMissing" Target="05-02-2025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microsoft.com/office/2006/relationships/xlExternalLinkPath/xlPathMissing" Target="10-02-2025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microsoft.com/office/2006/relationships/xlExternalLinkPath/xlPathMissing" Target="13-02-2025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microsoft.com/office/2006/relationships/xlExternalLinkPath/xlPathMissing" Target="19-02-2025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microsoft.com/office/2006/relationships/xlExternalLinkPath/xlPathMissing" Target="20-02-2025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microsoft.com/office/2006/relationships/xlExternalLinkPath/xlPathMissing" Target="04-02-2025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microsoft.com/office/2006/relationships/xlExternalLinkPath/xlPathMissing" Target="06-02-2025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microsoft.com/office/2006/relationships/xlExternalLinkPath/xlPathMissing" Target="15-02-2025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microsoft.com/office/2006/relationships/xlExternalLinkPath/xlPathMissing" Target="22-02-2025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microsoft.com/office/2006/relationships/xlExternalLinkPath/xlPathMissing" Target="12-02-2025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microsoft.com/office/2006/relationships/xlExternalLinkPath/xlPathMissing" Target="01-02-202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07-2025 "/>
      <sheetName val="02-07-2025"/>
      <sheetName val="03-07-2025"/>
      <sheetName val="04-07-2025 "/>
      <sheetName val="05-07-2025 "/>
      <sheetName val="07-07-2025 "/>
      <sheetName val="08-07-2025"/>
      <sheetName val="10-07-2025"/>
      <sheetName val="11-07-2025"/>
      <sheetName val="CUENTAS CORRIENTES"/>
      <sheetName val="COLEGIO PROMEDIO"/>
      <sheetName val="CHEQUES"/>
      <sheetName val="FIADO MERCADO"/>
      <sheetName val="VACIOS"/>
      <sheetName val="CRECIMIENTO"/>
      <sheetName val="RETIROS"/>
      <sheetName val="CAJA MENSUAL"/>
      <sheetName val="UTILIDAD"/>
      <sheetName val="ESTADO DE RESULTADO"/>
      <sheetName val="Hoja1"/>
      <sheetName val="Sheet3"/>
      <sheetName val="Hoja2"/>
      <sheetName val="INVERS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07-2025 "/>
      <sheetName val="02-07-2025"/>
      <sheetName val="03-07-2025"/>
      <sheetName val="04-07-2025 "/>
      <sheetName val="05-07-2025 "/>
      <sheetName val="07-07-2025 "/>
      <sheetName val="08-07-2025"/>
      <sheetName val="10-07-2025"/>
      <sheetName val="11-07-2025"/>
      <sheetName val="12-07-2025"/>
      <sheetName val="14-07-2025 "/>
      <sheetName val="15-07-2025"/>
      <sheetName val="16-07-2025 "/>
      <sheetName val="17-07-2025 "/>
      <sheetName val="18-07-2025 "/>
      <sheetName val="19-07-2025"/>
      <sheetName val="21-07-2025 "/>
      <sheetName val="CUENTAS CORRIENTES"/>
      <sheetName val="CHEQUES"/>
      <sheetName val="FIADO MERCADO"/>
      <sheetName val="VACIOS"/>
      <sheetName val="CRECIMIENTO"/>
      <sheetName val="CAJA MENSUAL"/>
      <sheetName val="UTILIDAD"/>
      <sheetName val="RETIROS"/>
      <sheetName val="ESTADO DE RESULTADO"/>
      <sheetName val="COLEGIO PROMEDIO"/>
      <sheetName val="Hoja1"/>
      <sheetName val="Sheet3"/>
      <sheetName val="Hoja2"/>
      <sheetName val="INVERSION 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7-02-202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1-02-2025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4-02-2025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7-02-2025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8-02-2025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1-02-2025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4-02-2025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5-02-2025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6-02-2025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8-02-2025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3-02-2025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5-02-202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0-02-2025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-02-2025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9-02-2025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-02-2025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4-02-2025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6-02-2025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5-02-2025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2-02-2025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2-02-2025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-02-202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1</v>
      </c>
      <c r="F3" s="7">
        <v>46055.0</v>
      </c>
      <c r="G3" s="6" t="s">
        <v>2</v>
      </c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10.0</v>
      </c>
      <c r="B6" s="12" t="s">
        <v>11</v>
      </c>
      <c r="C6" s="14" t="s">
        <v>12</v>
      </c>
      <c r="D6" s="15">
        <v>3500.0</v>
      </c>
      <c r="E6" s="15">
        <f t="shared" ref="E6:E32" si="1">A6*D6</f>
        <v>35000</v>
      </c>
      <c r="F6" s="15">
        <f t="shared" ref="F6:F12" si="2">E6*1.105</f>
        <v>38675</v>
      </c>
      <c r="G6" s="3"/>
      <c r="H6" s="3" t="s">
        <v>13</v>
      </c>
      <c r="I6" s="16">
        <v>2000.0</v>
      </c>
      <c r="J6" s="15">
        <f t="shared" ref="J6:J32" si="3">I6*A6</f>
        <v>20000</v>
      </c>
      <c r="K6" s="15">
        <f t="shared" ref="K6:K32" si="4">F6-J6</f>
        <v>18675</v>
      </c>
      <c r="L6" s="4"/>
      <c r="M6" s="17"/>
      <c r="N6" s="18"/>
      <c r="O6" s="19"/>
      <c r="P6" s="18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10.0</v>
      </c>
      <c r="B7" s="12" t="s">
        <v>11</v>
      </c>
      <c r="C7" s="14" t="s">
        <v>14</v>
      </c>
      <c r="D7" s="15">
        <v>3500.0</v>
      </c>
      <c r="E7" s="15">
        <f t="shared" si="1"/>
        <v>35000</v>
      </c>
      <c r="F7" s="15">
        <f t="shared" si="2"/>
        <v>38675</v>
      </c>
      <c r="G7" s="3"/>
      <c r="H7" s="3" t="s">
        <v>13</v>
      </c>
      <c r="I7" s="15">
        <v>2000.0</v>
      </c>
      <c r="J7" s="15">
        <f t="shared" si="3"/>
        <v>20000</v>
      </c>
      <c r="K7" s="15">
        <f t="shared" si="4"/>
        <v>18675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10.0</v>
      </c>
      <c r="B8" s="12" t="s">
        <v>11</v>
      </c>
      <c r="C8" s="14" t="s">
        <v>15</v>
      </c>
      <c r="D8" s="15">
        <v>3500.0</v>
      </c>
      <c r="E8" s="15">
        <f t="shared" si="1"/>
        <v>35000</v>
      </c>
      <c r="F8" s="15">
        <f t="shared" si="2"/>
        <v>38675</v>
      </c>
      <c r="G8" s="3"/>
      <c r="H8" s="3" t="s">
        <v>13</v>
      </c>
      <c r="I8" s="15">
        <v>2000.0</v>
      </c>
      <c r="J8" s="15">
        <f t="shared" si="3"/>
        <v>20000</v>
      </c>
      <c r="K8" s="15">
        <f t="shared" si="4"/>
        <v>18675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10.0</v>
      </c>
      <c r="B9" s="12" t="s">
        <v>11</v>
      </c>
      <c r="C9" s="14" t="s">
        <v>16</v>
      </c>
      <c r="D9" s="15">
        <v>1000.0</v>
      </c>
      <c r="E9" s="15">
        <f t="shared" si="1"/>
        <v>10000</v>
      </c>
      <c r="F9" s="15">
        <f t="shared" si="2"/>
        <v>11050</v>
      </c>
      <c r="G9" s="3"/>
      <c r="H9" s="3"/>
      <c r="I9" s="15">
        <f>6000/12</f>
        <v>500</v>
      </c>
      <c r="J9" s="15">
        <f t="shared" si="3"/>
        <v>5000</v>
      </c>
      <c r="K9" s="15">
        <f t="shared" si="4"/>
        <v>6050</v>
      </c>
      <c r="L9" s="4"/>
      <c r="M9" s="20"/>
      <c r="N9" s="21"/>
      <c r="P9" s="21"/>
      <c r="Q9" s="21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1.0</v>
      </c>
      <c r="B10" s="12" t="s">
        <v>11</v>
      </c>
      <c r="C10" s="14" t="s">
        <v>17</v>
      </c>
      <c r="D10" s="15">
        <v>5500.0</v>
      </c>
      <c r="E10" s="15">
        <f t="shared" si="1"/>
        <v>5500</v>
      </c>
      <c r="F10" s="15">
        <f t="shared" si="2"/>
        <v>6077.5</v>
      </c>
      <c r="G10" s="3"/>
      <c r="H10" s="3" t="s">
        <v>13</v>
      </c>
      <c r="I10" s="16">
        <v>4000.0</v>
      </c>
      <c r="J10" s="15">
        <f t="shared" si="3"/>
        <v>4000</v>
      </c>
      <c r="K10" s="15">
        <f t="shared" si="4"/>
        <v>2077.5</v>
      </c>
      <c r="L10" s="4"/>
      <c r="M10" s="17"/>
      <c r="N10" s="18"/>
      <c r="O10" s="19"/>
      <c r="P10" s="18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3.0</v>
      </c>
      <c r="B11" s="12" t="s">
        <v>18</v>
      </c>
      <c r="C11" s="14" t="s">
        <v>19</v>
      </c>
      <c r="D11" s="22">
        <v>18000.0</v>
      </c>
      <c r="E11" s="15">
        <f t="shared" si="1"/>
        <v>54000</v>
      </c>
      <c r="F11" s="15">
        <f t="shared" si="2"/>
        <v>59670</v>
      </c>
      <c r="G11" s="3"/>
      <c r="H11" s="3" t="s">
        <v>13</v>
      </c>
      <c r="I11" s="15">
        <v>13000.0</v>
      </c>
      <c r="J11" s="15">
        <f t="shared" si="3"/>
        <v>39000</v>
      </c>
      <c r="K11" s="15">
        <f t="shared" si="4"/>
        <v>20670</v>
      </c>
      <c r="L11" s="4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3.0</v>
      </c>
      <c r="B12" s="12" t="s">
        <v>18</v>
      </c>
      <c r="C12" s="14" t="s">
        <v>20</v>
      </c>
      <c r="D12" s="15">
        <v>30000.0</v>
      </c>
      <c r="E12" s="15">
        <f t="shared" si="1"/>
        <v>90000</v>
      </c>
      <c r="F12" s="15">
        <f t="shared" si="2"/>
        <v>99450</v>
      </c>
      <c r="G12" s="3"/>
      <c r="H12" s="3" t="s">
        <v>13</v>
      </c>
      <c r="I12" s="15">
        <v>20000.0</v>
      </c>
      <c r="J12" s="15">
        <f t="shared" si="3"/>
        <v>60000</v>
      </c>
      <c r="K12" s="15">
        <f t="shared" si="4"/>
        <v>39450</v>
      </c>
      <c r="L12" s="4"/>
      <c r="M12" s="20"/>
      <c r="N12" s="18"/>
      <c r="O12" s="19"/>
      <c r="P12" s="21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0.5</v>
      </c>
      <c r="B13" s="12" t="s">
        <v>18</v>
      </c>
      <c r="C13" s="14" t="s">
        <v>21</v>
      </c>
      <c r="D13" s="15">
        <v>56000.0</v>
      </c>
      <c r="E13" s="15">
        <f t="shared" si="1"/>
        <v>28000</v>
      </c>
      <c r="F13" s="15">
        <f>E13*1.21</f>
        <v>33880</v>
      </c>
      <c r="G13" s="3"/>
      <c r="H13" s="3" t="s">
        <v>13</v>
      </c>
      <c r="I13" s="15">
        <v>46000.0</v>
      </c>
      <c r="J13" s="15">
        <f t="shared" si="3"/>
        <v>23000</v>
      </c>
      <c r="K13" s="15">
        <f t="shared" si="4"/>
        <v>10880</v>
      </c>
      <c r="L13" s="4"/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1.0</v>
      </c>
      <c r="B14" s="12" t="s">
        <v>18</v>
      </c>
      <c r="C14" s="14" t="s">
        <v>22</v>
      </c>
      <c r="D14" s="15">
        <v>16000.0</v>
      </c>
      <c r="E14" s="15">
        <f t="shared" si="1"/>
        <v>16000</v>
      </c>
      <c r="F14" s="15">
        <f t="shared" ref="F14:F27" si="5">E14*1.105</f>
        <v>17680</v>
      </c>
      <c r="G14" s="3"/>
      <c r="H14" s="3" t="s">
        <v>13</v>
      </c>
      <c r="I14" s="15">
        <v>8000.0</v>
      </c>
      <c r="J14" s="15">
        <f t="shared" si="3"/>
        <v>8000</v>
      </c>
      <c r="K14" s="15">
        <f t="shared" si="4"/>
        <v>9680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1.0</v>
      </c>
      <c r="B15" s="12" t="s">
        <v>18</v>
      </c>
      <c r="C15" s="14" t="s">
        <v>23</v>
      </c>
      <c r="D15" s="15">
        <v>15000.0</v>
      </c>
      <c r="E15" s="15">
        <f t="shared" si="1"/>
        <v>15000</v>
      </c>
      <c r="F15" s="15">
        <f t="shared" si="5"/>
        <v>16575</v>
      </c>
      <c r="G15" s="3"/>
      <c r="H15" s="3"/>
      <c r="I15" s="15">
        <v>7000.0</v>
      </c>
      <c r="J15" s="15">
        <f t="shared" si="3"/>
        <v>7000</v>
      </c>
      <c r="K15" s="15">
        <f t="shared" si="4"/>
        <v>9575</v>
      </c>
      <c r="L15" s="4"/>
      <c r="M15" s="20"/>
      <c r="N15" s="21"/>
      <c r="P15" s="21"/>
      <c r="Q15" s="21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18</v>
      </c>
      <c r="C16" s="14" t="s">
        <v>24</v>
      </c>
      <c r="D16" s="15">
        <v>40000.0</v>
      </c>
      <c r="E16" s="15">
        <f t="shared" si="1"/>
        <v>40000</v>
      </c>
      <c r="F16" s="15">
        <f t="shared" si="5"/>
        <v>44200</v>
      </c>
      <c r="G16" s="3"/>
      <c r="H16" s="3" t="s">
        <v>13</v>
      </c>
      <c r="I16" s="16">
        <v>30000.0</v>
      </c>
      <c r="J16" s="15">
        <f t="shared" si="3"/>
        <v>30000</v>
      </c>
      <c r="K16" s="15">
        <f t="shared" si="4"/>
        <v>14200</v>
      </c>
      <c r="L16" s="4"/>
      <c r="M16" s="17"/>
      <c r="N16" s="18"/>
      <c r="O16" s="19"/>
      <c r="P16" s="18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1.0</v>
      </c>
      <c r="B17" s="12" t="s">
        <v>18</v>
      </c>
      <c r="C17" s="14" t="s">
        <v>25</v>
      </c>
      <c r="D17" s="15">
        <v>25000.0</v>
      </c>
      <c r="E17" s="15">
        <f t="shared" si="1"/>
        <v>25000</v>
      </c>
      <c r="F17" s="15">
        <f t="shared" si="5"/>
        <v>27625</v>
      </c>
      <c r="G17" s="3"/>
      <c r="H17" s="3" t="s">
        <v>13</v>
      </c>
      <c r="I17" s="15">
        <v>13000.0</v>
      </c>
      <c r="J17" s="15">
        <f t="shared" si="3"/>
        <v>13000</v>
      </c>
      <c r="K17" s="15">
        <f t="shared" si="4"/>
        <v>14625</v>
      </c>
      <c r="L17" s="4"/>
      <c r="M17" s="20"/>
      <c r="N17" s="18"/>
      <c r="O17" s="19"/>
      <c r="P17" s="21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18</v>
      </c>
      <c r="C18" s="14" t="s">
        <v>26</v>
      </c>
      <c r="D18" s="15">
        <v>35000.0</v>
      </c>
      <c r="E18" s="15">
        <f t="shared" si="1"/>
        <v>35000</v>
      </c>
      <c r="F18" s="15">
        <f t="shared" si="5"/>
        <v>38675</v>
      </c>
      <c r="G18" s="3"/>
      <c r="H18" s="3" t="s">
        <v>13</v>
      </c>
      <c r="I18" s="15">
        <v>25000.0</v>
      </c>
      <c r="J18" s="15">
        <f t="shared" si="3"/>
        <v>25000</v>
      </c>
      <c r="K18" s="15">
        <f t="shared" si="4"/>
        <v>13675</v>
      </c>
      <c r="L18" s="4"/>
      <c r="M18" s="20"/>
      <c r="N18" s="18"/>
      <c r="O18" s="19"/>
      <c r="P18" s="21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2.0</v>
      </c>
      <c r="B19" s="12" t="s">
        <v>27</v>
      </c>
      <c r="C19" s="14" t="s">
        <v>28</v>
      </c>
      <c r="D19" s="15">
        <v>3000.0</v>
      </c>
      <c r="E19" s="15">
        <f t="shared" si="1"/>
        <v>6000</v>
      </c>
      <c r="F19" s="15">
        <f t="shared" si="5"/>
        <v>6630</v>
      </c>
      <c r="G19" s="3"/>
      <c r="H19" s="3" t="s">
        <v>13</v>
      </c>
      <c r="I19" s="15">
        <v>2000.0</v>
      </c>
      <c r="J19" s="15">
        <f t="shared" si="3"/>
        <v>4000</v>
      </c>
      <c r="K19" s="15">
        <f t="shared" si="4"/>
        <v>2630</v>
      </c>
      <c r="L19" s="4"/>
      <c r="M19" s="20"/>
      <c r="N19" s="18"/>
      <c r="O19" s="19"/>
      <c r="P19" s="21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2.0</v>
      </c>
      <c r="B20" s="12" t="s">
        <v>29</v>
      </c>
      <c r="C20" s="14" t="s">
        <v>30</v>
      </c>
      <c r="D20" s="15">
        <v>63000.0</v>
      </c>
      <c r="E20" s="15">
        <f t="shared" si="1"/>
        <v>126000</v>
      </c>
      <c r="F20" s="15">
        <f t="shared" si="5"/>
        <v>139230</v>
      </c>
      <c r="G20" s="3"/>
      <c r="H20" s="3"/>
      <c r="I20" s="15">
        <v>40000.0</v>
      </c>
      <c r="J20" s="15">
        <f t="shared" si="3"/>
        <v>80000</v>
      </c>
      <c r="K20" s="15">
        <f t="shared" si="4"/>
        <v>59230</v>
      </c>
      <c r="L20" s="4"/>
      <c r="M20" s="20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2.0</v>
      </c>
      <c r="B21" s="12" t="s">
        <v>29</v>
      </c>
      <c r="C21" s="14" t="s">
        <v>31</v>
      </c>
      <c r="D21" s="15">
        <v>35000.0</v>
      </c>
      <c r="E21" s="15">
        <f t="shared" si="1"/>
        <v>70000</v>
      </c>
      <c r="F21" s="15">
        <f t="shared" si="5"/>
        <v>77350</v>
      </c>
      <c r="G21" s="3"/>
      <c r="H21" s="3"/>
      <c r="I21" s="15">
        <v>24000.0</v>
      </c>
      <c r="J21" s="15">
        <f t="shared" si="3"/>
        <v>48000</v>
      </c>
      <c r="K21" s="15">
        <f t="shared" si="4"/>
        <v>29350</v>
      </c>
      <c r="L21" s="4"/>
      <c r="M21" s="20"/>
      <c r="N21" s="21"/>
      <c r="P21" s="21"/>
      <c r="Q21" s="21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3.0</v>
      </c>
      <c r="B22" s="12" t="s">
        <v>18</v>
      </c>
      <c r="C22" s="14" t="s">
        <v>32</v>
      </c>
      <c r="D22" s="15">
        <v>22000.0</v>
      </c>
      <c r="E22" s="15">
        <f t="shared" si="1"/>
        <v>66000</v>
      </c>
      <c r="F22" s="15">
        <f t="shared" si="5"/>
        <v>72930</v>
      </c>
      <c r="G22" s="3"/>
      <c r="H22" s="3"/>
      <c r="I22" s="15">
        <v>17000.0</v>
      </c>
      <c r="J22" s="15">
        <f t="shared" si="3"/>
        <v>51000</v>
      </c>
      <c r="K22" s="15">
        <f t="shared" si="4"/>
        <v>21930</v>
      </c>
      <c r="L22" s="4"/>
      <c r="M22" s="20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28.0</v>
      </c>
      <c r="B23" s="12" t="s">
        <v>33</v>
      </c>
      <c r="C23" s="14" t="s">
        <v>34</v>
      </c>
      <c r="D23" s="15">
        <v>1200.0</v>
      </c>
      <c r="E23" s="15">
        <f t="shared" si="1"/>
        <v>33600</v>
      </c>
      <c r="F23" s="15">
        <f t="shared" si="5"/>
        <v>37128</v>
      </c>
      <c r="G23" s="3"/>
      <c r="H23" s="3"/>
      <c r="I23" s="15">
        <v>700.0</v>
      </c>
      <c r="J23" s="15">
        <f t="shared" si="3"/>
        <v>19600</v>
      </c>
      <c r="K23" s="15">
        <f t="shared" si="4"/>
        <v>17528</v>
      </c>
      <c r="L23" s="4"/>
      <c r="M23" s="20"/>
      <c r="N23" s="21"/>
      <c r="P23" s="21"/>
      <c r="Q23" s="21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2.0</v>
      </c>
      <c r="B24" s="12" t="s">
        <v>18</v>
      </c>
      <c r="C24" s="14" t="s">
        <v>35</v>
      </c>
      <c r="D24" s="15">
        <v>22000.0</v>
      </c>
      <c r="E24" s="15">
        <f t="shared" si="1"/>
        <v>44000</v>
      </c>
      <c r="F24" s="15">
        <f t="shared" si="5"/>
        <v>48620</v>
      </c>
      <c r="G24" s="3"/>
      <c r="H24" s="3"/>
      <c r="I24" s="15">
        <v>15000.0</v>
      </c>
      <c r="J24" s="15">
        <f t="shared" si="3"/>
        <v>30000</v>
      </c>
      <c r="K24" s="15">
        <f t="shared" si="4"/>
        <v>18620</v>
      </c>
      <c r="L24" s="4"/>
      <c r="M24" s="20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2.0</v>
      </c>
      <c r="B25" s="12" t="s">
        <v>18</v>
      </c>
      <c r="C25" s="14" t="s">
        <v>36</v>
      </c>
      <c r="D25" s="15">
        <v>40000.0</v>
      </c>
      <c r="E25" s="15">
        <f t="shared" si="1"/>
        <v>80000</v>
      </c>
      <c r="F25" s="15">
        <f t="shared" si="5"/>
        <v>88400</v>
      </c>
      <c r="G25" s="3"/>
      <c r="H25" s="3"/>
      <c r="I25" s="15">
        <v>25000.0</v>
      </c>
      <c r="J25" s="15">
        <f t="shared" si="3"/>
        <v>50000</v>
      </c>
      <c r="K25" s="15">
        <f t="shared" si="4"/>
        <v>38400</v>
      </c>
      <c r="L25" s="4"/>
      <c r="M25" s="20"/>
      <c r="N25" s="21"/>
      <c r="P25" s="21"/>
      <c r="Q25" s="21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2.0</v>
      </c>
      <c r="B26" s="12" t="s">
        <v>37</v>
      </c>
      <c r="C26" s="14" t="s">
        <v>31</v>
      </c>
      <c r="D26" s="15">
        <v>35000.0</v>
      </c>
      <c r="E26" s="15">
        <f t="shared" si="1"/>
        <v>70000</v>
      </c>
      <c r="F26" s="15">
        <f t="shared" si="5"/>
        <v>77350</v>
      </c>
      <c r="G26" s="6" t="s">
        <v>38</v>
      </c>
      <c r="H26" s="3"/>
      <c r="I26" s="15"/>
      <c r="J26" s="15">
        <f t="shared" si="3"/>
        <v>0</v>
      </c>
      <c r="K26" s="15">
        <f t="shared" si="4"/>
        <v>77350</v>
      </c>
      <c r="L26" s="4"/>
      <c r="M26" s="20"/>
      <c r="N26" s="21"/>
      <c r="P26" s="21"/>
      <c r="Q26" s="21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2.0</v>
      </c>
      <c r="B27" s="12" t="s">
        <v>18</v>
      </c>
      <c r="C27" s="14" t="s">
        <v>39</v>
      </c>
      <c r="D27" s="15">
        <v>22000.0</v>
      </c>
      <c r="E27" s="15">
        <f t="shared" si="1"/>
        <v>44000</v>
      </c>
      <c r="F27" s="15">
        <f t="shared" si="5"/>
        <v>48620</v>
      </c>
      <c r="G27" s="6" t="s">
        <v>38</v>
      </c>
      <c r="H27" s="3" t="s">
        <v>13</v>
      </c>
      <c r="I27" s="16"/>
      <c r="J27" s="15">
        <f t="shared" si="3"/>
        <v>0</v>
      </c>
      <c r="K27" s="15">
        <f t="shared" si="4"/>
        <v>48620</v>
      </c>
      <c r="L27" s="4"/>
      <c r="M27" s="17"/>
      <c r="N27" s="18"/>
      <c r="O27" s="19"/>
      <c r="P27" s="18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0.5</v>
      </c>
      <c r="B28" s="12" t="s">
        <v>40</v>
      </c>
      <c r="C28" s="14" t="s">
        <v>21</v>
      </c>
      <c r="D28" s="15">
        <v>56000.0</v>
      </c>
      <c r="E28" s="15">
        <f t="shared" si="1"/>
        <v>28000</v>
      </c>
      <c r="F28" s="15">
        <f>E28*1.21</f>
        <v>33880</v>
      </c>
      <c r="G28" s="6" t="s">
        <v>38</v>
      </c>
      <c r="H28" s="3" t="s">
        <v>13</v>
      </c>
      <c r="I28" s="15"/>
      <c r="J28" s="15">
        <f t="shared" si="3"/>
        <v>0</v>
      </c>
      <c r="K28" s="15">
        <f t="shared" si="4"/>
        <v>33880</v>
      </c>
      <c r="L28" s="4"/>
      <c r="M28" s="20"/>
      <c r="N28" s="18"/>
      <c r="O28" s="19"/>
      <c r="P28" s="21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1.0</v>
      </c>
      <c r="B29" s="12" t="s">
        <v>18</v>
      </c>
      <c r="C29" s="14" t="s">
        <v>23</v>
      </c>
      <c r="D29" s="15">
        <v>15000.0</v>
      </c>
      <c r="E29" s="15">
        <f t="shared" si="1"/>
        <v>15000</v>
      </c>
      <c r="F29" s="15">
        <f t="shared" ref="F29:F32" si="6">E29*1.105</f>
        <v>16575</v>
      </c>
      <c r="G29" s="6" t="s">
        <v>41</v>
      </c>
      <c r="H29" s="3" t="s">
        <v>13</v>
      </c>
      <c r="I29" s="15"/>
      <c r="J29" s="15">
        <f t="shared" si="3"/>
        <v>0</v>
      </c>
      <c r="K29" s="15">
        <f t="shared" si="4"/>
        <v>16575</v>
      </c>
      <c r="L29" s="4"/>
      <c r="M29" s="20"/>
      <c r="N29" s="21"/>
      <c r="P29" s="21"/>
      <c r="Q29" s="21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>
        <v>1.0</v>
      </c>
      <c r="B30" s="12" t="s">
        <v>18</v>
      </c>
      <c r="C30" s="14" t="s">
        <v>22</v>
      </c>
      <c r="D30" s="15">
        <v>16000.0</v>
      </c>
      <c r="E30" s="15">
        <f t="shared" si="1"/>
        <v>16000</v>
      </c>
      <c r="F30" s="15">
        <f t="shared" si="6"/>
        <v>17680</v>
      </c>
      <c r="G30" s="6" t="s">
        <v>41</v>
      </c>
      <c r="H30" s="3"/>
      <c r="I30" s="15"/>
      <c r="J30" s="15">
        <f t="shared" si="3"/>
        <v>0</v>
      </c>
      <c r="K30" s="15">
        <f t="shared" si="4"/>
        <v>17680</v>
      </c>
      <c r="L30" s="4"/>
      <c r="M30" s="20"/>
      <c r="N30" s="21"/>
      <c r="P30" s="21"/>
      <c r="Q30" s="21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>
        <v>1.0</v>
      </c>
      <c r="B31" s="12" t="s">
        <v>40</v>
      </c>
      <c r="C31" s="14" t="s">
        <v>19</v>
      </c>
      <c r="D31" s="22">
        <v>18000.0</v>
      </c>
      <c r="E31" s="15">
        <f t="shared" si="1"/>
        <v>18000</v>
      </c>
      <c r="F31" s="15">
        <f t="shared" si="6"/>
        <v>19890</v>
      </c>
      <c r="G31" s="6" t="s">
        <v>41</v>
      </c>
      <c r="H31" s="3"/>
      <c r="I31" s="15"/>
      <c r="J31" s="15">
        <f t="shared" si="3"/>
        <v>0</v>
      </c>
      <c r="K31" s="15">
        <f t="shared" si="4"/>
        <v>19890</v>
      </c>
      <c r="L31" s="4"/>
      <c r="M31" s="20"/>
      <c r="N31" s="21"/>
      <c r="P31" s="21"/>
      <c r="Q31" s="21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18</v>
      </c>
      <c r="C32" s="14" t="s">
        <v>20</v>
      </c>
      <c r="D32" s="15">
        <v>30000.0</v>
      </c>
      <c r="E32" s="15">
        <f t="shared" si="1"/>
        <v>30000</v>
      </c>
      <c r="F32" s="15">
        <f t="shared" si="6"/>
        <v>33150</v>
      </c>
      <c r="G32" s="6" t="s">
        <v>41</v>
      </c>
      <c r="H32" s="3"/>
      <c r="I32" s="15"/>
      <c r="J32" s="15">
        <f t="shared" si="3"/>
        <v>0</v>
      </c>
      <c r="K32" s="15">
        <f t="shared" si="4"/>
        <v>33150</v>
      </c>
      <c r="L32" s="4"/>
      <c r="M32" s="20"/>
      <c r="N32" s="21"/>
      <c r="P32" s="21"/>
      <c r="Q32" s="21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/>
      <c r="B33" s="12"/>
      <c r="C33" s="14"/>
      <c r="D33" s="15"/>
      <c r="E33" s="3"/>
      <c r="F33" s="3"/>
      <c r="G33" s="3"/>
      <c r="H33" s="3"/>
      <c r="I33" s="3"/>
      <c r="J33" s="3"/>
      <c r="K33" s="3"/>
      <c r="L33" s="4"/>
      <c r="N33" s="21"/>
      <c r="P33" s="21"/>
      <c r="Q33" s="21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/>
      <c r="B34" s="12"/>
      <c r="C34" s="14"/>
      <c r="D34" s="15"/>
      <c r="E34" s="15">
        <f t="shared" ref="E34:F34" si="7">SUM(E6:E32)</f>
        <v>1070100</v>
      </c>
      <c r="F34" s="15">
        <f t="shared" si="7"/>
        <v>1188340.5</v>
      </c>
      <c r="G34" s="3"/>
      <c r="H34" s="3"/>
      <c r="I34" s="3"/>
      <c r="J34" s="3"/>
      <c r="K34" s="15">
        <f>SUM(K6:K32)</f>
        <v>631740.5</v>
      </c>
      <c r="L34" s="23">
        <f>K34/F34</f>
        <v>0.531615728</v>
      </c>
      <c r="M34" s="2"/>
      <c r="N34" s="21"/>
      <c r="P34" s="21"/>
      <c r="Q34" s="21"/>
      <c r="R34" s="2"/>
      <c r="S34" s="3"/>
      <c r="T34" s="3"/>
      <c r="U34" s="1"/>
      <c r="V34" s="3"/>
      <c r="W34" s="3"/>
      <c r="X34" s="3"/>
      <c r="Y34" s="3"/>
      <c r="Z34" s="3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21"/>
      <c r="P35" s="21"/>
      <c r="Q35" s="21"/>
      <c r="R35" s="2"/>
      <c r="S35" s="3"/>
      <c r="T35" s="3"/>
      <c r="U35" s="1"/>
      <c r="V35" s="3"/>
      <c r="W35" s="3"/>
      <c r="X35" s="3"/>
      <c r="Y35" s="3"/>
      <c r="Z35" s="3"/>
    </row>
    <row r="36">
      <c r="A36" s="24"/>
      <c r="B36" s="24"/>
      <c r="C36" s="24"/>
      <c r="D36" s="7"/>
      <c r="E36" s="25"/>
      <c r="F36" s="7"/>
      <c r="G36" s="6"/>
      <c r="H36" s="3"/>
      <c r="I36" s="8"/>
      <c r="J36" s="8"/>
      <c r="K36" s="8"/>
      <c r="L36" s="4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5" t="s">
        <v>42</v>
      </c>
      <c r="B37" s="5" t="s">
        <v>43</v>
      </c>
      <c r="C37" s="5"/>
      <c r="D37" s="6"/>
      <c r="E37" s="6" t="s">
        <v>44</v>
      </c>
      <c r="F37" s="7">
        <v>46055.0</v>
      </c>
      <c r="G37" s="6" t="s">
        <v>2</v>
      </c>
      <c r="H37" s="3"/>
      <c r="I37" s="8" t="s">
        <v>3</v>
      </c>
      <c r="L37" s="4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"/>
      <c r="B38" s="3"/>
      <c r="C38" s="9"/>
      <c r="D38" s="3"/>
      <c r="E38" s="3"/>
      <c r="F38" s="3"/>
      <c r="G38" s="3"/>
      <c r="H38" s="3"/>
      <c r="I38" s="3"/>
      <c r="J38" s="3"/>
      <c r="K38" s="3"/>
      <c r="L38" s="4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5" t="s">
        <v>4</v>
      </c>
      <c r="B39" s="10" t="s">
        <v>5</v>
      </c>
      <c r="C39" s="11" t="s">
        <v>6</v>
      </c>
      <c r="D39" s="12" t="s">
        <v>7</v>
      </c>
      <c r="E39" s="10" t="s">
        <v>8</v>
      </c>
      <c r="F39" s="10" t="s">
        <v>9</v>
      </c>
      <c r="G39" s="3"/>
      <c r="H39" s="3"/>
      <c r="I39" s="10" t="s">
        <v>7</v>
      </c>
      <c r="J39" s="10" t="s">
        <v>8</v>
      </c>
      <c r="K39" s="10" t="s">
        <v>10</v>
      </c>
      <c r="L39" s="4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5.0</v>
      </c>
      <c r="B40" s="12" t="s">
        <v>33</v>
      </c>
      <c r="C40" s="14" t="s">
        <v>23</v>
      </c>
      <c r="D40" s="15">
        <v>1700.0</v>
      </c>
      <c r="E40" s="15">
        <f t="shared" ref="E40:E57" si="8">A40*D40</f>
        <v>8500</v>
      </c>
      <c r="F40" s="15">
        <f t="shared" ref="F40:F50" si="9">E40*1.105</f>
        <v>9392.5</v>
      </c>
      <c r="G40" s="3"/>
      <c r="H40" s="3" t="s">
        <v>13</v>
      </c>
      <c r="I40" s="16">
        <v>1000.0</v>
      </c>
      <c r="J40" s="15">
        <f t="shared" ref="J40:J57" si="10">I40*A40</f>
        <v>5000</v>
      </c>
      <c r="K40" s="15">
        <f t="shared" ref="K40:K57" si="11">F40-J40</f>
        <v>4392.5</v>
      </c>
      <c r="L40" s="23"/>
      <c r="M40" s="17"/>
      <c r="N40" s="18"/>
      <c r="O40" s="19"/>
      <c r="P40" s="18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1.0</v>
      </c>
      <c r="B41" s="12" t="s">
        <v>38</v>
      </c>
      <c r="C41" s="14" t="s">
        <v>45</v>
      </c>
      <c r="D41" s="15">
        <v>13000.0</v>
      </c>
      <c r="E41" s="15">
        <f t="shared" si="8"/>
        <v>13000</v>
      </c>
      <c r="F41" s="15">
        <f t="shared" si="9"/>
        <v>14365</v>
      </c>
      <c r="G41" s="3"/>
      <c r="H41" s="3" t="s">
        <v>13</v>
      </c>
      <c r="I41" s="15">
        <v>8000.0</v>
      </c>
      <c r="J41" s="15">
        <f t="shared" si="10"/>
        <v>8000</v>
      </c>
      <c r="K41" s="15">
        <f t="shared" si="11"/>
        <v>6365</v>
      </c>
      <c r="L41" s="23"/>
      <c r="M41" s="20"/>
      <c r="N41" s="21"/>
      <c r="P41" s="21"/>
      <c r="Q41" s="21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1.0</v>
      </c>
      <c r="B42" s="12" t="s">
        <v>38</v>
      </c>
      <c r="C42" s="14" t="s">
        <v>46</v>
      </c>
      <c r="D42" s="15">
        <v>14000.0</v>
      </c>
      <c r="E42" s="15">
        <f t="shared" si="8"/>
        <v>14000</v>
      </c>
      <c r="F42" s="15">
        <f t="shared" si="9"/>
        <v>15470</v>
      </c>
      <c r="G42" s="3"/>
      <c r="H42" s="3" t="s">
        <v>13</v>
      </c>
      <c r="I42" s="15">
        <v>11000.0</v>
      </c>
      <c r="J42" s="15">
        <f t="shared" si="10"/>
        <v>11000</v>
      </c>
      <c r="K42" s="15">
        <f t="shared" si="11"/>
        <v>4470</v>
      </c>
      <c r="L42" s="23"/>
      <c r="M42" s="20"/>
      <c r="N42" s="21"/>
      <c r="P42" s="21"/>
      <c r="Q42" s="21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0.5</v>
      </c>
      <c r="B43" s="12" t="s">
        <v>38</v>
      </c>
      <c r="C43" s="14" t="s">
        <v>47</v>
      </c>
      <c r="D43" s="15">
        <v>12000.0</v>
      </c>
      <c r="E43" s="15">
        <f t="shared" si="8"/>
        <v>6000</v>
      </c>
      <c r="F43" s="15">
        <f t="shared" si="9"/>
        <v>6630</v>
      </c>
      <c r="G43" s="3"/>
      <c r="H43" s="3"/>
      <c r="I43" s="15">
        <v>8000.0</v>
      </c>
      <c r="J43" s="15">
        <f t="shared" si="10"/>
        <v>4000</v>
      </c>
      <c r="K43" s="15">
        <f t="shared" si="11"/>
        <v>2630</v>
      </c>
      <c r="L43" s="23"/>
      <c r="M43" s="20"/>
      <c r="N43" s="21"/>
      <c r="P43" s="21"/>
      <c r="Q43" s="21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3.0</v>
      </c>
      <c r="B44" s="12" t="s">
        <v>33</v>
      </c>
      <c r="C44" s="14" t="s">
        <v>48</v>
      </c>
      <c r="D44" s="15">
        <v>3500.0</v>
      </c>
      <c r="E44" s="15">
        <f t="shared" si="8"/>
        <v>10500</v>
      </c>
      <c r="F44" s="15">
        <f t="shared" si="9"/>
        <v>11602.5</v>
      </c>
      <c r="G44" s="3"/>
      <c r="H44" s="3" t="s">
        <v>13</v>
      </c>
      <c r="I44" s="16">
        <f>12000/4</f>
        <v>3000</v>
      </c>
      <c r="J44" s="15">
        <f t="shared" si="10"/>
        <v>9000</v>
      </c>
      <c r="K44" s="15">
        <f t="shared" si="11"/>
        <v>2602.5</v>
      </c>
      <c r="L44" s="23"/>
      <c r="M44" s="17"/>
      <c r="N44" s="18"/>
      <c r="O44" s="19"/>
      <c r="P44" s="18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3.0</v>
      </c>
      <c r="B45" s="12" t="s">
        <v>33</v>
      </c>
      <c r="C45" s="14" t="s">
        <v>19</v>
      </c>
      <c r="D45" s="15">
        <v>1500.0</v>
      </c>
      <c r="E45" s="15">
        <f t="shared" si="8"/>
        <v>4500</v>
      </c>
      <c r="F45" s="15">
        <f t="shared" si="9"/>
        <v>4972.5</v>
      </c>
      <c r="G45" s="3"/>
      <c r="H45" s="3" t="s">
        <v>13</v>
      </c>
      <c r="I45" s="15">
        <f>1000</f>
        <v>1000</v>
      </c>
      <c r="J45" s="15">
        <f t="shared" si="10"/>
        <v>3000</v>
      </c>
      <c r="K45" s="15">
        <f t="shared" si="11"/>
        <v>1972.5</v>
      </c>
      <c r="L45" s="23"/>
      <c r="M45" s="20"/>
      <c r="N45" s="18"/>
      <c r="O45" s="19"/>
      <c r="P45" s="21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>
        <v>5.0</v>
      </c>
      <c r="B46" s="12" t="s">
        <v>33</v>
      </c>
      <c r="C46" s="14" t="s">
        <v>22</v>
      </c>
      <c r="D46" s="15">
        <v>1500.0</v>
      </c>
      <c r="E46" s="15">
        <f t="shared" si="8"/>
        <v>7500</v>
      </c>
      <c r="F46" s="15">
        <f t="shared" si="9"/>
        <v>8287.5</v>
      </c>
      <c r="G46" s="3"/>
      <c r="H46" s="3" t="s">
        <v>13</v>
      </c>
      <c r="I46" s="15">
        <f>8000/14</f>
        <v>571.4285714</v>
      </c>
      <c r="J46" s="15">
        <f t="shared" si="10"/>
        <v>2857.142857</v>
      </c>
      <c r="K46" s="15">
        <f t="shared" si="11"/>
        <v>5430.357143</v>
      </c>
      <c r="L46" s="23"/>
      <c r="M46" s="20"/>
      <c r="N46" s="18"/>
      <c r="O46" s="19"/>
      <c r="P46" s="21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>
        <v>4.0</v>
      </c>
      <c r="B47" s="12" t="s">
        <v>33</v>
      </c>
      <c r="C47" s="14" t="s">
        <v>49</v>
      </c>
      <c r="D47" s="15">
        <v>1300.0</v>
      </c>
      <c r="E47" s="15">
        <f t="shared" si="8"/>
        <v>5200</v>
      </c>
      <c r="F47" s="15">
        <f t="shared" si="9"/>
        <v>5746</v>
      </c>
      <c r="G47" s="3"/>
      <c r="H47" s="3" t="s">
        <v>13</v>
      </c>
      <c r="I47" s="15">
        <f>10000/15</f>
        <v>666.6666667</v>
      </c>
      <c r="J47" s="15">
        <f t="shared" si="10"/>
        <v>2666.666667</v>
      </c>
      <c r="K47" s="15">
        <f t="shared" si="11"/>
        <v>3079.333333</v>
      </c>
      <c r="L47" s="23"/>
      <c r="M47" s="20"/>
      <c r="N47" s="21"/>
      <c r="P47" s="21"/>
      <c r="Q47" s="21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3.0</v>
      </c>
      <c r="B48" s="12" t="s">
        <v>33</v>
      </c>
      <c r="C48" s="14" t="s">
        <v>24</v>
      </c>
      <c r="D48" s="15">
        <v>3500.0</v>
      </c>
      <c r="E48" s="15">
        <f t="shared" si="8"/>
        <v>10500</v>
      </c>
      <c r="F48" s="15">
        <f t="shared" si="9"/>
        <v>11602.5</v>
      </c>
      <c r="G48" s="3"/>
      <c r="H48" s="3" t="s">
        <v>13</v>
      </c>
      <c r="I48" s="15">
        <f>30000/8</f>
        <v>3750</v>
      </c>
      <c r="J48" s="15">
        <f t="shared" si="10"/>
        <v>11250</v>
      </c>
      <c r="K48" s="15">
        <f t="shared" si="11"/>
        <v>352.5</v>
      </c>
      <c r="L48" s="23"/>
      <c r="M48" s="20"/>
      <c r="N48" s="21"/>
      <c r="P48" s="21"/>
      <c r="Q48" s="21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3.0</v>
      </c>
      <c r="B49" s="12" t="s">
        <v>33</v>
      </c>
      <c r="C49" s="14" t="s">
        <v>25</v>
      </c>
      <c r="D49" s="15">
        <v>2700.0</v>
      </c>
      <c r="E49" s="15">
        <f t="shared" si="8"/>
        <v>8100</v>
      </c>
      <c r="F49" s="15">
        <f t="shared" si="9"/>
        <v>8950.5</v>
      </c>
      <c r="G49" s="3"/>
      <c r="H49" s="3"/>
      <c r="I49" s="15">
        <f>13000/8</f>
        <v>1625</v>
      </c>
      <c r="J49" s="15">
        <f t="shared" si="10"/>
        <v>4875</v>
      </c>
      <c r="K49" s="15">
        <f t="shared" si="11"/>
        <v>4075.5</v>
      </c>
      <c r="L49" s="23"/>
      <c r="M49" s="20"/>
      <c r="N49" s="21"/>
      <c r="P49" s="21"/>
      <c r="Q49" s="21"/>
      <c r="R49" s="2"/>
      <c r="S49" s="3"/>
      <c r="T49" s="3"/>
      <c r="U49" s="1"/>
      <c r="V49" s="3"/>
      <c r="W49" s="3"/>
      <c r="X49" s="3"/>
      <c r="Y49" s="3"/>
      <c r="Z49" s="3"/>
    </row>
    <row r="50">
      <c r="A50" s="13">
        <v>2.0</v>
      </c>
      <c r="B50" s="12" t="s">
        <v>50</v>
      </c>
      <c r="C50" s="14" t="s">
        <v>51</v>
      </c>
      <c r="D50" s="15">
        <v>850.0</v>
      </c>
      <c r="E50" s="15">
        <f t="shared" si="8"/>
        <v>1700</v>
      </c>
      <c r="F50" s="15">
        <f t="shared" si="9"/>
        <v>1878.5</v>
      </c>
      <c r="G50" s="3"/>
      <c r="H50" s="3" t="s">
        <v>13</v>
      </c>
      <c r="I50" s="16">
        <f>2000/3</f>
        <v>666.6666667</v>
      </c>
      <c r="J50" s="15">
        <f t="shared" si="10"/>
        <v>1333.333333</v>
      </c>
      <c r="K50" s="15">
        <f t="shared" si="11"/>
        <v>545.1666667</v>
      </c>
      <c r="L50" s="23"/>
      <c r="M50" s="17"/>
      <c r="N50" s="18"/>
      <c r="O50" s="19"/>
      <c r="P50" s="18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13">
        <v>1.5</v>
      </c>
      <c r="B51" s="12" t="s">
        <v>18</v>
      </c>
      <c r="C51" s="14" t="s">
        <v>52</v>
      </c>
      <c r="D51" s="15">
        <v>52000.0</v>
      </c>
      <c r="E51" s="15">
        <f t="shared" si="8"/>
        <v>78000</v>
      </c>
      <c r="F51" s="15">
        <f>E51*1.21</f>
        <v>94380</v>
      </c>
      <c r="G51" s="3"/>
      <c r="H51" s="3" t="s">
        <v>13</v>
      </c>
      <c r="I51" s="15">
        <v>46000.0</v>
      </c>
      <c r="J51" s="15">
        <f t="shared" si="10"/>
        <v>69000</v>
      </c>
      <c r="K51" s="15">
        <f t="shared" si="11"/>
        <v>25380</v>
      </c>
      <c r="L51" s="23"/>
      <c r="M51" s="20"/>
      <c r="N51" s="18"/>
      <c r="O51" s="19"/>
      <c r="P51" s="21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2.0</v>
      </c>
      <c r="B52" s="12" t="s">
        <v>33</v>
      </c>
      <c r="C52" s="14" t="s">
        <v>53</v>
      </c>
      <c r="D52" s="15">
        <v>11500.0</v>
      </c>
      <c r="E52" s="15">
        <f t="shared" si="8"/>
        <v>23000</v>
      </c>
      <c r="F52" s="15">
        <f t="shared" ref="F52:F57" si="12">E52*1.105</f>
        <v>25415</v>
      </c>
      <c r="G52" s="3"/>
      <c r="H52" s="3" t="s">
        <v>13</v>
      </c>
      <c r="I52" s="15">
        <f>65000/7</f>
        <v>9285.714286</v>
      </c>
      <c r="J52" s="15">
        <f t="shared" si="10"/>
        <v>18571.42857</v>
      </c>
      <c r="K52" s="15">
        <f t="shared" si="11"/>
        <v>6843.571429</v>
      </c>
      <c r="L52" s="23"/>
      <c r="M52" s="20"/>
      <c r="N52" s="18"/>
      <c r="O52" s="19"/>
      <c r="P52" s="21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10.0</v>
      </c>
      <c r="B53" s="12" t="s">
        <v>33</v>
      </c>
      <c r="C53" s="14" t="s">
        <v>54</v>
      </c>
      <c r="D53" s="15">
        <v>1200.0</v>
      </c>
      <c r="E53" s="15">
        <f t="shared" si="8"/>
        <v>12000</v>
      </c>
      <c r="F53" s="15">
        <f t="shared" si="12"/>
        <v>13260</v>
      </c>
      <c r="G53" s="3"/>
      <c r="H53" s="3" t="s">
        <v>13</v>
      </c>
      <c r="I53" s="15">
        <f>12000/15</f>
        <v>800</v>
      </c>
      <c r="J53" s="15">
        <f t="shared" si="10"/>
        <v>8000</v>
      </c>
      <c r="K53" s="15">
        <f t="shared" si="11"/>
        <v>5260</v>
      </c>
      <c r="L53" s="23"/>
      <c r="M53" s="20"/>
      <c r="N53" s="18"/>
      <c r="O53" s="19"/>
      <c r="P53" s="21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1.0</v>
      </c>
      <c r="B54" s="12" t="s">
        <v>29</v>
      </c>
      <c r="C54" s="14" t="s">
        <v>55</v>
      </c>
      <c r="D54" s="15">
        <v>38000.0</v>
      </c>
      <c r="E54" s="15">
        <f t="shared" si="8"/>
        <v>38000</v>
      </c>
      <c r="F54" s="15">
        <f t="shared" si="12"/>
        <v>41990</v>
      </c>
      <c r="G54" s="3"/>
      <c r="H54" s="3"/>
      <c r="I54" s="15">
        <v>24000.0</v>
      </c>
      <c r="J54" s="15">
        <f t="shared" si="10"/>
        <v>24000</v>
      </c>
      <c r="K54" s="15">
        <f t="shared" si="11"/>
        <v>17990</v>
      </c>
      <c r="L54" s="23"/>
      <c r="M54" s="20"/>
      <c r="N54" s="21"/>
      <c r="P54" s="21"/>
      <c r="Q54" s="21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8.0</v>
      </c>
      <c r="B55" s="12" t="s">
        <v>33</v>
      </c>
      <c r="C55" s="14" t="s">
        <v>56</v>
      </c>
      <c r="D55" s="15">
        <v>2800.0</v>
      </c>
      <c r="E55" s="15">
        <f t="shared" si="8"/>
        <v>22400</v>
      </c>
      <c r="F55" s="15">
        <f t="shared" si="12"/>
        <v>24752</v>
      </c>
      <c r="G55" s="6"/>
      <c r="H55" s="3" t="s">
        <v>13</v>
      </c>
      <c r="I55" s="16">
        <f>18000/9</f>
        <v>2000</v>
      </c>
      <c r="J55" s="15">
        <f t="shared" si="10"/>
        <v>16000</v>
      </c>
      <c r="K55" s="15">
        <f t="shared" si="11"/>
        <v>8752</v>
      </c>
      <c r="L55" s="23"/>
      <c r="M55" s="17"/>
      <c r="N55" s="18"/>
      <c r="O55" s="19"/>
      <c r="P55" s="18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2.0</v>
      </c>
      <c r="B56" s="12" t="s">
        <v>33</v>
      </c>
      <c r="C56" s="14" t="s">
        <v>57</v>
      </c>
      <c r="D56" s="15">
        <v>6000.0</v>
      </c>
      <c r="E56" s="15">
        <f t="shared" si="8"/>
        <v>12000</v>
      </c>
      <c r="F56" s="15">
        <f t="shared" si="12"/>
        <v>13260</v>
      </c>
      <c r="G56" s="6"/>
      <c r="H56" s="3" t="s">
        <v>13</v>
      </c>
      <c r="I56" s="15">
        <v>5000.0</v>
      </c>
      <c r="J56" s="15">
        <f t="shared" si="10"/>
        <v>10000</v>
      </c>
      <c r="K56" s="15">
        <f t="shared" si="11"/>
        <v>3260</v>
      </c>
      <c r="L56" s="23"/>
      <c r="M56" s="20"/>
      <c r="N56" s="18"/>
      <c r="O56" s="19"/>
      <c r="P56" s="21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2.0</v>
      </c>
      <c r="B57" s="12" t="s">
        <v>33</v>
      </c>
      <c r="C57" s="14" t="s">
        <v>58</v>
      </c>
      <c r="D57" s="15">
        <v>4500.0</v>
      </c>
      <c r="E57" s="15">
        <f t="shared" si="8"/>
        <v>9000</v>
      </c>
      <c r="F57" s="15">
        <f t="shared" si="12"/>
        <v>9945</v>
      </c>
      <c r="G57" s="6"/>
      <c r="H57" s="6" t="s">
        <v>59</v>
      </c>
      <c r="I57" s="15"/>
      <c r="J57" s="15">
        <f t="shared" si="10"/>
        <v>0</v>
      </c>
      <c r="K57" s="15">
        <f t="shared" si="11"/>
        <v>9945</v>
      </c>
      <c r="L57" s="23"/>
      <c r="M57" s="20"/>
      <c r="N57" s="21"/>
      <c r="P57" s="21"/>
      <c r="Q57" s="21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/>
      <c r="B58" s="12"/>
      <c r="C58" s="14"/>
      <c r="D58" s="15"/>
      <c r="E58" s="3"/>
      <c r="F58" s="3"/>
      <c r="G58" s="3"/>
      <c r="H58" s="3"/>
      <c r="I58" s="3"/>
      <c r="J58" s="3"/>
      <c r="K58" s="3"/>
      <c r="L58" s="4"/>
      <c r="N58" s="21"/>
      <c r="P58" s="21"/>
      <c r="Q58" s="21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15">
        <f t="shared" ref="E59:F59" si="13">SUM(E40:E57)</f>
        <v>283900</v>
      </c>
      <c r="F59" s="15">
        <f t="shared" si="13"/>
        <v>321899.5</v>
      </c>
      <c r="G59" s="3"/>
      <c r="H59" s="3"/>
      <c r="I59" s="3"/>
      <c r="J59" s="3"/>
      <c r="K59" s="15">
        <f>SUM(K40:K57)</f>
        <v>113345.9286</v>
      </c>
      <c r="L59" s="23">
        <f>K59/F59</f>
        <v>0.3521158889</v>
      </c>
      <c r="M59" s="2"/>
      <c r="N59" s="21"/>
      <c r="P59" s="21"/>
      <c r="Q59" s="21"/>
      <c r="R59" s="2"/>
      <c r="S59" s="3"/>
      <c r="T59" s="3"/>
      <c r="U59" s="1"/>
      <c r="V59" s="3"/>
      <c r="W59" s="3"/>
      <c r="X59" s="3"/>
      <c r="Y59" s="3"/>
      <c r="Z59" s="3"/>
    </row>
    <row r="60">
      <c r="A60" s="1"/>
      <c r="B60" s="2"/>
      <c r="C60" s="2"/>
      <c r="D60" s="3"/>
      <c r="E60" s="3"/>
      <c r="F60" s="3"/>
      <c r="G60" s="2"/>
      <c r="H60" s="2"/>
      <c r="I60" s="2"/>
      <c r="J60" s="2"/>
      <c r="K60" s="3"/>
      <c r="L60" s="4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26" t="s">
        <v>60</v>
      </c>
      <c r="B61" s="27">
        <v>0.04</v>
      </c>
      <c r="C61" s="2"/>
      <c r="D61" s="3"/>
      <c r="E61" s="15">
        <f>E59*0.04</f>
        <v>11356</v>
      </c>
      <c r="F61" s="3"/>
      <c r="G61" s="2"/>
      <c r="H61" s="3"/>
      <c r="I61" s="3"/>
      <c r="J61" s="3"/>
      <c r="K61" s="3"/>
      <c r="L61" s="4"/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"/>
      <c r="B62" s="2"/>
      <c r="C62" s="2"/>
      <c r="D62" s="3"/>
      <c r="E62" s="3"/>
      <c r="F62" s="3"/>
      <c r="G62" s="2"/>
      <c r="H62" s="2"/>
      <c r="I62" s="2"/>
      <c r="J62" s="2"/>
      <c r="K62" s="3"/>
      <c r="L62" s="4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"/>
      <c r="B63" s="2"/>
      <c r="C63" s="2"/>
      <c r="D63" s="3"/>
      <c r="E63" s="3"/>
      <c r="F63" s="3"/>
      <c r="G63" s="2"/>
      <c r="H63" s="2"/>
      <c r="I63" s="2"/>
      <c r="J63" s="2"/>
      <c r="K63" s="3"/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5" t="s">
        <v>42</v>
      </c>
      <c r="B64" s="5" t="s">
        <v>43</v>
      </c>
      <c r="C64" s="28" t="s">
        <v>61</v>
      </c>
      <c r="D64" s="6"/>
      <c r="E64" s="6" t="s">
        <v>62</v>
      </c>
      <c r="F64" s="7">
        <v>46055.0</v>
      </c>
      <c r="G64" s="6" t="s">
        <v>2</v>
      </c>
      <c r="H64" s="3"/>
      <c r="I64" s="8" t="s">
        <v>3</v>
      </c>
      <c r="L64" s="4"/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"/>
      <c r="B65" s="3"/>
      <c r="C65" s="9"/>
      <c r="D65" s="3"/>
      <c r="E65" s="3"/>
      <c r="F65" s="3"/>
      <c r="G65" s="3"/>
      <c r="H65" s="3"/>
      <c r="I65" s="3"/>
      <c r="J65" s="3"/>
      <c r="K65" s="3"/>
      <c r="L65" s="4"/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5" t="s">
        <v>4</v>
      </c>
      <c r="B66" s="10" t="s">
        <v>5</v>
      </c>
      <c r="C66" s="11" t="s">
        <v>6</v>
      </c>
      <c r="D66" s="12" t="s">
        <v>7</v>
      </c>
      <c r="E66" s="10" t="s">
        <v>8</v>
      </c>
      <c r="F66" s="10" t="s">
        <v>9</v>
      </c>
      <c r="G66" s="3"/>
      <c r="H66" s="3"/>
      <c r="I66" s="10" t="s">
        <v>7</v>
      </c>
      <c r="J66" s="10" t="s">
        <v>8</v>
      </c>
      <c r="K66" s="10" t="s">
        <v>10</v>
      </c>
      <c r="L66" s="4"/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6.0</v>
      </c>
      <c r="B67" s="12" t="s">
        <v>33</v>
      </c>
      <c r="C67" s="14" t="s">
        <v>63</v>
      </c>
      <c r="D67" s="15">
        <v>3500.0</v>
      </c>
      <c r="E67" s="15">
        <f t="shared" ref="E67:E71" si="14">A67*D67</f>
        <v>21000</v>
      </c>
      <c r="F67" s="15">
        <f t="shared" ref="F67:F71" si="15">E67*1.105</f>
        <v>23205</v>
      </c>
      <c r="G67" s="3"/>
      <c r="H67" s="3" t="s">
        <v>13</v>
      </c>
      <c r="I67" s="16">
        <f>12000/4</f>
        <v>3000</v>
      </c>
      <c r="J67" s="15">
        <f t="shared" ref="J67:J71" si="16">I67*A67</f>
        <v>18000</v>
      </c>
      <c r="K67" s="15">
        <f t="shared" ref="K67:K71" si="17">F67-J67</f>
        <v>5205</v>
      </c>
      <c r="L67" s="4"/>
      <c r="M67" s="17"/>
      <c r="N67" s="18"/>
      <c r="O67" s="19"/>
      <c r="P67" s="18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4.5</v>
      </c>
      <c r="B68" s="12" t="s">
        <v>33</v>
      </c>
      <c r="C68" s="14" t="s">
        <v>64</v>
      </c>
      <c r="D68" s="15">
        <v>1500.0</v>
      </c>
      <c r="E68" s="15">
        <f t="shared" si="14"/>
        <v>6750</v>
      </c>
      <c r="F68" s="15">
        <f t="shared" si="15"/>
        <v>7458.75</v>
      </c>
      <c r="G68" s="3"/>
      <c r="H68" s="3" t="s">
        <v>13</v>
      </c>
      <c r="I68" s="15">
        <f>10000/15</f>
        <v>666.6666667</v>
      </c>
      <c r="J68" s="15">
        <f t="shared" si="16"/>
        <v>3000</v>
      </c>
      <c r="K68" s="15">
        <f t="shared" si="17"/>
        <v>4458.75</v>
      </c>
      <c r="L68" s="4"/>
      <c r="M68" s="20"/>
      <c r="N68" s="21"/>
      <c r="P68" s="21"/>
      <c r="Q68" s="21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1.0</v>
      </c>
      <c r="B69" s="12" t="s">
        <v>38</v>
      </c>
      <c r="C69" s="14" t="s">
        <v>46</v>
      </c>
      <c r="D69" s="15">
        <v>14000.0</v>
      </c>
      <c r="E69" s="15">
        <f t="shared" si="14"/>
        <v>14000</v>
      </c>
      <c r="F69" s="15">
        <f t="shared" si="15"/>
        <v>15470</v>
      </c>
      <c r="G69" s="3"/>
      <c r="H69" s="3" t="s">
        <v>13</v>
      </c>
      <c r="I69" s="15">
        <v>11000.0</v>
      </c>
      <c r="J69" s="15">
        <f t="shared" si="16"/>
        <v>11000</v>
      </c>
      <c r="K69" s="15">
        <f t="shared" si="17"/>
        <v>4470</v>
      </c>
      <c r="L69" s="4"/>
      <c r="M69" s="20"/>
      <c r="N69" s="21"/>
      <c r="P69" s="21"/>
      <c r="Q69" s="21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4.0</v>
      </c>
      <c r="B70" s="12" t="s">
        <v>33</v>
      </c>
      <c r="C70" s="14" t="s">
        <v>47</v>
      </c>
      <c r="D70" s="15">
        <v>1500.0</v>
      </c>
      <c r="E70" s="15">
        <f t="shared" si="14"/>
        <v>6000</v>
      </c>
      <c r="F70" s="15">
        <f t="shared" si="15"/>
        <v>6630</v>
      </c>
      <c r="G70" s="3"/>
      <c r="H70" s="3"/>
      <c r="I70" s="15">
        <f>8000/8</f>
        <v>1000</v>
      </c>
      <c r="J70" s="15">
        <f t="shared" si="16"/>
        <v>4000</v>
      </c>
      <c r="K70" s="15">
        <f t="shared" si="17"/>
        <v>2630</v>
      </c>
      <c r="L70" s="4"/>
      <c r="M70" s="20"/>
      <c r="N70" s="21"/>
      <c r="P70" s="21"/>
      <c r="Q70" s="21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6.0</v>
      </c>
      <c r="B71" s="12" t="s">
        <v>11</v>
      </c>
      <c r="C71" s="14" t="s">
        <v>65</v>
      </c>
      <c r="D71" s="15">
        <v>350.0</v>
      </c>
      <c r="E71" s="15">
        <f t="shared" si="14"/>
        <v>2100</v>
      </c>
      <c r="F71" s="15">
        <f t="shared" si="15"/>
        <v>2320.5</v>
      </c>
      <c r="G71" s="3"/>
      <c r="H71" s="3" t="s">
        <v>13</v>
      </c>
      <c r="I71" s="16">
        <f>2500/12</f>
        <v>208.3333333</v>
      </c>
      <c r="J71" s="15">
        <f t="shared" si="16"/>
        <v>1250</v>
      </c>
      <c r="K71" s="15">
        <f t="shared" si="17"/>
        <v>1070.5</v>
      </c>
      <c r="L71" s="4"/>
      <c r="M71" s="17"/>
      <c r="N71" s="18"/>
      <c r="O71" s="19"/>
      <c r="P71" s="18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/>
      <c r="B72" s="12"/>
      <c r="C72" s="14"/>
      <c r="D72" s="15"/>
      <c r="E72" s="3"/>
      <c r="F72" s="3"/>
      <c r="G72" s="3"/>
      <c r="H72" s="3"/>
      <c r="I72" s="3"/>
      <c r="J72" s="3"/>
      <c r="K72" s="3"/>
      <c r="L72" s="4"/>
      <c r="N72" s="21"/>
      <c r="P72" s="21"/>
      <c r="Q72" s="21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/>
      <c r="B73" s="12"/>
      <c r="C73" s="14"/>
      <c r="D73" s="15"/>
      <c r="E73" s="15">
        <f t="shared" ref="E73:F73" si="18">SUM(E67:E71)</f>
        <v>49850</v>
      </c>
      <c r="F73" s="15">
        <f t="shared" si="18"/>
        <v>55084.25</v>
      </c>
      <c r="G73" s="3"/>
      <c r="H73" s="3"/>
      <c r="I73" s="3"/>
      <c r="J73" s="3"/>
      <c r="K73" s="15">
        <f>SUM(K67:K71)</f>
        <v>17834.25</v>
      </c>
      <c r="L73" s="23">
        <f>K73/F73</f>
        <v>0.3237631446</v>
      </c>
      <c r="M73" s="2"/>
      <c r="N73" s="21"/>
      <c r="P73" s="21"/>
      <c r="Q73" s="21"/>
      <c r="R73" s="2"/>
      <c r="S73" s="3"/>
      <c r="T73" s="3"/>
      <c r="U73" s="1"/>
      <c r="V73" s="3"/>
      <c r="W73" s="3"/>
      <c r="X73" s="3"/>
      <c r="Y73" s="3"/>
      <c r="Z73" s="3"/>
    </row>
    <row r="74">
      <c r="A74" s="26"/>
      <c r="B74" s="27"/>
      <c r="C74" s="2"/>
      <c r="D74" s="3"/>
      <c r="E74" s="15"/>
      <c r="F74" s="3"/>
      <c r="G74" s="2"/>
      <c r="H74" s="3"/>
      <c r="I74" s="3"/>
      <c r="J74" s="3"/>
      <c r="K74" s="3"/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26" t="s">
        <v>60</v>
      </c>
      <c r="B75" s="27">
        <v>0.04</v>
      </c>
      <c r="C75" s="2"/>
      <c r="D75" s="3"/>
      <c r="E75" s="15">
        <f>E73*0.04</f>
        <v>1994</v>
      </c>
      <c r="F75" s="3"/>
      <c r="G75" s="2"/>
      <c r="H75" s="3"/>
      <c r="I75" s="3"/>
      <c r="J75" s="3"/>
      <c r="K75" s="3"/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/>
      <c r="B76" s="12"/>
      <c r="C76" s="14"/>
      <c r="D76" s="15"/>
      <c r="E76" s="15"/>
      <c r="F76" s="16"/>
      <c r="G76" s="25"/>
      <c r="H76" s="25"/>
      <c r="I76" s="15"/>
      <c r="J76" s="16"/>
      <c r="K76" s="16"/>
      <c r="L76" s="29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/>
      <c r="B77" s="12"/>
      <c r="C77" s="14"/>
      <c r="D77" s="15"/>
      <c r="E77" s="15"/>
      <c r="F77" s="16"/>
      <c r="G77" s="25"/>
      <c r="H77" s="25"/>
      <c r="I77" s="16"/>
      <c r="J77" s="16"/>
      <c r="K77" s="16"/>
      <c r="L77" s="29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5" t="s">
        <v>42</v>
      </c>
      <c r="B78" s="5" t="s">
        <v>66</v>
      </c>
      <c r="C78" s="5"/>
      <c r="D78" s="6"/>
      <c r="E78" s="6" t="s">
        <v>44</v>
      </c>
      <c r="F78" s="7">
        <v>46055.0</v>
      </c>
      <c r="G78" s="6" t="s">
        <v>2</v>
      </c>
      <c r="H78" s="3"/>
      <c r="I78" s="8" t="s">
        <v>3</v>
      </c>
      <c r="L78" s="4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"/>
      <c r="B79" s="3"/>
      <c r="C79" s="9"/>
      <c r="D79" s="3"/>
      <c r="E79" s="3"/>
      <c r="F79" s="3"/>
      <c r="G79" s="3"/>
      <c r="H79" s="3"/>
      <c r="I79" s="3"/>
      <c r="J79" s="3"/>
      <c r="K79" s="3"/>
      <c r="L79" s="4"/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5" t="s">
        <v>4</v>
      </c>
      <c r="B80" s="10" t="s">
        <v>5</v>
      </c>
      <c r="C80" s="11" t="s">
        <v>6</v>
      </c>
      <c r="D80" s="12" t="s">
        <v>7</v>
      </c>
      <c r="E80" s="10" t="s">
        <v>8</v>
      </c>
      <c r="F80" s="10" t="s">
        <v>9</v>
      </c>
      <c r="G80" s="3"/>
      <c r="H80" s="3"/>
      <c r="I80" s="10" t="s">
        <v>7</v>
      </c>
      <c r="J80" s="10" t="s">
        <v>8</v>
      </c>
      <c r="K80" s="10" t="s">
        <v>10</v>
      </c>
      <c r="L80" s="4"/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4.0</v>
      </c>
      <c r="B81" s="12" t="s">
        <v>33</v>
      </c>
      <c r="C81" s="14" t="s">
        <v>23</v>
      </c>
      <c r="D81" s="15">
        <v>1700.0</v>
      </c>
      <c r="E81" s="15">
        <f t="shared" ref="E81:E101" si="19">A81*D81</f>
        <v>6800</v>
      </c>
      <c r="F81" s="15">
        <f t="shared" ref="F81:F85" si="20">E81*1.105</f>
        <v>7514</v>
      </c>
      <c r="G81" s="3"/>
      <c r="H81" s="3" t="s">
        <v>13</v>
      </c>
      <c r="I81" s="16">
        <f>1000</f>
        <v>1000</v>
      </c>
      <c r="J81" s="15">
        <f t="shared" ref="J81:J101" si="21">I81*A81</f>
        <v>4000</v>
      </c>
      <c r="K81" s="15">
        <f t="shared" ref="K81:K101" si="22">F81-J81</f>
        <v>3514</v>
      </c>
      <c r="L81" s="4"/>
      <c r="M81" s="17"/>
      <c r="N81" s="18"/>
      <c r="O81" s="19"/>
      <c r="P81" s="18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1.0</v>
      </c>
      <c r="B82" s="12" t="s">
        <v>18</v>
      </c>
      <c r="C82" s="14" t="s">
        <v>63</v>
      </c>
      <c r="D82" s="15">
        <v>16000.0</v>
      </c>
      <c r="E82" s="15">
        <f t="shared" si="19"/>
        <v>16000</v>
      </c>
      <c r="F82" s="15">
        <f t="shared" si="20"/>
        <v>17680</v>
      </c>
      <c r="G82" s="3"/>
      <c r="H82" s="3" t="s">
        <v>13</v>
      </c>
      <c r="I82" s="15">
        <v>12000.0</v>
      </c>
      <c r="J82" s="15">
        <f t="shared" si="21"/>
        <v>12000</v>
      </c>
      <c r="K82" s="15">
        <f t="shared" si="22"/>
        <v>5680</v>
      </c>
      <c r="L82" s="4"/>
      <c r="M82" s="20"/>
      <c r="N82" s="21"/>
      <c r="P82" s="21"/>
      <c r="Q82" s="21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>
        <v>0.5</v>
      </c>
      <c r="B83" s="12" t="s">
        <v>18</v>
      </c>
      <c r="C83" s="14" t="s">
        <v>19</v>
      </c>
      <c r="D83" s="15">
        <v>18000.0</v>
      </c>
      <c r="E83" s="15">
        <f t="shared" si="19"/>
        <v>9000</v>
      </c>
      <c r="F83" s="15">
        <f t="shared" si="20"/>
        <v>9945</v>
      </c>
      <c r="G83" s="3"/>
      <c r="H83" s="3" t="s">
        <v>13</v>
      </c>
      <c r="I83" s="15">
        <v>15000.0</v>
      </c>
      <c r="J83" s="15">
        <f t="shared" si="21"/>
        <v>7500</v>
      </c>
      <c r="K83" s="15">
        <f t="shared" si="22"/>
        <v>2445</v>
      </c>
      <c r="L83" s="4"/>
      <c r="M83" s="20"/>
      <c r="N83" s="21"/>
      <c r="P83" s="21"/>
      <c r="Q83" s="21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>
        <v>1.0</v>
      </c>
      <c r="B84" s="12" t="s">
        <v>38</v>
      </c>
      <c r="C84" s="14" t="s">
        <v>47</v>
      </c>
      <c r="D84" s="15">
        <v>12000.0</v>
      </c>
      <c r="E84" s="15">
        <f t="shared" si="19"/>
        <v>12000</v>
      </c>
      <c r="F84" s="15">
        <f t="shared" si="20"/>
        <v>13260</v>
      </c>
      <c r="G84" s="3"/>
      <c r="H84" s="3"/>
      <c r="I84" s="15">
        <v>8000.0</v>
      </c>
      <c r="J84" s="15">
        <f t="shared" si="21"/>
        <v>8000</v>
      </c>
      <c r="K84" s="15">
        <f t="shared" si="22"/>
        <v>5260</v>
      </c>
      <c r="L84" s="4"/>
      <c r="M84" s="20"/>
      <c r="N84" s="21"/>
      <c r="P84" s="21"/>
      <c r="Q84" s="21"/>
      <c r="R84" s="2"/>
      <c r="S84" s="3"/>
      <c r="T84" s="3"/>
      <c r="U84" s="1"/>
      <c r="V84" s="3"/>
      <c r="W84" s="3"/>
      <c r="X84" s="3"/>
      <c r="Y84" s="3"/>
      <c r="Z84" s="3"/>
    </row>
    <row r="85">
      <c r="A85" s="13">
        <v>1.0</v>
      </c>
      <c r="B85" s="12" t="s">
        <v>38</v>
      </c>
      <c r="C85" s="14" t="s">
        <v>67</v>
      </c>
      <c r="D85" s="15">
        <v>13000.0</v>
      </c>
      <c r="E85" s="15">
        <f t="shared" si="19"/>
        <v>13000</v>
      </c>
      <c r="F85" s="15">
        <f t="shared" si="20"/>
        <v>14365</v>
      </c>
      <c r="G85" s="3"/>
      <c r="H85" s="3" t="s">
        <v>13</v>
      </c>
      <c r="I85" s="16">
        <v>10000.0</v>
      </c>
      <c r="J85" s="15">
        <f t="shared" si="21"/>
        <v>10000</v>
      </c>
      <c r="K85" s="15">
        <f t="shared" si="22"/>
        <v>4365</v>
      </c>
      <c r="L85" s="4"/>
      <c r="M85" s="17"/>
      <c r="N85" s="18"/>
      <c r="O85" s="19"/>
      <c r="P85" s="18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>
        <v>1.0</v>
      </c>
      <c r="B86" s="12" t="s">
        <v>18</v>
      </c>
      <c r="C86" s="14" t="s">
        <v>21</v>
      </c>
      <c r="D86" s="15">
        <v>52000.0</v>
      </c>
      <c r="E86" s="15">
        <f t="shared" si="19"/>
        <v>52000</v>
      </c>
      <c r="F86" s="15">
        <f>E86*1.21</f>
        <v>62920</v>
      </c>
      <c r="G86" s="3"/>
      <c r="H86" s="3" t="s">
        <v>13</v>
      </c>
      <c r="I86" s="15">
        <v>46000.0</v>
      </c>
      <c r="J86" s="15">
        <f t="shared" si="21"/>
        <v>46000</v>
      </c>
      <c r="K86" s="15">
        <f t="shared" si="22"/>
        <v>16920</v>
      </c>
      <c r="L86" s="4"/>
      <c r="M86" s="20"/>
      <c r="N86" s="18"/>
      <c r="O86" s="19"/>
      <c r="P86" s="21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>
        <v>0.5</v>
      </c>
      <c r="B87" s="12" t="s">
        <v>38</v>
      </c>
      <c r="C87" s="14" t="s">
        <v>45</v>
      </c>
      <c r="D87" s="15">
        <v>13000.0</v>
      </c>
      <c r="E87" s="15">
        <f t="shared" si="19"/>
        <v>6500</v>
      </c>
      <c r="F87" s="15">
        <f t="shared" ref="F87:F101" si="23">E87*1.105</f>
        <v>7182.5</v>
      </c>
      <c r="G87" s="3"/>
      <c r="H87" s="3" t="s">
        <v>13</v>
      </c>
      <c r="I87" s="15">
        <v>8000.0</v>
      </c>
      <c r="J87" s="15">
        <f t="shared" si="21"/>
        <v>4000</v>
      </c>
      <c r="K87" s="15">
        <f t="shared" si="22"/>
        <v>3182.5</v>
      </c>
      <c r="L87" s="4"/>
      <c r="M87" s="20"/>
      <c r="N87" s="18"/>
      <c r="O87" s="19"/>
      <c r="P87" s="21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1.0</v>
      </c>
      <c r="B88" s="12" t="s">
        <v>50</v>
      </c>
      <c r="C88" s="14" t="s">
        <v>68</v>
      </c>
      <c r="D88" s="15">
        <v>3500.0</v>
      </c>
      <c r="E88" s="15">
        <f t="shared" si="19"/>
        <v>3500</v>
      </c>
      <c r="F88" s="15">
        <f t="shared" si="23"/>
        <v>3867.5</v>
      </c>
      <c r="G88" s="3"/>
      <c r="H88" s="3" t="s">
        <v>13</v>
      </c>
      <c r="I88" s="15">
        <v>2000.0</v>
      </c>
      <c r="J88" s="15">
        <f t="shared" si="21"/>
        <v>2000</v>
      </c>
      <c r="K88" s="15">
        <f t="shared" si="22"/>
        <v>1867.5</v>
      </c>
      <c r="L88" s="4"/>
      <c r="M88" s="20"/>
      <c r="N88" s="21"/>
      <c r="P88" s="21"/>
      <c r="Q88" s="21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2.0</v>
      </c>
      <c r="B89" s="12" t="s">
        <v>33</v>
      </c>
      <c r="C89" s="14" t="s">
        <v>49</v>
      </c>
      <c r="D89" s="15">
        <v>1300.0</v>
      </c>
      <c r="E89" s="15">
        <f t="shared" si="19"/>
        <v>2600</v>
      </c>
      <c r="F89" s="15">
        <f t="shared" si="23"/>
        <v>2873</v>
      </c>
      <c r="G89" s="3"/>
      <c r="H89" s="3" t="s">
        <v>13</v>
      </c>
      <c r="I89" s="15">
        <f>10000/15</f>
        <v>666.6666667</v>
      </c>
      <c r="J89" s="15">
        <f t="shared" si="21"/>
        <v>1333.333333</v>
      </c>
      <c r="K89" s="15">
        <f t="shared" si="22"/>
        <v>1539.666667</v>
      </c>
      <c r="L89" s="4"/>
      <c r="M89" s="20"/>
      <c r="N89" s="21"/>
      <c r="P89" s="21"/>
      <c r="Q89" s="21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2.0</v>
      </c>
      <c r="B90" s="12" t="s">
        <v>33</v>
      </c>
      <c r="C90" s="14" t="s">
        <v>22</v>
      </c>
      <c r="D90" s="15">
        <v>1500.0</v>
      </c>
      <c r="E90" s="15">
        <f t="shared" si="19"/>
        <v>3000</v>
      </c>
      <c r="F90" s="15">
        <f t="shared" si="23"/>
        <v>3315</v>
      </c>
      <c r="G90" s="3"/>
      <c r="H90" s="3"/>
      <c r="I90" s="15">
        <f>8000/14</f>
        <v>571.4285714</v>
      </c>
      <c r="J90" s="15">
        <f t="shared" si="21"/>
        <v>1142.857143</v>
      </c>
      <c r="K90" s="15">
        <f t="shared" si="22"/>
        <v>2172.142857</v>
      </c>
      <c r="L90" s="4"/>
      <c r="M90" s="20"/>
      <c r="N90" s="21"/>
      <c r="P90" s="21"/>
      <c r="Q90" s="21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2.0</v>
      </c>
      <c r="B91" s="12" t="s">
        <v>50</v>
      </c>
      <c r="C91" s="14" t="s">
        <v>69</v>
      </c>
      <c r="D91" s="15">
        <v>1600.0</v>
      </c>
      <c r="E91" s="15">
        <f t="shared" si="19"/>
        <v>3200</v>
      </c>
      <c r="F91" s="15">
        <f t="shared" si="23"/>
        <v>3536</v>
      </c>
      <c r="G91" s="3"/>
      <c r="H91" s="3" t="s">
        <v>13</v>
      </c>
      <c r="I91" s="16">
        <v>1500.0</v>
      </c>
      <c r="J91" s="15">
        <f t="shared" si="21"/>
        <v>3000</v>
      </c>
      <c r="K91" s="15">
        <f t="shared" si="22"/>
        <v>536</v>
      </c>
      <c r="L91" s="4"/>
      <c r="M91" s="17"/>
      <c r="N91" s="18"/>
      <c r="O91" s="19"/>
      <c r="P91" s="18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1.0</v>
      </c>
      <c r="B92" s="12" t="s">
        <v>50</v>
      </c>
      <c r="C92" s="14" t="s">
        <v>70</v>
      </c>
      <c r="D92" s="15">
        <v>850.0</v>
      </c>
      <c r="E92" s="15">
        <f t="shared" si="19"/>
        <v>850</v>
      </c>
      <c r="F92" s="15">
        <f t="shared" si="23"/>
        <v>939.25</v>
      </c>
      <c r="G92" s="3"/>
      <c r="H92" s="3" t="s">
        <v>13</v>
      </c>
      <c r="I92" s="15">
        <f>2000/3</f>
        <v>666.6666667</v>
      </c>
      <c r="J92" s="15">
        <f t="shared" si="21"/>
        <v>666.6666667</v>
      </c>
      <c r="K92" s="15">
        <f t="shared" si="22"/>
        <v>272.5833333</v>
      </c>
      <c r="L92" s="4"/>
      <c r="M92" s="20"/>
      <c r="N92" s="18"/>
      <c r="O92" s="19"/>
      <c r="P92" s="21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2.0</v>
      </c>
      <c r="B93" s="12" t="s">
        <v>5</v>
      </c>
      <c r="C93" s="14" t="s">
        <v>71</v>
      </c>
      <c r="D93" s="15">
        <v>1800.0</v>
      </c>
      <c r="E93" s="15">
        <f t="shared" si="19"/>
        <v>3600</v>
      </c>
      <c r="F93" s="15">
        <f t="shared" si="23"/>
        <v>3978</v>
      </c>
      <c r="G93" s="3"/>
      <c r="H93" s="3" t="s">
        <v>13</v>
      </c>
      <c r="I93" s="15">
        <f>15000/12</f>
        <v>1250</v>
      </c>
      <c r="J93" s="15">
        <f t="shared" si="21"/>
        <v>2500</v>
      </c>
      <c r="K93" s="15">
        <f t="shared" si="22"/>
        <v>1478</v>
      </c>
      <c r="L93" s="4"/>
      <c r="M93" s="20"/>
      <c r="N93" s="18"/>
      <c r="O93" s="19"/>
      <c r="P93" s="21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2.0</v>
      </c>
      <c r="B94" s="12" t="s">
        <v>38</v>
      </c>
      <c r="C94" s="14" t="s">
        <v>46</v>
      </c>
      <c r="D94" s="15">
        <v>14000.0</v>
      </c>
      <c r="E94" s="15">
        <f t="shared" si="19"/>
        <v>28000</v>
      </c>
      <c r="F94" s="15">
        <f t="shared" si="23"/>
        <v>30940</v>
      </c>
      <c r="G94" s="3"/>
      <c r="H94" s="3" t="s">
        <v>13</v>
      </c>
      <c r="I94" s="15">
        <v>11000.0</v>
      </c>
      <c r="J94" s="15">
        <f t="shared" si="21"/>
        <v>22000</v>
      </c>
      <c r="K94" s="15">
        <f t="shared" si="22"/>
        <v>8940</v>
      </c>
      <c r="L94" s="4"/>
      <c r="M94" s="20"/>
      <c r="N94" s="18"/>
      <c r="O94" s="19"/>
      <c r="P94" s="21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2.0</v>
      </c>
      <c r="B95" s="12" t="s">
        <v>33</v>
      </c>
      <c r="C95" s="14" t="s">
        <v>72</v>
      </c>
      <c r="D95" s="15">
        <v>2700.0</v>
      </c>
      <c r="E95" s="15">
        <f t="shared" si="19"/>
        <v>5400</v>
      </c>
      <c r="F95" s="15">
        <f t="shared" si="23"/>
        <v>5967</v>
      </c>
      <c r="G95" s="3"/>
      <c r="H95" s="3"/>
      <c r="I95" s="15">
        <f>28000/15</f>
        <v>1866.666667</v>
      </c>
      <c r="J95" s="15">
        <f t="shared" si="21"/>
        <v>3733.333333</v>
      </c>
      <c r="K95" s="15">
        <f t="shared" si="22"/>
        <v>2233.666667</v>
      </c>
      <c r="L95" s="4"/>
      <c r="M95" s="20"/>
      <c r="N95" s="21"/>
      <c r="P95" s="21"/>
      <c r="Q95" s="21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2.0</v>
      </c>
      <c r="B96" s="12" t="s">
        <v>33</v>
      </c>
      <c r="C96" s="14" t="s">
        <v>53</v>
      </c>
      <c r="D96" s="15">
        <v>11500.0</v>
      </c>
      <c r="E96" s="15">
        <f t="shared" si="19"/>
        <v>23000</v>
      </c>
      <c r="F96" s="15">
        <f t="shared" si="23"/>
        <v>25415</v>
      </c>
      <c r="G96" s="6"/>
      <c r="H96" s="3" t="s">
        <v>13</v>
      </c>
      <c r="I96" s="16">
        <f>65000/7</f>
        <v>9285.714286</v>
      </c>
      <c r="J96" s="15">
        <f t="shared" si="21"/>
        <v>18571.42857</v>
      </c>
      <c r="K96" s="15">
        <f t="shared" si="22"/>
        <v>6843.571429</v>
      </c>
      <c r="L96" s="4"/>
      <c r="M96" s="17"/>
      <c r="N96" s="18"/>
      <c r="O96" s="19"/>
      <c r="P96" s="18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8.0</v>
      </c>
      <c r="B97" s="12" t="s">
        <v>33</v>
      </c>
      <c r="C97" s="14" t="s">
        <v>56</v>
      </c>
      <c r="D97" s="15">
        <v>2700.0</v>
      </c>
      <c r="E97" s="15">
        <f t="shared" si="19"/>
        <v>21600</v>
      </c>
      <c r="F97" s="15">
        <f t="shared" si="23"/>
        <v>23868</v>
      </c>
      <c r="G97" s="6"/>
      <c r="H97" s="3" t="s">
        <v>13</v>
      </c>
      <c r="I97" s="15">
        <f>18000/8</f>
        <v>2250</v>
      </c>
      <c r="J97" s="15">
        <f t="shared" si="21"/>
        <v>18000</v>
      </c>
      <c r="K97" s="15">
        <f t="shared" si="22"/>
        <v>5868</v>
      </c>
      <c r="L97" s="4"/>
      <c r="M97" s="20"/>
      <c r="N97" s="18"/>
      <c r="O97" s="19"/>
      <c r="P97" s="21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4.25" customHeight="1">
      <c r="A98" s="13">
        <v>1.0</v>
      </c>
      <c r="B98" s="12" t="s">
        <v>29</v>
      </c>
      <c r="C98" s="14" t="s">
        <v>55</v>
      </c>
      <c r="D98" s="15">
        <v>38000.0</v>
      </c>
      <c r="E98" s="15">
        <f t="shared" si="19"/>
        <v>38000</v>
      </c>
      <c r="F98" s="15">
        <f t="shared" si="23"/>
        <v>41990</v>
      </c>
      <c r="G98" s="6"/>
      <c r="H98" s="3" t="s">
        <v>13</v>
      </c>
      <c r="I98" s="15">
        <v>24000.0</v>
      </c>
      <c r="J98" s="15">
        <f t="shared" si="21"/>
        <v>24000</v>
      </c>
      <c r="K98" s="15">
        <f t="shared" si="22"/>
        <v>17990</v>
      </c>
      <c r="L98" s="4"/>
      <c r="M98" s="20"/>
      <c r="N98" s="21"/>
      <c r="P98" s="21"/>
      <c r="Q98" s="21"/>
      <c r="R98" s="2"/>
      <c r="S98" s="3"/>
      <c r="T98" s="3"/>
      <c r="U98" s="1"/>
      <c r="V98" s="3"/>
      <c r="W98" s="3"/>
      <c r="X98" s="3"/>
      <c r="Y98" s="3"/>
      <c r="Z98" s="3"/>
    </row>
    <row r="99" ht="14.25" customHeight="1">
      <c r="A99" s="13">
        <v>2.0</v>
      </c>
      <c r="B99" s="12" t="s">
        <v>33</v>
      </c>
      <c r="C99" s="14" t="s">
        <v>57</v>
      </c>
      <c r="D99" s="15">
        <v>6000.0</v>
      </c>
      <c r="E99" s="15">
        <f t="shared" si="19"/>
        <v>12000</v>
      </c>
      <c r="F99" s="15">
        <f t="shared" si="23"/>
        <v>13260</v>
      </c>
      <c r="G99" s="6"/>
      <c r="H99" s="3" t="s">
        <v>13</v>
      </c>
      <c r="I99" s="15">
        <v>5000.0</v>
      </c>
      <c r="J99" s="15">
        <f t="shared" si="21"/>
        <v>10000</v>
      </c>
      <c r="K99" s="15">
        <f t="shared" si="22"/>
        <v>3260</v>
      </c>
      <c r="L99" s="4"/>
      <c r="M99" s="20"/>
      <c r="N99" s="21"/>
      <c r="P99" s="21"/>
      <c r="Q99" s="21"/>
      <c r="R99" s="2"/>
      <c r="S99" s="3"/>
      <c r="T99" s="3"/>
      <c r="U99" s="1"/>
      <c r="V99" s="3"/>
      <c r="W99" s="3"/>
      <c r="X99" s="3"/>
      <c r="Y99" s="3"/>
      <c r="Z99" s="3"/>
    </row>
    <row r="100" ht="14.25" customHeight="1">
      <c r="A100" s="13">
        <v>2.0</v>
      </c>
      <c r="B100" s="12" t="s">
        <v>33</v>
      </c>
      <c r="C100" s="14" t="s">
        <v>58</v>
      </c>
      <c r="D100" s="15">
        <v>4500.0</v>
      </c>
      <c r="E100" s="15">
        <f t="shared" si="19"/>
        <v>9000</v>
      </c>
      <c r="F100" s="15">
        <f t="shared" si="23"/>
        <v>9945</v>
      </c>
      <c r="G100" s="6"/>
      <c r="H100" s="6" t="s">
        <v>59</v>
      </c>
      <c r="I100" s="15"/>
      <c r="J100" s="15">
        <f t="shared" si="21"/>
        <v>0</v>
      </c>
      <c r="K100" s="15">
        <f t="shared" si="22"/>
        <v>9945</v>
      </c>
      <c r="L100" s="4"/>
      <c r="M100" s="20"/>
      <c r="N100" s="21"/>
      <c r="P100" s="21"/>
      <c r="Q100" s="21"/>
      <c r="R100" s="2"/>
      <c r="S100" s="3"/>
      <c r="T100" s="3"/>
      <c r="U100" s="1"/>
      <c r="V100" s="3"/>
      <c r="W100" s="3"/>
      <c r="X100" s="3"/>
      <c r="Y100" s="3"/>
      <c r="Z100" s="3"/>
    </row>
    <row r="101" ht="14.25" customHeight="1">
      <c r="A101" s="13">
        <v>5.0</v>
      </c>
      <c r="B101" s="12" t="s">
        <v>50</v>
      </c>
      <c r="C101" s="14" t="s">
        <v>65</v>
      </c>
      <c r="D101" s="15">
        <v>350.0</v>
      </c>
      <c r="E101" s="15">
        <f t="shared" si="19"/>
        <v>1750</v>
      </c>
      <c r="F101" s="15">
        <f t="shared" si="23"/>
        <v>1933.75</v>
      </c>
      <c r="G101" s="6"/>
      <c r="H101" s="3" t="s">
        <v>13</v>
      </c>
      <c r="I101" s="15">
        <f>2500/12</f>
        <v>208.3333333</v>
      </c>
      <c r="J101" s="15">
        <f t="shared" si="21"/>
        <v>1041.666667</v>
      </c>
      <c r="K101" s="15">
        <f t="shared" si="22"/>
        <v>892.0833333</v>
      </c>
      <c r="L101" s="4"/>
      <c r="M101" s="20"/>
      <c r="N101" s="21"/>
      <c r="P101" s="21"/>
      <c r="Q101" s="21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/>
      <c r="B102" s="12"/>
      <c r="C102" s="14"/>
      <c r="D102" s="15"/>
      <c r="E102" s="3"/>
      <c r="F102" s="3"/>
      <c r="G102" s="3"/>
      <c r="H102" s="3"/>
      <c r="I102" s="3"/>
      <c r="J102" s="3"/>
      <c r="K102" s="3"/>
      <c r="L102" s="4"/>
      <c r="N102" s="21"/>
      <c r="P102" s="21"/>
      <c r="Q102" s="21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/>
      <c r="B103" s="12"/>
      <c r="C103" s="14"/>
      <c r="D103" s="15"/>
      <c r="E103" s="15">
        <f t="shared" ref="E103:F103" si="24">SUM(E81:E101)</f>
        <v>270800</v>
      </c>
      <c r="F103" s="15">
        <f t="shared" si="24"/>
        <v>304694</v>
      </c>
      <c r="G103" s="3"/>
      <c r="H103" s="3"/>
      <c r="I103" s="3"/>
      <c r="J103" s="3"/>
      <c r="K103" s="15">
        <f>SUM(K81:K101)</f>
        <v>105204.7143</v>
      </c>
      <c r="L103" s="23">
        <f>K103/F103</f>
        <v>0.3452799014</v>
      </c>
      <c r="M103" s="2"/>
      <c r="N103" s="21"/>
      <c r="P103" s="21"/>
      <c r="Q103" s="21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30"/>
      <c r="B104" s="31"/>
      <c r="C104" s="2"/>
      <c r="D104" s="3"/>
      <c r="E104" s="3"/>
      <c r="F104" s="3"/>
      <c r="G104" s="2"/>
      <c r="H104" s="2"/>
      <c r="I104" s="2"/>
      <c r="J104" s="2"/>
      <c r="K104" s="3"/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26" t="s">
        <v>60</v>
      </c>
      <c r="B105" s="27">
        <v>0.04</v>
      </c>
      <c r="C105" s="2"/>
      <c r="D105" s="3"/>
      <c r="E105" s="15">
        <f>E103*0.04</f>
        <v>10832</v>
      </c>
      <c r="F105" s="3"/>
      <c r="G105" s="2"/>
      <c r="H105" s="3"/>
      <c r="I105" s="3"/>
      <c r="J105" s="3"/>
      <c r="K105" s="3"/>
      <c r="L105" s="4"/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30"/>
      <c r="B106" s="31"/>
      <c r="C106" s="2"/>
      <c r="D106" s="3"/>
      <c r="E106" s="3"/>
      <c r="F106" s="3"/>
      <c r="G106" s="2"/>
      <c r="H106" s="2"/>
      <c r="I106" s="2"/>
      <c r="J106" s="2"/>
      <c r="K106" s="3"/>
      <c r="L106" s="4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30"/>
      <c r="B107" s="31"/>
      <c r="C107" s="2"/>
      <c r="D107" s="3"/>
      <c r="E107" s="3"/>
      <c r="F107" s="3"/>
      <c r="G107" s="2"/>
      <c r="H107" s="2"/>
      <c r="I107" s="2"/>
      <c r="J107" s="2"/>
      <c r="K107" s="3"/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24" t="s">
        <v>73</v>
      </c>
      <c r="B108" s="24"/>
      <c r="C108" s="24"/>
      <c r="D108" s="32" t="s">
        <v>74</v>
      </c>
      <c r="E108" s="7">
        <v>46055.0</v>
      </c>
      <c r="F108" s="33" t="s">
        <v>2</v>
      </c>
      <c r="G108" s="25"/>
      <c r="H108" s="25"/>
      <c r="I108" s="16"/>
      <c r="J108" s="16"/>
      <c r="K108" s="16"/>
      <c r="L108" s="3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B109" s="25"/>
      <c r="C109" s="35"/>
      <c r="D109" s="25"/>
      <c r="E109" s="25"/>
      <c r="F109" s="25"/>
      <c r="G109" s="25"/>
      <c r="H109" s="25"/>
      <c r="I109" s="16"/>
      <c r="J109" s="16"/>
      <c r="K109" s="16"/>
      <c r="L109" s="34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5" t="s">
        <v>4</v>
      </c>
      <c r="B110" s="10" t="s">
        <v>5</v>
      </c>
      <c r="C110" s="11" t="s">
        <v>6</v>
      </c>
      <c r="D110" s="12" t="s">
        <v>7</v>
      </c>
      <c r="E110" s="10" t="s">
        <v>8</v>
      </c>
      <c r="F110" s="12"/>
      <c r="G110" s="25"/>
      <c r="H110" s="25"/>
      <c r="I110" s="12" t="s">
        <v>7</v>
      </c>
      <c r="J110" s="12" t="s">
        <v>8</v>
      </c>
      <c r="K110" s="12" t="s">
        <v>10</v>
      </c>
      <c r="L110" s="34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>
        <v>4.0</v>
      </c>
      <c r="B111" s="12" t="s">
        <v>38</v>
      </c>
      <c r="C111" s="14" t="s">
        <v>46</v>
      </c>
      <c r="D111" s="15">
        <v>15000.0</v>
      </c>
      <c r="E111" s="15">
        <f t="shared" ref="E111:E124" si="25">A111*D111</f>
        <v>60000</v>
      </c>
      <c r="F111" s="16"/>
      <c r="G111" s="25"/>
      <c r="H111" s="25"/>
      <c r="I111" s="15">
        <v>11000.0</v>
      </c>
      <c r="J111" s="16">
        <f t="shared" ref="J111:J124" si="26">I111*A111</f>
        <v>44000</v>
      </c>
      <c r="K111" s="16">
        <f t="shared" ref="K111:K124" si="27">E111-J111</f>
        <v>16000</v>
      </c>
      <c r="L111" s="36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>
        <v>2.0</v>
      </c>
      <c r="B112" s="12" t="s">
        <v>38</v>
      </c>
      <c r="C112" s="14" t="s">
        <v>67</v>
      </c>
      <c r="D112" s="15">
        <v>14000.0</v>
      </c>
      <c r="E112" s="15">
        <f t="shared" si="25"/>
        <v>28000</v>
      </c>
      <c r="F112" s="16"/>
      <c r="G112" s="25"/>
      <c r="H112" s="25"/>
      <c r="I112" s="16">
        <v>10000.0</v>
      </c>
      <c r="J112" s="16">
        <f t="shared" si="26"/>
        <v>20000</v>
      </c>
      <c r="K112" s="16">
        <f t="shared" si="27"/>
        <v>8000</v>
      </c>
      <c r="L112" s="36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4.0</v>
      </c>
      <c r="B113" s="12" t="s">
        <v>11</v>
      </c>
      <c r="C113" s="14" t="s">
        <v>75</v>
      </c>
      <c r="D113" s="15">
        <v>2200.0</v>
      </c>
      <c r="E113" s="15">
        <f t="shared" si="25"/>
        <v>8800</v>
      </c>
      <c r="F113" s="16"/>
      <c r="G113" s="25"/>
      <c r="H113" s="25"/>
      <c r="I113" s="15">
        <v>1500.0</v>
      </c>
      <c r="J113" s="16">
        <f t="shared" si="26"/>
        <v>6000</v>
      </c>
      <c r="K113" s="16">
        <f t="shared" si="27"/>
        <v>2800</v>
      </c>
      <c r="L113" s="36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3.0</v>
      </c>
      <c r="B114" s="12" t="s">
        <v>38</v>
      </c>
      <c r="C114" s="14" t="s">
        <v>47</v>
      </c>
      <c r="D114" s="15">
        <v>12000.0</v>
      </c>
      <c r="E114" s="15">
        <f t="shared" si="25"/>
        <v>36000</v>
      </c>
      <c r="F114" s="16"/>
      <c r="G114" s="25"/>
      <c r="H114" s="25"/>
      <c r="I114" s="15">
        <v>8000.0</v>
      </c>
      <c r="J114" s="16">
        <f t="shared" si="26"/>
        <v>24000</v>
      </c>
      <c r="K114" s="16">
        <f t="shared" si="27"/>
        <v>12000</v>
      </c>
      <c r="L114" s="36"/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3.0</v>
      </c>
      <c r="B115" s="12" t="s">
        <v>38</v>
      </c>
      <c r="C115" s="14" t="s">
        <v>45</v>
      </c>
      <c r="D115" s="15">
        <v>14000.0</v>
      </c>
      <c r="E115" s="15">
        <f t="shared" si="25"/>
        <v>42000</v>
      </c>
      <c r="F115" s="16"/>
      <c r="G115" s="25"/>
      <c r="H115" s="25"/>
      <c r="I115" s="16">
        <v>8000.0</v>
      </c>
      <c r="J115" s="16">
        <f t="shared" si="26"/>
        <v>24000</v>
      </c>
      <c r="K115" s="16">
        <f t="shared" si="27"/>
        <v>18000</v>
      </c>
      <c r="L115" s="29" t="s">
        <v>13</v>
      </c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1.5</v>
      </c>
      <c r="B116" s="12" t="s">
        <v>18</v>
      </c>
      <c r="C116" s="14" t="s">
        <v>76</v>
      </c>
      <c r="D116" s="15">
        <v>14000.0</v>
      </c>
      <c r="E116" s="15">
        <f t="shared" si="25"/>
        <v>21000</v>
      </c>
      <c r="F116" s="16"/>
      <c r="G116" s="25"/>
      <c r="H116" s="25"/>
      <c r="I116" s="15">
        <v>10000.0</v>
      </c>
      <c r="J116" s="16">
        <f t="shared" si="26"/>
        <v>15000</v>
      </c>
      <c r="K116" s="16">
        <f t="shared" si="27"/>
        <v>6000</v>
      </c>
      <c r="L116" s="29" t="s">
        <v>13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>
        <v>1.0</v>
      </c>
      <c r="B117" s="12" t="s">
        <v>18</v>
      </c>
      <c r="C117" s="14" t="s">
        <v>77</v>
      </c>
      <c r="D117" s="15">
        <v>14000.0</v>
      </c>
      <c r="E117" s="15">
        <f t="shared" si="25"/>
        <v>14000</v>
      </c>
      <c r="F117" s="16"/>
      <c r="G117" s="37" t="s">
        <v>13</v>
      </c>
      <c r="H117" s="25"/>
      <c r="I117" s="16">
        <v>12000.0</v>
      </c>
      <c r="J117" s="16">
        <f t="shared" si="26"/>
        <v>12000</v>
      </c>
      <c r="K117" s="16">
        <f t="shared" si="27"/>
        <v>2000</v>
      </c>
      <c r="L117" s="29" t="s">
        <v>13</v>
      </c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>
        <v>1.0</v>
      </c>
      <c r="B118" s="12" t="s">
        <v>33</v>
      </c>
      <c r="C118" s="14" t="s">
        <v>72</v>
      </c>
      <c r="D118" s="15">
        <v>2500.0</v>
      </c>
      <c r="E118" s="15">
        <f t="shared" si="25"/>
        <v>2500</v>
      </c>
      <c r="F118" s="16"/>
      <c r="G118" s="25"/>
      <c r="H118" s="25"/>
      <c r="I118" s="15">
        <f>28000/15</f>
        <v>1866.666667</v>
      </c>
      <c r="J118" s="16">
        <f t="shared" si="26"/>
        <v>1866.666667</v>
      </c>
      <c r="K118" s="16">
        <f t="shared" si="27"/>
        <v>633.3333333</v>
      </c>
      <c r="L118" s="29" t="s">
        <v>13</v>
      </c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3">
        <v>3.0</v>
      </c>
      <c r="B119" s="12" t="s">
        <v>29</v>
      </c>
      <c r="C119" s="14" t="s">
        <v>31</v>
      </c>
      <c r="D119" s="15">
        <v>37000.0</v>
      </c>
      <c r="E119" s="15">
        <f t="shared" si="25"/>
        <v>111000</v>
      </c>
      <c r="F119" s="16"/>
      <c r="G119" s="25"/>
      <c r="H119" s="25"/>
      <c r="I119" s="16">
        <v>24000.0</v>
      </c>
      <c r="J119" s="16">
        <f t="shared" si="26"/>
        <v>72000</v>
      </c>
      <c r="K119" s="16">
        <f t="shared" si="27"/>
        <v>39000</v>
      </c>
      <c r="L119" s="29" t="s">
        <v>13</v>
      </c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>
        <v>2.0</v>
      </c>
      <c r="B120" s="12" t="s">
        <v>29</v>
      </c>
      <c r="C120" s="14" t="s">
        <v>78</v>
      </c>
      <c r="D120" s="15">
        <v>40000.0</v>
      </c>
      <c r="E120" s="15">
        <f t="shared" si="25"/>
        <v>80000</v>
      </c>
      <c r="F120" s="16"/>
      <c r="G120" s="25"/>
      <c r="H120" s="25"/>
      <c r="I120" s="15">
        <v>25000.0</v>
      </c>
      <c r="J120" s="16">
        <f t="shared" si="26"/>
        <v>50000</v>
      </c>
      <c r="K120" s="16">
        <f t="shared" si="27"/>
        <v>30000</v>
      </c>
      <c r="L120" s="29" t="s">
        <v>13</v>
      </c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>
        <v>2.0</v>
      </c>
      <c r="B121" s="12" t="s">
        <v>18</v>
      </c>
      <c r="C121" s="14" t="s">
        <v>39</v>
      </c>
      <c r="D121" s="15">
        <v>16000.0</v>
      </c>
      <c r="E121" s="15">
        <f t="shared" si="25"/>
        <v>32000</v>
      </c>
      <c r="F121" s="16"/>
      <c r="G121" s="25"/>
      <c r="H121" s="25"/>
      <c r="I121" s="15">
        <v>12000.0</v>
      </c>
      <c r="J121" s="16">
        <f t="shared" si="26"/>
        <v>24000</v>
      </c>
      <c r="K121" s="16">
        <f t="shared" si="27"/>
        <v>8000</v>
      </c>
      <c r="L121" s="29" t="s">
        <v>13</v>
      </c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3">
        <v>1.0</v>
      </c>
      <c r="B122" s="12" t="s">
        <v>5</v>
      </c>
      <c r="C122" s="14" t="s">
        <v>79</v>
      </c>
      <c r="D122" s="15">
        <v>2000.0</v>
      </c>
      <c r="E122" s="15">
        <f t="shared" si="25"/>
        <v>2000</v>
      </c>
      <c r="F122" s="16"/>
      <c r="G122" s="25"/>
      <c r="H122" s="25"/>
      <c r="I122" s="16">
        <f>15000/12</f>
        <v>1250</v>
      </c>
      <c r="J122" s="16">
        <f t="shared" si="26"/>
        <v>1250</v>
      </c>
      <c r="K122" s="16">
        <f t="shared" si="27"/>
        <v>750</v>
      </c>
      <c r="L122" s="29" t="s">
        <v>13</v>
      </c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3">
        <v>1.5</v>
      </c>
      <c r="B123" s="12" t="s">
        <v>18</v>
      </c>
      <c r="C123" s="14" t="s">
        <v>21</v>
      </c>
      <c r="D123" s="15">
        <v>56000.0</v>
      </c>
      <c r="E123" s="15">
        <f t="shared" si="25"/>
        <v>84000</v>
      </c>
      <c r="F123" s="16"/>
      <c r="G123" s="25"/>
      <c r="H123" s="25"/>
      <c r="I123" s="15">
        <v>46000.0</v>
      </c>
      <c r="J123" s="16">
        <f t="shared" si="26"/>
        <v>69000</v>
      </c>
      <c r="K123" s="16">
        <f t="shared" si="27"/>
        <v>15000</v>
      </c>
      <c r="L123" s="29" t="s">
        <v>13</v>
      </c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3">
        <v>6.0</v>
      </c>
      <c r="B124" s="12" t="s">
        <v>33</v>
      </c>
      <c r="C124" s="14" t="s">
        <v>19</v>
      </c>
      <c r="D124" s="15">
        <v>1500.0</v>
      </c>
      <c r="E124" s="15">
        <f t="shared" si="25"/>
        <v>9000</v>
      </c>
      <c r="F124" s="16"/>
      <c r="G124" s="25"/>
      <c r="H124" s="25"/>
      <c r="I124" s="16">
        <f>15000/15</f>
        <v>1000</v>
      </c>
      <c r="J124" s="16">
        <f t="shared" si="26"/>
        <v>6000</v>
      </c>
      <c r="K124" s="16">
        <f t="shared" si="27"/>
        <v>3000</v>
      </c>
      <c r="L124" s="29" t="s">
        <v>13</v>
      </c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3"/>
      <c r="B125" s="12"/>
      <c r="C125" s="14"/>
      <c r="D125" s="15"/>
      <c r="E125" s="16"/>
      <c r="F125" s="16"/>
      <c r="G125" s="25"/>
      <c r="H125" s="25"/>
      <c r="I125" s="16"/>
      <c r="J125" s="16"/>
      <c r="K125" s="16"/>
      <c r="L125" s="36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3"/>
      <c r="B126" s="12"/>
      <c r="C126" s="14"/>
      <c r="D126" s="15"/>
      <c r="E126" s="16">
        <f>SUM(E111:E124)</f>
        <v>530300</v>
      </c>
      <c r="F126" s="16"/>
      <c r="G126" s="25"/>
      <c r="H126" s="25"/>
      <c r="I126" s="16"/>
      <c r="J126" s="16"/>
      <c r="K126" s="16">
        <f>SUM(K111:K124)</f>
        <v>161183.3333</v>
      </c>
      <c r="L126" s="36">
        <f>K126/E126</f>
        <v>0.3039474511</v>
      </c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30"/>
      <c r="B127" s="31"/>
      <c r="C127" s="2"/>
      <c r="D127" s="3"/>
      <c r="E127" s="3"/>
      <c r="F127" s="3"/>
      <c r="G127" s="2"/>
      <c r="H127" s="2"/>
      <c r="I127" s="2"/>
      <c r="J127" s="2"/>
      <c r="K127" s="3"/>
      <c r="L127" s="4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21"/>
      <c r="P128" s="21"/>
      <c r="Q128" s="21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30"/>
      <c r="B129" s="31"/>
      <c r="C129" s="2"/>
      <c r="D129" s="3"/>
      <c r="E129" s="3"/>
      <c r="F129" s="3"/>
      <c r="G129" s="2"/>
      <c r="H129" s="2"/>
      <c r="I129" s="2"/>
      <c r="J129" s="2"/>
      <c r="K129" s="3"/>
      <c r="L129" s="4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24" t="s">
        <v>80</v>
      </c>
      <c r="B130" s="24"/>
      <c r="C130" s="24"/>
      <c r="D130" s="32" t="s">
        <v>81</v>
      </c>
      <c r="E130" s="7">
        <v>46055.0</v>
      </c>
      <c r="F130" s="33" t="s">
        <v>2</v>
      </c>
      <c r="G130" s="25"/>
      <c r="H130" s="25"/>
      <c r="I130" s="16"/>
      <c r="J130" s="16"/>
      <c r="K130" s="16"/>
      <c r="L130" s="34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B131" s="25"/>
      <c r="C131" s="35"/>
      <c r="D131" s="25"/>
      <c r="E131" s="25"/>
      <c r="F131" s="25"/>
      <c r="G131" s="25"/>
      <c r="H131" s="25"/>
      <c r="I131" s="16"/>
      <c r="J131" s="16"/>
      <c r="K131" s="16"/>
      <c r="L131" s="34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5" t="s">
        <v>4</v>
      </c>
      <c r="B132" s="10" t="s">
        <v>5</v>
      </c>
      <c r="C132" s="11" t="s">
        <v>6</v>
      </c>
      <c r="D132" s="12" t="s">
        <v>7</v>
      </c>
      <c r="E132" s="10" t="s">
        <v>8</v>
      </c>
      <c r="F132" s="12"/>
      <c r="G132" s="25"/>
      <c r="H132" s="25"/>
      <c r="I132" s="12" t="s">
        <v>7</v>
      </c>
      <c r="J132" s="12" t="s">
        <v>8</v>
      </c>
      <c r="K132" s="12" t="s">
        <v>10</v>
      </c>
      <c r="L132" s="34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3">
        <v>1.0</v>
      </c>
      <c r="B133" s="12" t="s">
        <v>38</v>
      </c>
      <c r="C133" s="14" t="s">
        <v>46</v>
      </c>
      <c r="D133" s="15">
        <v>21000.0</v>
      </c>
      <c r="E133" s="15">
        <f t="shared" ref="E133:E144" si="28">A133*D133</f>
        <v>21000</v>
      </c>
      <c r="F133" s="16"/>
      <c r="G133" s="25"/>
      <c r="H133" s="25"/>
      <c r="I133" s="16">
        <v>18500.0</v>
      </c>
      <c r="J133" s="16">
        <f t="shared" ref="J133:J144" si="29">I133*A133</f>
        <v>18500</v>
      </c>
      <c r="K133" s="16">
        <f t="shared" ref="K133:K144" si="30">E133-J133</f>
        <v>2500</v>
      </c>
      <c r="L133" s="29" t="s">
        <v>13</v>
      </c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3">
        <v>1.0</v>
      </c>
      <c r="B134" s="12" t="s">
        <v>38</v>
      </c>
      <c r="C134" s="14" t="s">
        <v>67</v>
      </c>
      <c r="D134" s="15">
        <v>13000.0</v>
      </c>
      <c r="E134" s="15">
        <f t="shared" si="28"/>
        <v>13000</v>
      </c>
      <c r="F134" s="16"/>
      <c r="G134" s="25"/>
      <c r="H134" s="25"/>
      <c r="I134" s="15">
        <v>10000.0</v>
      </c>
      <c r="J134" s="16">
        <f t="shared" si="29"/>
        <v>10000</v>
      </c>
      <c r="K134" s="16">
        <f t="shared" si="30"/>
        <v>3000</v>
      </c>
      <c r="L134" s="29" t="s">
        <v>13</v>
      </c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13">
        <v>3.0</v>
      </c>
      <c r="B135" s="12" t="s">
        <v>33</v>
      </c>
      <c r="C135" s="14" t="s">
        <v>49</v>
      </c>
      <c r="D135" s="15">
        <v>1400.0</v>
      </c>
      <c r="E135" s="15">
        <f t="shared" si="28"/>
        <v>4200</v>
      </c>
      <c r="F135" s="16"/>
      <c r="G135" s="25"/>
      <c r="H135" s="25"/>
      <c r="I135" s="15">
        <f>10000/15</f>
        <v>666.6666667</v>
      </c>
      <c r="J135" s="16">
        <f t="shared" si="29"/>
        <v>2000</v>
      </c>
      <c r="K135" s="16">
        <f t="shared" si="30"/>
        <v>2200</v>
      </c>
      <c r="L135" s="29" t="s">
        <v>13</v>
      </c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>
        <v>3.0</v>
      </c>
      <c r="B136" s="12" t="s">
        <v>33</v>
      </c>
      <c r="C136" s="14" t="s">
        <v>23</v>
      </c>
      <c r="D136" s="15">
        <v>1600.0</v>
      </c>
      <c r="E136" s="15">
        <f t="shared" si="28"/>
        <v>4800</v>
      </c>
      <c r="F136" s="16"/>
      <c r="G136" s="25"/>
      <c r="H136" s="25"/>
      <c r="I136" s="15">
        <v>1000.0</v>
      </c>
      <c r="J136" s="16">
        <f t="shared" si="29"/>
        <v>3000</v>
      </c>
      <c r="K136" s="16">
        <f t="shared" si="30"/>
        <v>1800</v>
      </c>
      <c r="L136" s="29" t="s">
        <v>13</v>
      </c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>
        <v>3.0</v>
      </c>
      <c r="B137" s="12" t="s">
        <v>33</v>
      </c>
      <c r="C137" s="14" t="s">
        <v>22</v>
      </c>
      <c r="D137" s="15">
        <v>1500.0</v>
      </c>
      <c r="E137" s="15">
        <f t="shared" si="28"/>
        <v>4500</v>
      </c>
      <c r="F137" s="16"/>
      <c r="G137" s="25"/>
      <c r="H137" s="25"/>
      <c r="I137" s="16">
        <f>8000/14</f>
        <v>571.4285714</v>
      </c>
      <c r="J137" s="16">
        <f t="shared" si="29"/>
        <v>1714.285714</v>
      </c>
      <c r="K137" s="16">
        <f t="shared" si="30"/>
        <v>2785.714286</v>
      </c>
      <c r="L137" s="29" t="s">
        <v>13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>
        <v>1.0</v>
      </c>
      <c r="B138" s="12" t="s">
        <v>33</v>
      </c>
      <c r="C138" s="14" t="s">
        <v>82</v>
      </c>
      <c r="D138" s="15">
        <v>4000.0</v>
      </c>
      <c r="E138" s="15">
        <f t="shared" si="28"/>
        <v>4000</v>
      </c>
      <c r="F138" s="16"/>
      <c r="G138" s="25"/>
      <c r="H138" s="37" t="s">
        <v>59</v>
      </c>
      <c r="I138" s="15"/>
      <c r="J138" s="16">
        <f t="shared" si="29"/>
        <v>0</v>
      </c>
      <c r="K138" s="16">
        <f t="shared" si="30"/>
        <v>4000</v>
      </c>
      <c r="L138" s="29" t="s">
        <v>13</v>
      </c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3">
        <v>3.0</v>
      </c>
      <c r="B139" s="12" t="s">
        <v>11</v>
      </c>
      <c r="C139" s="14" t="s">
        <v>65</v>
      </c>
      <c r="D139" s="15">
        <v>500.0</v>
      </c>
      <c r="E139" s="15">
        <f t="shared" si="28"/>
        <v>1500</v>
      </c>
      <c r="F139" s="16"/>
      <c r="G139" s="25"/>
      <c r="H139" s="25"/>
      <c r="I139" s="16">
        <f>2500/12</f>
        <v>208.3333333</v>
      </c>
      <c r="J139" s="16">
        <f t="shared" si="29"/>
        <v>625</v>
      </c>
      <c r="K139" s="16">
        <f t="shared" si="30"/>
        <v>875</v>
      </c>
      <c r="L139" s="29" t="s">
        <v>13</v>
      </c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13">
        <v>3.0</v>
      </c>
      <c r="B140" s="12" t="s">
        <v>33</v>
      </c>
      <c r="C140" s="14" t="s">
        <v>72</v>
      </c>
      <c r="D140" s="15">
        <v>2500.0</v>
      </c>
      <c r="E140" s="15">
        <f t="shared" si="28"/>
        <v>7500</v>
      </c>
      <c r="F140" s="16"/>
      <c r="G140" s="25"/>
      <c r="H140" s="25"/>
      <c r="I140" s="16">
        <f>28000/15</f>
        <v>1866.666667</v>
      </c>
      <c r="J140" s="16">
        <f t="shared" si="29"/>
        <v>5600</v>
      </c>
      <c r="K140" s="16">
        <f t="shared" si="30"/>
        <v>1900</v>
      </c>
      <c r="L140" s="29" t="s">
        <v>13</v>
      </c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13">
        <v>1.0</v>
      </c>
      <c r="B141" s="12" t="s">
        <v>38</v>
      </c>
      <c r="C141" s="14" t="s">
        <v>45</v>
      </c>
      <c r="D141" s="15">
        <v>13000.0</v>
      </c>
      <c r="E141" s="15">
        <f t="shared" si="28"/>
        <v>13000</v>
      </c>
      <c r="F141" s="16"/>
      <c r="G141" s="25"/>
      <c r="H141" s="25"/>
      <c r="I141" s="15">
        <v>8000.0</v>
      </c>
      <c r="J141" s="16">
        <f t="shared" si="29"/>
        <v>8000</v>
      </c>
      <c r="K141" s="16">
        <f t="shared" si="30"/>
        <v>5000</v>
      </c>
      <c r="L141" s="29" t="s">
        <v>13</v>
      </c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3">
        <v>1.0</v>
      </c>
      <c r="B142" s="12" t="s">
        <v>33</v>
      </c>
      <c r="C142" s="14" t="s">
        <v>20</v>
      </c>
      <c r="D142" s="15">
        <v>3500.0</v>
      </c>
      <c r="E142" s="15">
        <f t="shared" si="28"/>
        <v>3500</v>
      </c>
      <c r="F142" s="16"/>
      <c r="G142" s="25"/>
      <c r="H142" s="25"/>
      <c r="I142" s="15">
        <f>20000/8</f>
        <v>2500</v>
      </c>
      <c r="J142" s="16">
        <f t="shared" si="29"/>
        <v>2500</v>
      </c>
      <c r="K142" s="16">
        <f t="shared" si="30"/>
        <v>1000</v>
      </c>
      <c r="L142" s="29" t="s">
        <v>13</v>
      </c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13">
        <v>5.0</v>
      </c>
      <c r="B143" s="12" t="s">
        <v>33</v>
      </c>
      <c r="C143" s="14" t="s">
        <v>19</v>
      </c>
      <c r="D143" s="15">
        <v>1500.0</v>
      </c>
      <c r="E143" s="15">
        <f t="shared" si="28"/>
        <v>7500</v>
      </c>
      <c r="F143" s="16"/>
      <c r="G143" s="25"/>
      <c r="H143" s="25"/>
      <c r="I143" s="15">
        <f>15000/15</f>
        <v>1000</v>
      </c>
      <c r="J143" s="16">
        <f t="shared" si="29"/>
        <v>5000</v>
      </c>
      <c r="K143" s="16">
        <f t="shared" si="30"/>
        <v>2500</v>
      </c>
      <c r="L143" s="29" t="s">
        <v>13</v>
      </c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13">
        <v>2.0</v>
      </c>
      <c r="B144" s="12" t="s">
        <v>33</v>
      </c>
      <c r="C144" s="14" t="s">
        <v>24</v>
      </c>
      <c r="D144" s="15">
        <v>4500.0</v>
      </c>
      <c r="E144" s="15">
        <f t="shared" si="28"/>
        <v>9000</v>
      </c>
      <c r="F144" s="16"/>
      <c r="G144" s="25"/>
      <c r="H144" s="25"/>
      <c r="I144" s="15">
        <f>30000/8</f>
        <v>3750</v>
      </c>
      <c r="J144" s="16">
        <f t="shared" si="29"/>
        <v>7500</v>
      </c>
      <c r="K144" s="16">
        <f t="shared" si="30"/>
        <v>1500</v>
      </c>
      <c r="L144" s="29" t="s">
        <v>13</v>
      </c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13"/>
      <c r="B145" s="12"/>
      <c r="C145" s="14"/>
      <c r="D145" s="15"/>
      <c r="E145" s="16"/>
      <c r="F145" s="16"/>
      <c r="H145" s="25"/>
      <c r="I145" s="16"/>
      <c r="J145" s="16"/>
      <c r="K145" s="16"/>
      <c r="L145" s="36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3"/>
      <c r="B146" s="12"/>
      <c r="C146" s="14"/>
      <c r="D146" s="15"/>
      <c r="E146" s="16">
        <f>SUM(E133:E145)</f>
        <v>93500</v>
      </c>
      <c r="F146" s="16"/>
      <c r="G146" s="25"/>
      <c r="H146" s="25"/>
      <c r="I146" s="16"/>
      <c r="J146" s="16"/>
      <c r="K146" s="16">
        <f>SUM(K133:K144)</f>
        <v>29060.71429</v>
      </c>
      <c r="L146" s="36">
        <f>K146/E146</f>
        <v>0.3108097785</v>
      </c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13"/>
      <c r="B147" s="12"/>
      <c r="C147" s="14"/>
      <c r="D147" s="15"/>
      <c r="E147" s="3"/>
      <c r="F147" s="3"/>
      <c r="G147" s="2"/>
      <c r="H147" s="2"/>
      <c r="I147" s="2"/>
      <c r="J147" s="2"/>
      <c r="K147" s="3"/>
      <c r="L147" s="4"/>
      <c r="M147" s="2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13"/>
      <c r="B148" s="12"/>
      <c r="C148" s="14"/>
      <c r="D148" s="15"/>
      <c r="E148" s="3"/>
      <c r="F148" s="3"/>
      <c r="G148" s="2"/>
      <c r="H148" s="2"/>
      <c r="I148" s="2"/>
      <c r="J148" s="2"/>
      <c r="K148" s="3"/>
      <c r="L148" s="4"/>
      <c r="M148" s="2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24"/>
      <c r="B149" s="24"/>
      <c r="C149" s="24"/>
      <c r="D149" s="32"/>
      <c r="E149" s="7"/>
      <c r="F149" s="33"/>
      <c r="G149" s="25"/>
      <c r="H149" s="25"/>
      <c r="I149" s="16"/>
      <c r="J149" s="16"/>
      <c r="K149" s="16"/>
      <c r="L149" s="34"/>
      <c r="M149" s="2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24" t="s">
        <v>83</v>
      </c>
      <c r="B150" s="24"/>
      <c r="C150" s="24"/>
      <c r="D150" s="32" t="s">
        <v>81</v>
      </c>
      <c r="E150" s="7">
        <v>46055.0</v>
      </c>
      <c r="F150" s="33" t="s">
        <v>2</v>
      </c>
      <c r="G150" s="25"/>
      <c r="H150" s="25"/>
      <c r="I150" s="16"/>
      <c r="J150" s="16"/>
      <c r="K150" s="16"/>
      <c r="L150" s="34"/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B151" s="25"/>
      <c r="C151" s="35"/>
      <c r="D151" s="25"/>
      <c r="E151" s="25"/>
      <c r="F151" s="25"/>
      <c r="G151" s="25"/>
      <c r="H151" s="25"/>
      <c r="I151" s="16"/>
      <c r="J151" s="16"/>
      <c r="K151" s="16"/>
      <c r="L151" s="34"/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5" t="s">
        <v>4</v>
      </c>
      <c r="B152" s="10" t="s">
        <v>5</v>
      </c>
      <c r="C152" s="11" t="s">
        <v>6</v>
      </c>
      <c r="D152" s="12" t="s">
        <v>7</v>
      </c>
      <c r="E152" s="10" t="s">
        <v>8</v>
      </c>
      <c r="F152" s="12"/>
      <c r="G152" s="25"/>
      <c r="H152" s="25"/>
      <c r="I152" s="12" t="s">
        <v>7</v>
      </c>
      <c r="J152" s="12" t="s">
        <v>8</v>
      </c>
      <c r="K152" s="12" t="s">
        <v>10</v>
      </c>
      <c r="L152" s="34"/>
      <c r="M152" s="2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13">
        <v>2.0</v>
      </c>
      <c r="B153" s="12" t="s">
        <v>84</v>
      </c>
      <c r="C153" s="14" t="s">
        <v>85</v>
      </c>
      <c r="D153" s="15">
        <v>2500.0</v>
      </c>
      <c r="E153" s="15">
        <f t="shared" ref="E153:E166" si="31">A153*D153</f>
        <v>5000</v>
      </c>
      <c r="F153" s="16"/>
      <c r="G153" s="25"/>
      <c r="H153" s="25"/>
      <c r="I153" s="16">
        <f>23000/12</f>
        <v>1916.666667</v>
      </c>
      <c r="J153" s="16">
        <f t="shared" ref="J153:J166" si="32">I153*A153</f>
        <v>3833.333333</v>
      </c>
      <c r="K153" s="16">
        <f t="shared" ref="K153:K166" si="33">E153-J153</f>
        <v>1166.666667</v>
      </c>
      <c r="L153" s="29" t="s">
        <v>13</v>
      </c>
      <c r="M153" s="2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13">
        <v>1.0</v>
      </c>
      <c r="B154" s="12" t="s">
        <v>33</v>
      </c>
      <c r="C154" s="14" t="s">
        <v>31</v>
      </c>
      <c r="D154" s="15">
        <v>3000.0</v>
      </c>
      <c r="E154" s="15">
        <f t="shared" si="31"/>
        <v>3000</v>
      </c>
      <c r="F154" s="16"/>
      <c r="G154" s="25"/>
      <c r="H154" s="37" t="s">
        <v>59</v>
      </c>
      <c r="I154" s="15"/>
      <c r="J154" s="16">
        <f t="shared" si="32"/>
        <v>0</v>
      </c>
      <c r="K154" s="16">
        <f t="shared" si="33"/>
        <v>3000</v>
      </c>
      <c r="L154" s="29" t="s">
        <v>13</v>
      </c>
      <c r="M154" s="2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13">
        <v>1.0</v>
      </c>
      <c r="B155" s="12" t="s">
        <v>38</v>
      </c>
      <c r="C155" s="14" t="s">
        <v>67</v>
      </c>
      <c r="D155" s="15">
        <v>14000.0</v>
      </c>
      <c r="E155" s="15">
        <f t="shared" si="31"/>
        <v>14000</v>
      </c>
      <c r="F155" s="16"/>
      <c r="G155" s="25"/>
      <c r="H155" s="25"/>
      <c r="I155" s="15">
        <v>10000.0</v>
      </c>
      <c r="J155" s="16">
        <f t="shared" si="32"/>
        <v>10000</v>
      </c>
      <c r="K155" s="16">
        <f t="shared" si="33"/>
        <v>4000</v>
      </c>
      <c r="L155" s="29" t="s">
        <v>13</v>
      </c>
      <c r="M155" s="2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13">
        <v>1.0</v>
      </c>
      <c r="B156" s="12" t="s">
        <v>33</v>
      </c>
      <c r="C156" s="14" t="s">
        <v>57</v>
      </c>
      <c r="D156" s="15">
        <v>6500.0</v>
      </c>
      <c r="E156" s="15">
        <f t="shared" si="31"/>
        <v>6500</v>
      </c>
      <c r="F156" s="16"/>
      <c r="G156" s="25"/>
      <c r="H156" s="25"/>
      <c r="I156" s="15">
        <v>5000.0</v>
      </c>
      <c r="J156" s="16">
        <f t="shared" si="32"/>
        <v>5000</v>
      </c>
      <c r="K156" s="16">
        <f t="shared" si="33"/>
        <v>1500</v>
      </c>
      <c r="L156" s="29" t="s">
        <v>13</v>
      </c>
      <c r="M156" s="2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13">
        <v>1.0</v>
      </c>
      <c r="B157" s="12" t="s">
        <v>33</v>
      </c>
      <c r="C157" s="14" t="s">
        <v>53</v>
      </c>
      <c r="D157" s="15">
        <v>12000.0</v>
      </c>
      <c r="E157" s="15">
        <f t="shared" si="31"/>
        <v>12000</v>
      </c>
      <c r="F157" s="16"/>
      <c r="G157" s="25"/>
      <c r="H157" s="25"/>
      <c r="I157" s="16">
        <f>65000/7</f>
        <v>9285.714286</v>
      </c>
      <c r="J157" s="16">
        <f t="shared" si="32"/>
        <v>9285.714286</v>
      </c>
      <c r="K157" s="16">
        <f t="shared" si="33"/>
        <v>2714.285714</v>
      </c>
      <c r="L157" s="29" t="s">
        <v>13</v>
      </c>
      <c r="M157" s="2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13">
        <v>1.0</v>
      </c>
      <c r="B158" s="12" t="s">
        <v>33</v>
      </c>
      <c r="C158" s="14" t="s">
        <v>86</v>
      </c>
      <c r="D158" s="15">
        <v>4000.0</v>
      </c>
      <c r="E158" s="15">
        <f t="shared" si="31"/>
        <v>4000</v>
      </c>
      <c r="F158" s="16"/>
      <c r="G158" s="25"/>
      <c r="H158" s="25"/>
      <c r="I158" s="15">
        <v>2500.0</v>
      </c>
      <c r="J158" s="16">
        <f t="shared" si="32"/>
        <v>2500</v>
      </c>
      <c r="K158" s="16">
        <f t="shared" si="33"/>
        <v>1500</v>
      </c>
      <c r="L158" s="29" t="s">
        <v>13</v>
      </c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13">
        <v>1.0</v>
      </c>
      <c r="B159" s="12" t="s">
        <v>18</v>
      </c>
      <c r="C159" s="14" t="s">
        <v>39</v>
      </c>
      <c r="D159" s="15">
        <v>16000.0</v>
      </c>
      <c r="E159" s="15">
        <f t="shared" si="31"/>
        <v>16000</v>
      </c>
      <c r="F159" s="16"/>
      <c r="G159" s="25"/>
      <c r="H159" s="25"/>
      <c r="I159" s="16">
        <v>12000.0</v>
      </c>
      <c r="J159" s="16">
        <f t="shared" si="32"/>
        <v>12000</v>
      </c>
      <c r="K159" s="16">
        <f t="shared" si="33"/>
        <v>4000</v>
      </c>
      <c r="L159" s="29" t="s">
        <v>13</v>
      </c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13">
        <v>7.0</v>
      </c>
      <c r="B160" s="12" t="s">
        <v>5</v>
      </c>
      <c r="C160" s="14" t="s">
        <v>87</v>
      </c>
      <c r="D160" s="15">
        <v>1300.0</v>
      </c>
      <c r="E160" s="15">
        <f t="shared" si="31"/>
        <v>9100</v>
      </c>
      <c r="F160" s="16"/>
      <c r="G160" s="25"/>
      <c r="H160" s="25"/>
      <c r="I160" s="16">
        <f>50000/80</f>
        <v>625</v>
      </c>
      <c r="J160" s="16">
        <f t="shared" si="32"/>
        <v>4375</v>
      </c>
      <c r="K160" s="16">
        <f t="shared" si="33"/>
        <v>4725</v>
      </c>
      <c r="L160" s="29" t="s">
        <v>13</v>
      </c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13">
        <v>1.0</v>
      </c>
      <c r="B161" s="12" t="s">
        <v>33</v>
      </c>
      <c r="C161" s="14" t="s">
        <v>88</v>
      </c>
      <c r="D161" s="15">
        <v>3400.0</v>
      </c>
      <c r="E161" s="15">
        <f t="shared" si="31"/>
        <v>3400</v>
      </c>
      <c r="F161" s="16"/>
      <c r="G161" s="25"/>
      <c r="H161" s="25"/>
      <c r="I161" s="15">
        <f>40000/15</f>
        <v>2666.666667</v>
      </c>
      <c r="J161" s="16">
        <f t="shared" si="32"/>
        <v>2666.666667</v>
      </c>
      <c r="K161" s="16">
        <f t="shared" si="33"/>
        <v>733.3333333</v>
      </c>
      <c r="L161" s="29" t="s">
        <v>13</v>
      </c>
      <c r="M161" s="2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13">
        <v>0.5</v>
      </c>
      <c r="B162" s="12" t="s">
        <v>50</v>
      </c>
      <c r="C162" s="14" t="s">
        <v>89</v>
      </c>
      <c r="D162" s="15">
        <v>6000.0</v>
      </c>
      <c r="E162" s="15">
        <f t="shared" si="31"/>
        <v>3000</v>
      </c>
      <c r="F162" s="16"/>
      <c r="G162" s="25"/>
      <c r="H162" s="25"/>
      <c r="I162" s="16">
        <v>4000.0</v>
      </c>
      <c r="J162" s="16">
        <f t="shared" si="32"/>
        <v>2000</v>
      </c>
      <c r="K162" s="16">
        <f t="shared" si="33"/>
        <v>1000</v>
      </c>
      <c r="L162" s="29" t="s">
        <v>13</v>
      </c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13">
        <v>1.0</v>
      </c>
      <c r="B163" s="12" t="s">
        <v>33</v>
      </c>
      <c r="C163" s="14" t="s">
        <v>20</v>
      </c>
      <c r="D163" s="15">
        <v>3500.0</v>
      </c>
      <c r="E163" s="15">
        <f t="shared" si="31"/>
        <v>3500</v>
      </c>
      <c r="F163" s="16"/>
      <c r="G163" s="25"/>
      <c r="H163" s="25"/>
      <c r="I163" s="15">
        <f>20000/8</f>
        <v>2500</v>
      </c>
      <c r="J163" s="16">
        <f t="shared" si="32"/>
        <v>2500</v>
      </c>
      <c r="K163" s="16">
        <f t="shared" si="33"/>
        <v>1000</v>
      </c>
      <c r="L163" s="29" t="s">
        <v>13</v>
      </c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13">
        <v>1.0</v>
      </c>
      <c r="B164" s="12" t="s">
        <v>18</v>
      </c>
      <c r="C164" s="14" t="s">
        <v>19</v>
      </c>
      <c r="D164" s="15">
        <v>22000.0</v>
      </c>
      <c r="E164" s="15">
        <f t="shared" si="31"/>
        <v>22000</v>
      </c>
      <c r="F164" s="16"/>
      <c r="G164" s="25"/>
      <c r="H164" s="25"/>
      <c r="I164" s="16">
        <v>15000.0</v>
      </c>
      <c r="J164" s="16">
        <f t="shared" si="32"/>
        <v>15000</v>
      </c>
      <c r="K164" s="16">
        <f t="shared" si="33"/>
        <v>7000</v>
      </c>
      <c r="L164" s="29" t="s">
        <v>13</v>
      </c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13">
        <v>2.0</v>
      </c>
      <c r="B165" s="12" t="s">
        <v>33</v>
      </c>
      <c r="C165" s="14" t="s">
        <v>45</v>
      </c>
      <c r="D165" s="15">
        <v>900.0</v>
      </c>
      <c r="E165" s="15">
        <f t="shared" si="31"/>
        <v>1800</v>
      </c>
      <c r="F165" s="16"/>
      <c r="G165" s="25"/>
      <c r="H165" s="25"/>
      <c r="I165" s="16">
        <f>8000/13</f>
        <v>615.3846154</v>
      </c>
      <c r="J165" s="16">
        <f t="shared" si="32"/>
        <v>1230.769231</v>
      </c>
      <c r="K165" s="16">
        <f t="shared" si="33"/>
        <v>569.2307692</v>
      </c>
      <c r="L165" s="29" t="s">
        <v>13</v>
      </c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13">
        <v>3.0</v>
      </c>
      <c r="B166" s="12" t="s">
        <v>18</v>
      </c>
      <c r="C166" s="14" t="s">
        <v>21</v>
      </c>
      <c r="D166" s="15">
        <v>54000.0</v>
      </c>
      <c r="E166" s="15">
        <f t="shared" si="31"/>
        <v>162000</v>
      </c>
      <c r="F166" s="16"/>
      <c r="G166" s="25"/>
      <c r="H166" s="25"/>
      <c r="I166" s="15">
        <v>46000.0</v>
      </c>
      <c r="J166" s="16">
        <f t="shared" si="32"/>
        <v>138000</v>
      </c>
      <c r="K166" s="16">
        <f t="shared" si="33"/>
        <v>24000</v>
      </c>
      <c r="L166" s="29" t="s">
        <v>13</v>
      </c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13"/>
      <c r="B167" s="12"/>
      <c r="C167" s="14"/>
      <c r="D167" s="15"/>
      <c r="E167" s="16"/>
      <c r="F167" s="16"/>
      <c r="H167" s="25"/>
      <c r="I167" s="16"/>
      <c r="J167" s="16"/>
      <c r="K167" s="16"/>
      <c r="L167" s="36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13"/>
      <c r="B168" s="12"/>
      <c r="C168" s="14"/>
      <c r="D168" s="15"/>
      <c r="E168" s="16">
        <f>SUM(E153:E167)</f>
        <v>265300</v>
      </c>
      <c r="F168" s="16"/>
      <c r="G168" s="25"/>
      <c r="H168" s="25"/>
      <c r="I168" s="16"/>
      <c r="J168" s="16"/>
      <c r="K168" s="16">
        <f>SUM(K153:K166)</f>
        <v>56908.51648</v>
      </c>
      <c r="L168" s="36">
        <f>K168/E168</f>
        <v>0.2145062815</v>
      </c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13"/>
      <c r="B169" s="12"/>
      <c r="C169" s="14"/>
      <c r="D169" s="15"/>
      <c r="E169" s="3"/>
      <c r="F169" s="3"/>
      <c r="G169" s="2"/>
      <c r="H169" s="2"/>
      <c r="I169" s="2"/>
      <c r="J169" s="2"/>
      <c r="K169" s="3"/>
      <c r="L169" s="4"/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13"/>
      <c r="B170" s="12"/>
      <c r="C170" s="14"/>
      <c r="D170" s="15"/>
      <c r="E170" s="3"/>
      <c r="F170" s="3"/>
      <c r="G170" s="2"/>
      <c r="H170" s="2"/>
      <c r="I170" s="2"/>
      <c r="J170" s="2"/>
      <c r="K170" s="3"/>
      <c r="L170" s="4"/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24" t="s">
        <v>90</v>
      </c>
      <c r="B171" s="24" t="s">
        <v>91</v>
      </c>
      <c r="C171" s="24"/>
      <c r="D171" s="32" t="s">
        <v>62</v>
      </c>
      <c r="E171" s="7">
        <v>46055.0</v>
      </c>
      <c r="F171" s="33" t="s">
        <v>2</v>
      </c>
      <c r="G171" s="25"/>
      <c r="H171" s="25"/>
      <c r="I171" s="16"/>
      <c r="J171" s="16"/>
      <c r="K171" s="16"/>
      <c r="L171" s="34"/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B172" s="25"/>
      <c r="C172" s="35"/>
      <c r="D172" s="25"/>
      <c r="E172" s="25"/>
      <c r="F172" s="25"/>
      <c r="G172" s="25"/>
      <c r="H172" s="25"/>
      <c r="I172" s="16"/>
      <c r="J172" s="16"/>
      <c r="K172" s="16"/>
      <c r="L172" s="34"/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5" t="s">
        <v>4</v>
      </c>
      <c r="B173" s="10" t="s">
        <v>5</v>
      </c>
      <c r="C173" s="11" t="s">
        <v>6</v>
      </c>
      <c r="D173" s="12" t="s">
        <v>7</v>
      </c>
      <c r="E173" s="10" t="s">
        <v>8</v>
      </c>
      <c r="F173" s="12"/>
      <c r="G173" s="25"/>
      <c r="H173" s="25"/>
      <c r="I173" s="12" t="s">
        <v>7</v>
      </c>
      <c r="J173" s="12" t="s">
        <v>8</v>
      </c>
      <c r="K173" s="12" t="s">
        <v>10</v>
      </c>
      <c r="L173" s="34"/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13">
        <v>1.0</v>
      </c>
      <c r="B174" s="12" t="s">
        <v>18</v>
      </c>
      <c r="C174" s="14" t="s">
        <v>39</v>
      </c>
      <c r="D174" s="15">
        <v>16000.0</v>
      </c>
      <c r="E174" s="15">
        <f>A174*D174</f>
        <v>16000</v>
      </c>
      <c r="F174" s="16"/>
      <c r="G174" s="25"/>
      <c r="H174" s="25"/>
      <c r="I174" s="16">
        <v>12000.0</v>
      </c>
      <c r="J174" s="16">
        <f>I174*A174</f>
        <v>12000</v>
      </c>
      <c r="K174" s="16">
        <f>E174-J174</f>
        <v>4000</v>
      </c>
      <c r="L174" s="29" t="s">
        <v>13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13"/>
      <c r="B175" s="12"/>
      <c r="C175" s="14"/>
      <c r="D175" s="15"/>
      <c r="E175" s="16"/>
      <c r="F175" s="16"/>
      <c r="H175" s="25"/>
      <c r="I175" s="16"/>
      <c r="J175" s="16"/>
      <c r="K175" s="16"/>
      <c r="L175" s="36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13"/>
      <c r="B176" s="12"/>
      <c r="C176" s="14"/>
      <c r="D176" s="15"/>
      <c r="E176" s="16">
        <f>SUM(E174:E175)</f>
        <v>16000</v>
      </c>
      <c r="F176" s="16"/>
      <c r="G176" s="25"/>
      <c r="H176" s="25"/>
      <c r="I176" s="16"/>
      <c r="J176" s="16"/>
      <c r="K176" s="16">
        <f>SUM(K174)</f>
        <v>4000</v>
      </c>
      <c r="L176" s="36">
        <f>K176/E176</f>
        <v>0.25</v>
      </c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13"/>
      <c r="B177" s="12"/>
      <c r="C177" s="14"/>
      <c r="D177" s="15"/>
      <c r="E177" s="3"/>
      <c r="F177" s="3"/>
      <c r="G177" s="2"/>
      <c r="H177" s="2"/>
      <c r="I177" s="2"/>
      <c r="J177" s="2"/>
      <c r="K177" s="3"/>
      <c r="L177" s="4"/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26" t="s">
        <v>60</v>
      </c>
      <c r="B178" s="27">
        <v>0.04</v>
      </c>
      <c r="C178" s="2"/>
      <c r="D178" s="3"/>
      <c r="E178" s="15">
        <f>E176*0.04</f>
        <v>640</v>
      </c>
      <c r="F178" s="3"/>
      <c r="G178" s="2"/>
      <c r="H178" s="3"/>
      <c r="I178" s="3"/>
      <c r="J178" s="3"/>
      <c r="K178" s="3"/>
      <c r="L178" s="4"/>
      <c r="M178" s="1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13"/>
      <c r="B179" s="12"/>
      <c r="C179" s="14"/>
      <c r="D179" s="15"/>
      <c r="E179" s="3"/>
      <c r="F179" s="3"/>
      <c r="G179" s="2"/>
      <c r="H179" s="2"/>
      <c r="I179" s="2"/>
      <c r="J179" s="2"/>
      <c r="K179" s="3"/>
      <c r="L179" s="4"/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13"/>
      <c r="B180" s="12"/>
      <c r="C180" s="14"/>
      <c r="D180" s="15"/>
      <c r="E180" s="3"/>
      <c r="F180" s="3"/>
      <c r="G180" s="2"/>
      <c r="H180" s="2"/>
      <c r="I180" s="2"/>
      <c r="J180" s="2"/>
      <c r="K180" s="3"/>
      <c r="L180" s="4"/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5" t="s">
        <v>92</v>
      </c>
      <c r="B181" s="5"/>
      <c r="C181" s="5"/>
      <c r="D181" s="6"/>
      <c r="E181" s="6" t="s">
        <v>62</v>
      </c>
      <c r="F181" s="7">
        <v>46055.0</v>
      </c>
      <c r="G181" s="6" t="s">
        <v>2</v>
      </c>
      <c r="H181" s="3"/>
      <c r="I181" s="8" t="s">
        <v>3</v>
      </c>
      <c r="L181" s="4"/>
      <c r="M181" s="1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1"/>
      <c r="B182" s="3"/>
      <c r="C182" s="9"/>
      <c r="D182" s="3"/>
      <c r="E182" s="3"/>
      <c r="F182" s="3"/>
      <c r="G182" s="3"/>
      <c r="H182" s="3"/>
      <c r="I182" s="3"/>
      <c r="J182" s="3"/>
      <c r="K182" s="3"/>
      <c r="L182" s="4"/>
      <c r="M182" s="1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5" t="s">
        <v>4</v>
      </c>
      <c r="B183" s="10" t="s">
        <v>5</v>
      </c>
      <c r="C183" s="11" t="s">
        <v>6</v>
      </c>
      <c r="D183" s="12" t="s">
        <v>7</v>
      </c>
      <c r="E183" s="10" t="s">
        <v>8</v>
      </c>
      <c r="F183" s="10" t="s">
        <v>9</v>
      </c>
      <c r="G183" s="3"/>
      <c r="H183" s="3"/>
      <c r="I183" s="10" t="s">
        <v>7</v>
      </c>
      <c r="J183" s="10" t="s">
        <v>8</v>
      </c>
      <c r="K183" s="10" t="s">
        <v>10</v>
      </c>
      <c r="L183" s="4"/>
      <c r="M183" s="1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13">
        <v>1.0</v>
      </c>
      <c r="B184" s="12" t="s">
        <v>18</v>
      </c>
      <c r="C184" s="14" t="s">
        <v>19</v>
      </c>
      <c r="D184" s="15">
        <v>18000.0</v>
      </c>
      <c r="E184" s="15">
        <f t="shared" ref="E184:E193" si="34">A184*D184</f>
        <v>18000</v>
      </c>
      <c r="F184" s="15">
        <f t="shared" ref="F184:F193" si="35">E184*1.105</f>
        <v>19890</v>
      </c>
      <c r="G184" s="3"/>
      <c r="H184" s="3" t="s">
        <v>13</v>
      </c>
      <c r="I184" s="16">
        <v>15000.0</v>
      </c>
      <c r="J184" s="15">
        <f t="shared" ref="J184:J193" si="36">I184*A184</f>
        <v>15000</v>
      </c>
      <c r="K184" s="15">
        <f t="shared" ref="K184:K193" si="37">F184-J184</f>
        <v>4890</v>
      </c>
      <c r="L184" s="4"/>
      <c r="M184" s="17"/>
      <c r="N184" s="18"/>
      <c r="O184" s="19"/>
      <c r="P184" s="18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13">
        <v>1.0</v>
      </c>
      <c r="B185" s="12" t="s">
        <v>18</v>
      </c>
      <c r="C185" s="14" t="s">
        <v>93</v>
      </c>
      <c r="D185" s="15">
        <v>15000.0</v>
      </c>
      <c r="E185" s="15">
        <f t="shared" si="34"/>
        <v>15000</v>
      </c>
      <c r="F185" s="15">
        <f t="shared" si="35"/>
        <v>16575</v>
      </c>
      <c r="G185" s="3"/>
      <c r="H185" s="3" t="s">
        <v>13</v>
      </c>
      <c r="I185" s="15">
        <v>12000.0</v>
      </c>
      <c r="J185" s="15">
        <f t="shared" si="36"/>
        <v>12000</v>
      </c>
      <c r="K185" s="15">
        <f t="shared" si="37"/>
        <v>4575</v>
      </c>
      <c r="L185" s="4"/>
      <c r="M185" s="20"/>
      <c r="N185" s="21"/>
      <c r="P185" s="21"/>
      <c r="Q185" s="21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13">
        <v>2.0</v>
      </c>
      <c r="B186" s="12" t="s">
        <v>94</v>
      </c>
      <c r="C186" s="14" t="s">
        <v>28</v>
      </c>
      <c r="D186" s="15">
        <v>3000.0</v>
      </c>
      <c r="E186" s="15">
        <f t="shared" si="34"/>
        <v>6000</v>
      </c>
      <c r="F186" s="15">
        <f t="shared" si="35"/>
        <v>6630</v>
      </c>
      <c r="G186" s="3"/>
      <c r="H186" s="3" t="s">
        <v>13</v>
      </c>
      <c r="I186" s="15">
        <v>2000.0</v>
      </c>
      <c r="J186" s="15">
        <f t="shared" si="36"/>
        <v>4000</v>
      </c>
      <c r="K186" s="15">
        <f t="shared" si="37"/>
        <v>2630</v>
      </c>
      <c r="L186" s="4"/>
      <c r="M186" s="20"/>
      <c r="N186" s="21"/>
      <c r="P186" s="21"/>
      <c r="Q186" s="21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13">
        <v>1.0</v>
      </c>
      <c r="B187" s="12" t="s">
        <v>18</v>
      </c>
      <c r="C187" s="14" t="s">
        <v>95</v>
      </c>
      <c r="D187" s="15">
        <v>15000.0</v>
      </c>
      <c r="E187" s="15">
        <f t="shared" si="34"/>
        <v>15000</v>
      </c>
      <c r="F187" s="15">
        <f t="shared" si="35"/>
        <v>16575</v>
      </c>
      <c r="G187" s="3"/>
      <c r="H187" s="3"/>
      <c r="I187" s="15">
        <v>13000.0</v>
      </c>
      <c r="J187" s="15">
        <f t="shared" si="36"/>
        <v>13000</v>
      </c>
      <c r="K187" s="15">
        <f t="shared" si="37"/>
        <v>3575</v>
      </c>
      <c r="L187" s="4"/>
      <c r="M187" s="20"/>
      <c r="N187" s="21"/>
      <c r="P187" s="21"/>
      <c r="Q187" s="21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13">
        <v>4.0</v>
      </c>
      <c r="B188" s="12" t="s">
        <v>18</v>
      </c>
      <c r="C188" s="14" t="s">
        <v>39</v>
      </c>
      <c r="D188" s="15">
        <v>22000.0</v>
      </c>
      <c r="E188" s="15">
        <f t="shared" si="34"/>
        <v>88000</v>
      </c>
      <c r="F188" s="15">
        <f t="shared" si="35"/>
        <v>97240</v>
      </c>
      <c r="G188" s="3"/>
      <c r="H188" s="3" t="s">
        <v>13</v>
      </c>
      <c r="I188" s="16">
        <v>17000.0</v>
      </c>
      <c r="J188" s="15">
        <f t="shared" si="36"/>
        <v>68000</v>
      </c>
      <c r="K188" s="15">
        <f t="shared" si="37"/>
        <v>29240</v>
      </c>
      <c r="L188" s="4"/>
      <c r="M188" s="17"/>
      <c r="N188" s="18"/>
      <c r="O188" s="19"/>
      <c r="P188" s="18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13">
        <v>2.0</v>
      </c>
      <c r="B189" s="12" t="s">
        <v>18</v>
      </c>
      <c r="C189" s="14" t="s">
        <v>31</v>
      </c>
      <c r="D189" s="15">
        <v>30000.0</v>
      </c>
      <c r="E189" s="15">
        <f t="shared" si="34"/>
        <v>60000</v>
      </c>
      <c r="F189" s="15">
        <f t="shared" si="35"/>
        <v>66300</v>
      </c>
      <c r="G189" s="3"/>
      <c r="H189" s="3" t="s">
        <v>13</v>
      </c>
      <c r="I189" s="15">
        <v>13000.0</v>
      </c>
      <c r="J189" s="15">
        <f t="shared" si="36"/>
        <v>26000</v>
      </c>
      <c r="K189" s="15">
        <f t="shared" si="37"/>
        <v>40300</v>
      </c>
      <c r="L189" s="4"/>
      <c r="M189" s="20"/>
      <c r="N189" s="18"/>
      <c r="O189" s="19"/>
      <c r="P189" s="21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13">
        <v>3.0</v>
      </c>
      <c r="B190" s="12" t="s">
        <v>38</v>
      </c>
      <c r="C190" s="14" t="s">
        <v>96</v>
      </c>
      <c r="D190" s="15">
        <v>12000.0</v>
      </c>
      <c r="E190" s="15">
        <f t="shared" si="34"/>
        <v>36000</v>
      </c>
      <c r="F190" s="15">
        <f t="shared" si="35"/>
        <v>39780</v>
      </c>
      <c r="G190" s="3"/>
      <c r="H190" s="3" t="s">
        <v>13</v>
      </c>
      <c r="I190" s="15">
        <v>8000.0</v>
      </c>
      <c r="J190" s="15">
        <f t="shared" si="36"/>
        <v>24000</v>
      </c>
      <c r="K190" s="15">
        <f t="shared" si="37"/>
        <v>15780</v>
      </c>
      <c r="L190" s="4"/>
      <c r="M190" s="20"/>
      <c r="N190" s="18"/>
      <c r="O190" s="19"/>
      <c r="P190" s="21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13">
        <v>3.0</v>
      </c>
      <c r="B191" s="12" t="s">
        <v>33</v>
      </c>
      <c r="C191" s="14" t="s">
        <v>97</v>
      </c>
      <c r="D191" s="15">
        <v>20000.0</v>
      </c>
      <c r="E191" s="15">
        <f t="shared" si="34"/>
        <v>60000</v>
      </c>
      <c r="F191" s="15">
        <f t="shared" si="35"/>
        <v>66300</v>
      </c>
      <c r="G191" s="3"/>
      <c r="H191" s="3" t="s">
        <v>13</v>
      </c>
      <c r="I191" s="15">
        <v>17000.0</v>
      </c>
      <c r="J191" s="15">
        <f t="shared" si="36"/>
        <v>51000</v>
      </c>
      <c r="K191" s="15">
        <f t="shared" si="37"/>
        <v>15300</v>
      </c>
      <c r="L191" s="4"/>
      <c r="M191" s="20"/>
      <c r="N191" s="21"/>
      <c r="P191" s="21"/>
      <c r="Q191" s="21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13">
        <v>3.0</v>
      </c>
      <c r="B192" s="12" t="s">
        <v>5</v>
      </c>
      <c r="C192" s="14" t="s">
        <v>98</v>
      </c>
      <c r="D192" s="15">
        <v>1800.0</v>
      </c>
      <c r="E192" s="15">
        <f t="shared" si="34"/>
        <v>5400</v>
      </c>
      <c r="F192" s="15">
        <f t="shared" si="35"/>
        <v>5967</v>
      </c>
      <c r="G192" s="3"/>
      <c r="H192" s="3" t="s">
        <v>13</v>
      </c>
      <c r="I192" s="15">
        <v>1250.0</v>
      </c>
      <c r="J192" s="15">
        <f t="shared" si="36"/>
        <v>3750</v>
      </c>
      <c r="K192" s="15">
        <f t="shared" si="37"/>
        <v>2217</v>
      </c>
      <c r="L192" s="4"/>
      <c r="M192" s="20"/>
      <c r="N192" s="21"/>
      <c r="P192" s="21"/>
      <c r="Q192" s="21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13">
        <v>3.0</v>
      </c>
      <c r="B193" s="12" t="s">
        <v>5</v>
      </c>
      <c r="C193" s="14" t="s">
        <v>99</v>
      </c>
      <c r="D193" s="15">
        <v>1800.0</v>
      </c>
      <c r="E193" s="15">
        <f t="shared" si="34"/>
        <v>5400</v>
      </c>
      <c r="F193" s="15">
        <f t="shared" si="35"/>
        <v>5967</v>
      </c>
      <c r="G193" s="3"/>
      <c r="H193" s="3"/>
      <c r="I193" s="15">
        <v>1250.0</v>
      </c>
      <c r="J193" s="15">
        <f t="shared" si="36"/>
        <v>3750</v>
      </c>
      <c r="K193" s="15">
        <f t="shared" si="37"/>
        <v>2217</v>
      </c>
      <c r="L193" s="4"/>
      <c r="M193" s="20"/>
      <c r="N193" s="21"/>
      <c r="P193" s="21"/>
      <c r="Q193" s="21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13"/>
      <c r="B194" s="12"/>
      <c r="C194" s="14"/>
      <c r="D194" s="15"/>
      <c r="E194" s="3"/>
      <c r="F194" s="3"/>
      <c r="G194" s="3"/>
      <c r="H194" s="3"/>
      <c r="I194" s="3"/>
      <c r="J194" s="3"/>
      <c r="K194" s="3"/>
      <c r="L194" s="4"/>
      <c r="N194" s="21"/>
      <c r="P194" s="21"/>
      <c r="Q194" s="21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13"/>
      <c r="B195" s="12"/>
      <c r="C195" s="14"/>
      <c r="D195" s="15"/>
      <c r="E195" s="15">
        <f t="shared" ref="E195:F195" si="38">SUM(E184:E193)</f>
        <v>308800</v>
      </c>
      <c r="F195" s="15">
        <f t="shared" si="38"/>
        <v>341224</v>
      </c>
      <c r="G195" s="3"/>
      <c r="H195" s="3"/>
      <c r="I195" s="3"/>
      <c r="J195" s="3"/>
      <c r="K195" s="15">
        <f>SUM(K184:K193)</f>
        <v>120724</v>
      </c>
      <c r="L195" s="23">
        <f>K195/F195</f>
        <v>0.3537969193</v>
      </c>
      <c r="M195" s="2"/>
      <c r="N195" s="21"/>
      <c r="P195" s="21"/>
      <c r="Q195" s="21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30"/>
      <c r="B196" s="31"/>
      <c r="C196" s="2"/>
      <c r="D196" s="3"/>
      <c r="E196" s="3"/>
      <c r="F196" s="3"/>
      <c r="G196" s="2"/>
      <c r="H196" s="2"/>
      <c r="I196" s="2"/>
      <c r="J196" s="2"/>
      <c r="K196" s="3"/>
      <c r="L196" s="4"/>
      <c r="M196" s="2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26" t="s">
        <v>60</v>
      </c>
      <c r="B197" s="27">
        <v>0.04</v>
      </c>
      <c r="C197" s="2"/>
      <c r="D197" s="3"/>
      <c r="E197" s="15">
        <f>E195*0.04</f>
        <v>12352</v>
      </c>
      <c r="F197" s="3"/>
      <c r="G197" s="2"/>
      <c r="H197" s="3"/>
      <c r="I197" s="3"/>
      <c r="J197" s="3"/>
      <c r="K197" s="3"/>
      <c r="L197" s="4"/>
      <c r="M197" s="1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>
      <c r="A198" s="30"/>
      <c r="B198" s="31"/>
      <c r="C198" s="2"/>
      <c r="D198" s="3"/>
      <c r="E198" s="3"/>
      <c r="F198" s="3"/>
      <c r="G198" s="2"/>
      <c r="H198" s="2"/>
      <c r="I198" s="2"/>
      <c r="J198" s="2"/>
      <c r="K198" s="3"/>
      <c r="L198" s="4"/>
      <c r="M198" s="2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>
      <c r="A199" s="30"/>
      <c r="B199" s="31"/>
      <c r="C199" s="2"/>
      <c r="D199" s="3"/>
      <c r="E199" s="3"/>
      <c r="F199" s="3"/>
      <c r="G199" s="2"/>
      <c r="H199" s="2"/>
      <c r="I199" s="2"/>
      <c r="J199" s="2"/>
      <c r="K199" s="3"/>
      <c r="L199" s="4"/>
      <c r="M199" s="2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24" t="s">
        <v>100</v>
      </c>
      <c r="B200" s="24"/>
      <c r="C200" s="24"/>
      <c r="D200" s="32" t="s">
        <v>101</v>
      </c>
      <c r="E200" s="7">
        <v>46055.0</v>
      </c>
      <c r="F200" s="33" t="s">
        <v>2</v>
      </c>
      <c r="G200" s="25"/>
      <c r="H200" s="25"/>
      <c r="I200" s="16"/>
      <c r="J200" s="16"/>
      <c r="K200" s="16"/>
      <c r="L200" s="34"/>
      <c r="M200" s="2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B201" s="25"/>
      <c r="C201" s="35"/>
      <c r="D201" s="25"/>
      <c r="E201" s="25"/>
      <c r="F201" s="25"/>
      <c r="G201" s="25"/>
      <c r="H201" s="25"/>
      <c r="I201" s="16"/>
      <c r="J201" s="16"/>
      <c r="K201" s="16"/>
      <c r="L201" s="34"/>
      <c r="M201" s="2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5" t="s">
        <v>4</v>
      </c>
      <c r="B202" s="10" t="s">
        <v>5</v>
      </c>
      <c r="C202" s="11" t="s">
        <v>6</v>
      </c>
      <c r="D202" s="12" t="s">
        <v>7</v>
      </c>
      <c r="E202" s="10" t="s">
        <v>8</v>
      </c>
      <c r="F202" s="12"/>
      <c r="G202" s="25"/>
      <c r="H202" s="25"/>
      <c r="I202" s="12" t="s">
        <v>7</v>
      </c>
      <c r="J202" s="12" t="s">
        <v>8</v>
      </c>
      <c r="K202" s="12" t="s">
        <v>10</v>
      </c>
      <c r="L202" s="34"/>
      <c r="M202" s="2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13">
        <v>0.5</v>
      </c>
      <c r="B203" s="12" t="s">
        <v>18</v>
      </c>
      <c r="C203" s="14" t="s">
        <v>65</v>
      </c>
      <c r="D203" s="15">
        <v>10000.0</v>
      </c>
      <c r="E203" s="15">
        <f t="shared" ref="E203:E211" si="39">A203*D203</f>
        <v>5000</v>
      </c>
      <c r="F203" s="16"/>
      <c r="G203" s="25"/>
      <c r="H203" s="25"/>
      <c r="I203" s="16">
        <v>5000.0</v>
      </c>
      <c r="J203" s="16">
        <f t="shared" ref="J203:J211" si="40">I203*A203</f>
        <v>2500</v>
      </c>
      <c r="K203" s="16">
        <f t="shared" ref="K203:K211" si="41">E203-J203</f>
        <v>2500</v>
      </c>
      <c r="L203" s="29" t="s">
        <v>13</v>
      </c>
      <c r="M203" s="2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13">
        <v>1.0</v>
      </c>
      <c r="B204" s="12" t="s">
        <v>33</v>
      </c>
      <c r="C204" s="14" t="s">
        <v>102</v>
      </c>
      <c r="D204" s="15">
        <v>3500.0</v>
      </c>
      <c r="E204" s="15">
        <f t="shared" si="39"/>
        <v>3500</v>
      </c>
      <c r="F204" s="16"/>
      <c r="G204" s="25"/>
      <c r="H204" s="37" t="s">
        <v>59</v>
      </c>
      <c r="I204" s="15"/>
      <c r="J204" s="16">
        <f t="shared" si="40"/>
        <v>0</v>
      </c>
      <c r="K204" s="16">
        <f t="shared" si="41"/>
        <v>3500</v>
      </c>
      <c r="L204" s="29" t="s">
        <v>13</v>
      </c>
      <c r="M204" s="2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13">
        <v>3.0</v>
      </c>
      <c r="B205" s="12" t="s">
        <v>33</v>
      </c>
      <c r="C205" s="14" t="s">
        <v>19</v>
      </c>
      <c r="D205" s="15">
        <v>1500.0</v>
      </c>
      <c r="E205" s="15">
        <f t="shared" si="39"/>
        <v>4500</v>
      </c>
      <c r="F205" s="16"/>
      <c r="G205" s="25"/>
      <c r="H205" s="25"/>
      <c r="I205" s="15">
        <v>1000.0</v>
      </c>
      <c r="J205" s="16">
        <f t="shared" si="40"/>
        <v>3000</v>
      </c>
      <c r="K205" s="16">
        <f t="shared" si="41"/>
        <v>1500</v>
      </c>
      <c r="L205" s="29" t="s">
        <v>13</v>
      </c>
      <c r="M205" s="2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13">
        <v>1.0</v>
      </c>
      <c r="B206" s="12" t="s">
        <v>33</v>
      </c>
      <c r="C206" s="14" t="s">
        <v>47</v>
      </c>
      <c r="D206" s="15">
        <v>1600.0</v>
      </c>
      <c r="E206" s="15">
        <f t="shared" si="39"/>
        <v>1600</v>
      </c>
      <c r="F206" s="16"/>
      <c r="G206" s="25"/>
      <c r="H206" s="25"/>
      <c r="I206" s="15">
        <f>8000/8</f>
        <v>1000</v>
      </c>
      <c r="J206" s="16">
        <f t="shared" si="40"/>
        <v>1000</v>
      </c>
      <c r="K206" s="16">
        <f t="shared" si="41"/>
        <v>600</v>
      </c>
      <c r="L206" s="29" t="s">
        <v>13</v>
      </c>
      <c r="M206" s="2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13">
        <v>1.0</v>
      </c>
      <c r="B207" s="12" t="s">
        <v>11</v>
      </c>
      <c r="C207" s="14" t="s">
        <v>103</v>
      </c>
      <c r="D207" s="15">
        <v>1500.0</v>
      </c>
      <c r="E207" s="15">
        <f t="shared" si="39"/>
        <v>1500</v>
      </c>
      <c r="F207" s="16"/>
      <c r="G207" s="25"/>
      <c r="H207" s="37" t="s">
        <v>59</v>
      </c>
      <c r="I207" s="16"/>
      <c r="J207" s="16">
        <f t="shared" si="40"/>
        <v>0</v>
      </c>
      <c r="K207" s="16">
        <f t="shared" si="41"/>
        <v>1500</v>
      </c>
      <c r="L207" s="29" t="s">
        <v>13</v>
      </c>
      <c r="M207" s="2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13">
        <v>1.0</v>
      </c>
      <c r="B208" s="12" t="s">
        <v>33</v>
      </c>
      <c r="C208" s="14" t="s">
        <v>72</v>
      </c>
      <c r="D208" s="15">
        <v>2700.0</v>
      </c>
      <c r="E208" s="15">
        <f t="shared" si="39"/>
        <v>2700</v>
      </c>
      <c r="F208" s="16"/>
      <c r="G208" s="25"/>
      <c r="H208" s="25"/>
      <c r="I208" s="15">
        <f>28000/15</f>
        <v>1866.666667</v>
      </c>
      <c r="J208" s="16">
        <f t="shared" si="40"/>
        <v>1866.666667</v>
      </c>
      <c r="K208" s="16">
        <f t="shared" si="41"/>
        <v>833.3333333</v>
      </c>
      <c r="L208" s="29" t="s">
        <v>13</v>
      </c>
      <c r="M208" s="2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>
      <c r="A209" s="13">
        <v>1.0</v>
      </c>
      <c r="B209" s="12" t="s">
        <v>11</v>
      </c>
      <c r="C209" s="14" t="s">
        <v>104</v>
      </c>
      <c r="D209" s="15">
        <v>2000.0</v>
      </c>
      <c r="E209" s="15">
        <f t="shared" si="39"/>
        <v>2000</v>
      </c>
      <c r="F209" s="16"/>
      <c r="G209" s="25"/>
      <c r="H209" s="25"/>
      <c r="I209" s="16">
        <v>1500.0</v>
      </c>
      <c r="J209" s="16">
        <f t="shared" si="40"/>
        <v>1500</v>
      </c>
      <c r="K209" s="16">
        <f t="shared" si="41"/>
        <v>500</v>
      </c>
      <c r="L209" s="29" t="s">
        <v>13</v>
      </c>
      <c r="M209" s="2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13">
        <v>4.0</v>
      </c>
      <c r="B210" s="12" t="s">
        <v>5</v>
      </c>
      <c r="C210" s="14" t="s">
        <v>87</v>
      </c>
      <c r="D210" s="15">
        <v>1300.0</v>
      </c>
      <c r="E210" s="15">
        <f t="shared" si="39"/>
        <v>5200</v>
      </c>
      <c r="F210" s="16"/>
      <c r="G210" s="25"/>
      <c r="H210" s="25"/>
      <c r="I210" s="16">
        <f>50000/80</f>
        <v>625</v>
      </c>
      <c r="J210" s="16">
        <f t="shared" si="40"/>
        <v>2500</v>
      </c>
      <c r="K210" s="16">
        <f t="shared" si="41"/>
        <v>2700</v>
      </c>
      <c r="L210" s="29" t="s">
        <v>13</v>
      </c>
      <c r="M210" s="2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13">
        <v>1.0</v>
      </c>
      <c r="B211" s="12" t="s">
        <v>33</v>
      </c>
      <c r="C211" s="14" t="s">
        <v>31</v>
      </c>
      <c r="D211" s="15">
        <v>2800.0</v>
      </c>
      <c r="E211" s="15">
        <f t="shared" si="39"/>
        <v>2800</v>
      </c>
      <c r="F211" s="16"/>
      <c r="G211" s="25"/>
      <c r="H211" s="37" t="s">
        <v>59</v>
      </c>
      <c r="I211" s="15"/>
      <c r="J211" s="16">
        <f t="shared" si="40"/>
        <v>0</v>
      </c>
      <c r="K211" s="16">
        <f t="shared" si="41"/>
        <v>2800</v>
      </c>
      <c r="L211" s="29" t="s">
        <v>13</v>
      </c>
      <c r="M211" s="2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>
      <c r="A212" s="13"/>
      <c r="B212" s="12"/>
      <c r="C212" s="14"/>
      <c r="D212" s="15"/>
      <c r="E212" s="16"/>
      <c r="F212" s="16"/>
      <c r="H212" s="25"/>
      <c r="I212" s="16"/>
      <c r="J212" s="16"/>
      <c r="K212" s="16"/>
      <c r="L212" s="36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13"/>
      <c r="B213" s="12"/>
      <c r="C213" s="14"/>
      <c r="D213" s="15"/>
      <c r="E213" s="16">
        <f>SUM(E203:E212)</f>
        <v>28800</v>
      </c>
      <c r="F213" s="16"/>
      <c r="G213" s="25"/>
      <c r="H213" s="25"/>
      <c r="I213" s="16"/>
      <c r="J213" s="16"/>
      <c r="K213" s="16">
        <f>SUM(K203:K211)</f>
        <v>16433.33333</v>
      </c>
      <c r="L213" s="36">
        <f>K213/E213</f>
        <v>0.5706018519</v>
      </c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30"/>
      <c r="B214" s="31"/>
      <c r="C214" s="2"/>
      <c r="D214" s="3"/>
      <c r="E214" s="3"/>
      <c r="F214" s="3"/>
      <c r="G214" s="2"/>
      <c r="H214" s="2"/>
      <c r="I214" s="2"/>
      <c r="J214" s="2"/>
      <c r="K214" s="3"/>
      <c r="L214" s="4"/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30"/>
      <c r="B215" s="31"/>
      <c r="C215" s="2"/>
      <c r="D215" s="3"/>
      <c r="E215" s="3"/>
      <c r="F215" s="3"/>
      <c r="G215" s="2"/>
      <c r="H215" s="2"/>
      <c r="I215" s="2"/>
      <c r="J215" s="2"/>
      <c r="K215" s="3"/>
      <c r="L215" s="4"/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>
      <c r="A216" s="30"/>
      <c r="B216" s="31"/>
      <c r="C216" s="2"/>
      <c r="D216" s="3"/>
      <c r="E216" s="3"/>
      <c r="F216" s="3"/>
      <c r="G216" s="2"/>
      <c r="H216" s="2"/>
      <c r="I216" s="2"/>
      <c r="J216" s="2"/>
      <c r="K216" s="3"/>
      <c r="L216" s="4"/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A217" s="24" t="s">
        <v>105</v>
      </c>
      <c r="B217" s="38" t="s">
        <v>106</v>
      </c>
      <c r="C217" s="24"/>
      <c r="D217" s="32" t="s">
        <v>62</v>
      </c>
      <c r="E217" s="7">
        <v>46055.0</v>
      </c>
      <c r="F217" s="33" t="s">
        <v>2</v>
      </c>
      <c r="G217" s="25"/>
      <c r="H217" s="25"/>
      <c r="I217" s="16"/>
      <c r="J217" s="16"/>
      <c r="K217" s="16"/>
      <c r="L217" s="34"/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B218" s="25"/>
      <c r="C218" s="35"/>
      <c r="D218" s="25"/>
      <c r="E218" s="25"/>
      <c r="F218" s="25"/>
      <c r="G218" s="25"/>
      <c r="H218" s="25"/>
      <c r="I218" s="16"/>
      <c r="J218" s="16"/>
      <c r="K218" s="16"/>
      <c r="L218" s="34"/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5" t="s">
        <v>4</v>
      </c>
      <c r="B219" s="10" t="s">
        <v>5</v>
      </c>
      <c r="C219" s="11" t="s">
        <v>6</v>
      </c>
      <c r="D219" s="12" t="s">
        <v>7</v>
      </c>
      <c r="E219" s="10" t="s">
        <v>8</v>
      </c>
      <c r="F219" s="12"/>
      <c r="G219" s="25"/>
      <c r="H219" s="25"/>
      <c r="I219" s="12" t="s">
        <v>7</v>
      </c>
      <c r="J219" s="12" t="s">
        <v>8</v>
      </c>
      <c r="K219" s="12" t="s">
        <v>10</v>
      </c>
      <c r="L219" s="34"/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>
      <c r="A220" s="13">
        <v>0.5</v>
      </c>
      <c r="B220" s="12" t="s">
        <v>33</v>
      </c>
      <c r="C220" s="14" t="s">
        <v>20</v>
      </c>
      <c r="D220" s="15">
        <v>3500.0</v>
      </c>
      <c r="E220" s="15">
        <f t="shared" ref="E220:E226" si="42">A220*D220</f>
        <v>1750</v>
      </c>
      <c r="F220" s="16"/>
      <c r="G220" s="25"/>
      <c r="H220" s="25"/>
      <c r="I220" s="16">
        <f>20000/8</f>
        <v>2500</v>
      </c>
      <c r="J220" s="16">
        <f t="shared" ref="J220:J226" si="43">I220*A220</f>
        <v>1250</v>
      </c>
      <c r="K220" s="16">
        <f t="shared" ref="K220:K226" si="44">E220-J220</f>
        <v>500</v>
      </c>
      <c r="L220" s="29" t="s">
        <v>13</v>
      </c>
      <c r="M220" s="2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>
      <c r="A221" s="13">
        <v>0.5</v>
      </c>
      <c r="B221" s="12" t="s">
        <v>33</v>
      </c>
      <c r="C221" s="14" t="s">
        <v>31</v>
      </c>
      <c r="D221" s="15">
        <v>3000.0</v>
      </c>
      <c r="E221" s="15">
        <f t="shared" si="42"/>
        <v>1500</v>
      </c>
      <c r="F221" s="16"/>
      <c r="G221" s="25"/>
      <c r="H221" s="37" t="s">
        <v>59</v>
      </c>
      <c r="I221" s="15"/>
      <c r="J221" s="16">
        <f t="shared" si="43"/>
        <v>0</v>
      </c>
      <c r="K221" s="16">
        <f t="shared" si="44"/>
        <v>1500</v>
      </c>
      <c r="L221" s="29" t="s">
        <v>13</v>
      </c>
      <c r="M221" s="2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>
      <c r="A222" s="13">
        <v>2.0</v>
      </c>
      <c r="B222" s="12" t="s">
        <v>5</v>
      </c>
      <c r="C222" s="14" t="s">
        <v>87</v>
      </c>
      <c r="D222" s="15">
        <v>1300.0</v>
      </c>
      <c r="E222" s="15">
        <f t="shared" si="42"/>
        <v>2600</v>
      </c>
      <c r="F222" s="16"/>
      <c r="G222" s="25"/>
      <c r="H222" s="25"/>
      <c r="I222" s="15">
        <f>50000/80</f>
        <v>625</v>
      </c>
      <c r="J222" s="16">
        <f t="shared" si="43"/>
        <v>1250</v>
      </c>
      <c r="K222" s="16">
        <f t="shared" si="44"/>
        <v>1350</v>
      </c>
      <c r="L222" s="29" t="s">
        <v>13</v>
      </c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>
      <c r="A223" s="13">
        <v>0.2</v>
      </c>
      <c r="B223" s="12" t="s">
        <v>33</v>
      </c>
      <c r="C223" s="14" t="s">
        <v>53</v>
      </c>
      <c r="D223" s="15">
        <v>11500.0</v>
      </c>
      <c r="E223" s="15">
        <f t="shared" si="42"/>
        <v>2300</v>
      </c>
      <c r="F223" s="16"/>
      <c r="G223" s="25"/>
      <c r="H223" s="25"/>
      <c r="I223" s="15">
        <f>65000/7</f>
        <v>9285.714286</v>
      </c>
      <c r="J223" s="16">
        <f t="shared" si="43"/>
        <v>1857.142857</v>
      </c>
      <c r="K223" s="16">
        <f t="shared" si="44"/>
        <v>442.8571429</v>
      </c>
      <c r="L223" s="29" t="s">
        <v>13</v>
      </c>
      <c r="M223" s="2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13">
        <v>0.25</v>
      </c>
      <c r="B224" s="12" t="s">
        <v>33</v>
      </c>
      <c r="C224" s="14" t="s">
        <v>107</v>
      </c>
      <c r="D224" s="15">
        <v>1800.0</v>
      </c>
      <c r="E224" s="15">
        <f t="shared" si="42"/>
        <v>450</v>
      </c>
      <c r="F224" s="16"/>
      <c r="G224" s="25"/>
      <c r="H224" s="25"/>
      <c r="I224" s="16">
        <v>1000.0</v>
      </c>
      <c r="J224" s="16">
        <f t="shared" si="43"/>
        <v>250</v>
      </c>
      <c r="K224" s="16">
        <f t="shared" si="44"/>
        <v>200</v>
      </c>
      <c r="L224" s="29" t="s">
        <v>13</v>
      </c>
      <c r="M224" s="2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>
      <c r="A225" s="13">
        <v>1.0</v>
      </c>
      <c r="B225" s="12" t="s">
        <v>18</v>
      </c>
      <c r="C225" s="14" t="s">
        <v>39</v>
      </c>
      <c r="D225" s="15">
        <v>16000.0</v>
      </c>
      <c r="E225" s="15">
        <f t="shared" si="42"/>
        <v>16000</v>
      </c>
      <c r="F225" s="16"/>
      <c r="G225" s="25"/>
      <c r="H225" s="25"/>
      <c r="I225" s="15">
        <v>12000.0</v>
      </c>
      <c r="J225" s="16">
        <f t="shared" si="43"/>
        <v>12000</v>
      </c>
      <c r="K225" s="16">
        <f t="shared" si="44"/>
        <v>4000</v>
      </c>
      <c r="L225" s="29" t="s">
        <v>13</v>
      </c>
      <c r="M225" s="2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>
      <c r="A226" s="13">
        <v>2.0</v>
      </c>
      <c r="B226" s="12" t="s">
        <v>33</v>
      </c>
      <c r="C226" s="14" t="s">
        <v>72</v>
      </c>
      <c r="D226" s="15">
        <v>2700.0</v>
      </c>
      <c r="E226" s="15">
        <f t="shared" si="42"/>
        <v>5400</v>
      </c>
      <c r="F226" s="16"/>
      <c r="G226" s="25"/>
      <c r="H226" s="25"/>
      <c r="I226" s="15">
        <f>28000/15</f>
        <v>1866.666667</v>
      </c>
      <c r="J226" s="16">
        <f t="shared" si="43"/>
        <v>3733.333333</v>
      </c>
      <c r="K226" s="16">
        <f t="shared" si="44"/>
        <v>1666.666667</v>
      </c>
      <c r="L226" s="29" t="s">
        <v>13</v>
      </c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>
      <c r="A227" s="13"/>
      <c r="B227" s="12"/>
      <c r="C227" s="14"/>
      <c r="D227" s="15"/>
      <c r="E227" s="16"/>
      <c r="F227" s="16"/>
      <c r="H227" s="25"/>
      <c r="I227" s="16"/>
      <c r="J227" s="16"/>
      <c r="K227" s="16"/>
      <c r="L227" s="36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13"/>
      <c r="B228" s="12"/>
      <c r="C228" s="14"/>
      <c r="D228" s="15"/>
      <c r="E228" s="16">
        <f>SUM(E220:E227)</f>
        <v>30000</v>
      </c>
      <c r="F228" s="16"/>
      <c r="G228" s="25"/>
      <c r="H228" s="25"/>
      <c r="I228" s="16"/>
      <c r="J228" s="16"/>
      <c r="K228" s="16">
        <f>SUM(K220:K226)</f>
        <v>9659.52381</v>
      </c>
      <c r="L228" s="36">
        <f>K228/E228</f>
        <v>0.321984127</v>
      </c>
      <c r="M228" s="2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>
      <c r="A229" s="30"/>
      <c r="B229" s="31"/>
      <c r="C229" s="2"/>
      <c r="D229" s="3"/>
      <c r="E229" s="3"/>
      <c r="F229" s="3"/>
      <c r="G229" s="2"/>
      <c r="H229" s="2"/>
      <c r="I229" s="2"/>
      <c r="J229" s="2"/>
      <c r="K229" s="3"/>
      <c r="L229" s="4"/>
      <c r="M229" s="2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26" t="s">
        <v>60</v>
      </c>
      <c r="B230" s="27">
        <v>0.04</v>
      </c>
      <c r="C230" s="2"/>
      <c r="D230" s="3"/>
      <c r="E230" s="15">
        <f>E228*0.04</f>
        <v>1200</v>
      </c>
      <c r="F230" s="3"/>
      <c r="G230" s="2"/>
      <c r="H230" s="3"/>
      <c r="I230" s="3"/>
      <c r="J230" s="3"/>
      <c r="K230" s="3"/>
      <c r="L230" s="4"/>
      <c r="M230" s="1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>
      <c r="A231" s="30"/>
      <c r="B231" s="31"/>
      <c r="C231" s="2"/>
      <c r="D231" s="3"/>
      <c r="E231" s="3"/>
      <c r="F231" s="3"/>
      <c r="G231" s="2"/>
      <c r="H231" s="2"/>
      <c r="I231" s="2"/>
      <c r="J231" s="2"/>
      <c r="K231" s="3"/>
      <c r="L231" s="4"/>
      <c r="M231" s="2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>
      <c r="A232" s="30"/>
      <c r="B232" s="31"/>
      <c r="C232" s="2"/>
      <c r="D232" s="3"/>
      <c r="E232" s="3"/>
      <c r="F232" s="3"/>
      <c r="G232" s="2"/>
      <c r="H232" s="2"/>
      <c r="I232" s="2"/>
      <c r="J232" s="2"/>
      <c r="K232" s="3"/>
      <c r="L232" s="4"/>
      <c r="M232" s="2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>
      <c r="A233" s="30"/>
      <c r="B233" s="31"/>
      <c r="C233" s="2"/>
      <c r="D233" s="3"/>
      <c r="E233" s="3"/>
      <c r="F233" s="3"/>
      <c r="G233" s="2"/>
      <c r="H233" s="2"/>
      <c r="I233" s="2"/>
      <c r="J233" s="2"/>
      <c r="K233" s="3"/>
      <c r="L233" s="4"/>
      <c r="M233" s="2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30"/>
      <c r="B234" s="31"/>
      <c r="C234" s="2"/>
      <c r="D234" s="3"/>
      <c r="E234" s="3"/>
      <c r="F234" s="3"/>
      <c r="G234" s="2"/>
      <c r="H234" s="2"/>
      <c r="I234" s="2"/>
      <c r="J234" s="2"/>
      <c r="K234" s="3"/>
      <c r="L234" s="4"/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>
      <c r="A235" s="5" t="s">
        <v>108</v>
      </c>
      <c r="B235" s="1"/>
      <c r="C235" s="1"/>
      <c r="D235" s="15" t="s">
        <v>109</v>
      </c>
      <c r="E235" s="7">
        <v>46055.0</v>
      </c>
      <c r="F235" s="3"/>
      <c r="G235" s="3"/>
      <c r="H235" s="3"/>
      <c r="I235" s="3"/>
      <c r="J235" s="3"/>
      <c r="K235" s="3"/>
      <c r="L235" s="4"/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>
      <c r="A236" s="1"/>
      <c r="B236" s="3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>
      <c r="A237" s="5" t="s">
        <v>4</v>
      </c>
      <c r="B237" s="10" t="s">
        <v>5</v>
      </c>
      <c r="C237" s="11" t="s">
        <v>6</v>
      </c>
      <c r="D237" s="10" t="s">
        <v>7</v>
      </c>
      <c r="E237" s="10" t="s">
        <v>8</v>
      </c>
      <c r="F237" s="3"/>
      <c r="G237" s="3"/>
      <c r="H237" s="3"/>
      <c r="I237" s="10" t="s">
        <v>7</v>
      </c>
      <c r="J237" s="10" t="s">
        <v>8</v>
      </c>
      <c r="K237" s="10" t="s">
        <v>10</v>
      </c>
      <c r="L237" s="4"/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>
      <c r="A238" s="26">
        <v>2.0</v>
      </c>
      <c r="B238" s="10" t="s">
        <v>38</v>
      </c>
      <c r="C238" s="11" t="s">
        <v>46</v>
      </c>
      <c r="D238" s="15">
        <v>22000.0</v>
      </c>
      <c r="E238" s="15">
        <f t="shared" ref="E238:E253" si="45">A238*D238</f>
        <v>44000</v>
      </c>
      <c r="F238" s="3"/>
      <c r="G238" s="3"/>
      <c r="H238" s="3"/>
      <c r="I238" s="15">
        <v>18500.0</v>
      </c>
      <c r="J238" s="15">
        <f t="shared" ref="J238:J253" si="46">I238*A238</f>
        <v>37000</v>
      </c>
      <c r="K238" s="15">
        <f t="shared" ref="K238:K253" si="47">E238-J238</f>
        <v>7000</v>
      </c>
      <c r="L238" s="4"/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26">
        <v>3.0</v>
      </c>
      <c r="B239" s="10" t="s">
        <v>33</v>
      </c>
      <c r="C239" s="11" t="s">
        <v>45</v>
      </c>
      <c r="D239" s="15">
        <v>900.0</v>
      </c>
      <c r="E239" s="15">
        <f t="shared" si="45"/>
        <v>2700</v>
      </c>
      <c r="F239" s="3"/>
      <c r="G239" s="3"/>
      <c r="H239" s="3"/>
      <c r="I239" s="15">
        <f>8000/13</f>
        <v>615.3846154</v>
      </c>
      <c r="J239" s="15">
        <f t="shared" si="46"/>
        <v>1846.153846</v>
      </c>
      <c r="K239" s="15">
        <f t="shared" si="47"/>
        <v>853.8461538</v>
      </c>
      <c r="L239" s="4"/>
      <c r="M239" s="2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26">
        <v>1.0</v>
      </c>
      <c r="B240" s="10" t="s">
        <v>50</v>
      </c>
      <c r="C240" s="11" t="s">
        <v>110</v>
      </c>
      <c r="D240" s="15">
        <v>1200.0</v>
      </c>
      <c r="E240" s="15">
        <f t="shared" si="45"/>
        <v>1200</v>
      </c>
      <c r="F240" s="3"/>
      <c r="G240" s="3"/>
      <c r="H240" s="3"/>
      <c r="I240" s="15">
        <v>500.0</v>
      </c>
      <c r="J240" s="15">
        <f t="shared" si="46"/>
        <v>500</v>
      </c>
      <c r="K240" s="15">
        <f t="shared" si="47"/>
        <v>700</v>
      </c>
      <c r="L240" s="4"/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26">
        <v>12.0</v>
      </c>
      <c r="B241" s="10" t="s">
        <v>5</v>
      </c>
      <c r="C241" s="11" t="s">
        <v>87</v>
      </c>
      <c r="D241" s="15">
        <v>1200.0</v>
      </c>
      <c r="E241" s="15">
        <f t="shared" si="45"/>
        <v>14400</v>
      </c>
      <c r="F241" s="3"/>
      <c r="G241" s="3"/>
      <c r="H241" s="3"/>
      <c r="I241" s="15">
        <f>50000/80</f>
        <v>625</v>
      </c>
      <c r="J241" s="15">
        <f t="shared" si="46"/>
        <v>7500</v>
      </c>
      <c r="K241" s="15">
        <f t="shared" si="47"/>
        <v>6900</v>
      </c>
      <c r="L241" s="4"/>
      <c r="M241" s="2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26">
        <v>1.0</v>
      </c>
      <c r="B242" s="10" t="s">
        <v>50</v>
      </c>
      <c r="C242" s="11" t="s">
        <v>12</v>
      </c>
      <c r="D242" s="15">
        <v>3000.0</v>
      </c>
      <c r="E242" s="15">
        <f t="shared" si="45"/>
        <v>3000</v>
      </c>
      <c r="F242" s="3"/>
      <c r="G242" s="3"/>
      <c r="H242" s="3"/>
      <c r="I242" s="15">
        <v>2000.0</v>
      </c>
      <c r="J242" s="15">
        <f t="shared" si="46"/>
        <v>2000</v>
      </c>
      <c r="K242" s="15">
        <f t="shared" si="47"/>
        <v>1000</v>
      </c>
      <c r="L242" s="4"/>
      <c r="M242" s="2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>
      <c r="A243" s="26">
        <v>3.0</v>
      </c>
      <c r="B243" s="10" t="s">
        <v>33</v>
      </c>
      <c r="C243" s="11" t="s">
        <v>111</v>
      </c>
      <c r="D243" s="15">
        <v>1200.0</v>
      </c>
      <c r="E243" s="15">
        <f t="shared" si="45"/>
        <v>3600</v>
      </c>
      <c r="F243" s="3"/>
      <c r="G243" s="3"/>
      <c r="H243" s="3"/>
      <c r="I243" s="15">
        <f>10000/15</f>
        <v>666.6666667</v>
      </c>
      <c r="J243" s="15">
        <f t="shared" si="46"/>
        <v>2000</v>
      </c>
      <c r="K243" s="15">
        <f t="shared" si="47"/>
        <v>1600</v>
      </c>
      <c r="L243" s="4"/>
      <c r="M243" s="2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>
      <c r="A244" s="26">
        <v>1.0</v>
      </c>
      <c r="B244" s="10" t="s">
        <v>50</v>
      </c>
      <c r="C244" s="11" t="s">
        <v>17</v>
      </c>
      <c r="D244" s="15">
        <v>6000.0</v>
      </c>
      <c r="E244" s="15">
        <f t="shared" si="45"/>
        <v>6000</v>
      </c>
      <c r="F244" s="3"/>
      <c r="G244" s="3"/>
      <c r="H244" s="3"/>
      <c r="I244" s="15">
        <v>4000.0</v>
      </c>
      <c r="J244" s="15">
        <f t="shared" si="46"/>
        <v>4000</v>
      </c>
      <c r="K244" s="15">
        <f t="shared" si="47"/>
        <v>2000</v>
      </c>
      <c r="L244" s="4"/>
      <c r="M244" s="2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26">
        <v>1.0</v>
      </c>
      <c r="B245" s="10" t="s">
        <v>33</v>
      </c>
      <c r="C245" s="11" t="s">
        <v>56</v>
      </c>
      <c r="D245" s="15">
        <v>2700.0</v>
      </c>
      <c r="E245" s="15">
        <f t="shared" si="45"/>
        <v>2700</v>
      </c>
      <c r="F245" s="3"/>
      <c r="G245" s="3"/>
      <c r="H245" s="3"/>
      <c r="I245" s="15">
        <f>18000/9</f>
        <v>2000</v>
      </c>
      <c r="J245" s="15">
        <f t="shared" si="46"/>
        <v>2000</v>
      </c>
      <c r="K245" s="15">
        <f t="shared" si="47"/>
        <v>700</v>
      </c>
      <c r="L245" s="4"/>
      <c r="M245" s="2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>
      <c r="A246" s="26">
        <v>0.5</v>
      </c>
      <c r="B246" s="10" t="s">
        <v>18</v>
      </c>
      <c r="C246" s="11" t="s">
        <v>65</v>
      </c>
      <c r="D246" s="15">
        <v>10000.0</v>
      </c>
      <c r="E246" s="15">
        <f t="shared" si="45"/>
        <v>5000</v>
      </c>
      <c r="F246" s="3"/>
      <c r="G246" s="3"/>
      <c r="H246" s="3"/>
      <c r="I246" s="15">
        <v>5000.0</v>
      </c>
      <c r="J246" s="15">
        <f t="shared" si="46"/>
        <v>2500</v>
      </c>
      <c r="K246" s="15">
        <f t="shared" si="47"/>
        <v>2500</v>
      </c>
      <c r="L246" s="4"/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A247" s="26">
        <v>0.5</v>
      </c>
      <c r="B247" s="10" t="s">
        <v>18</v>
      </c>
      <c r="C247" s="11" t="s">
        <v>112</v>
      </c>
      <c r="D247" s="15">
        <v>14000.0</v>
      </c>
      <c r="E247" s="15">
        <f t="shared" si="45"/>
        <v>7000</v>
      </c>
      <c r="F247" s="3"/>
      <c r="G247" s="3"/>
      <c r="H247" s="3"/>
      <c r="I247" s="15">
        <v>10000.0</v>
      </c>
      <c r="J247" s="15">
        <f t="shared" si="46"/>
        <v>5000</v>
      </c>
      <c r="K247" s="15">
        <f t="shared" si="47"/>
        <v>2000</v>
      </c>
      <c r="L247" s="4"/>
      <c r="M247" s="2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26">
        <v>0.5</v>
      </c>
      <c r="B248" s="10" t="s">
        <v>18</v>
      </c>
      <c r="C248" s="11" t="s">
        <v>113</v>
      </c>
      <c r="D248" s="15">
        <v>10000.0</v>
      </c>
      <c r="E248" s="15">
        <f t="shared" si="45"/>
        <v>5000</v>
      </c>
      <c r="F248" s="3"/>
      <c r="G248" s="3"/>
      <c r="H248" s="3"/>
      <c r="I248" s="15">
        <v>6000.0</v>
      </c>
      <c r="J248" s="15">
        <f t="shared" si="46"/>
        <v>3000</v>
      </c>
      <c r="K248" s="15">
        <f t="shared" si="47"/>
        <v>2000</v>
      </c>
      <c r="L248" s="4"/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>
      <c r="A249" s="26">
        <v>1.0</v>
      </c>
      <c r="B249" s="10" t="s">
        <v>33</v>
      </c>
      <c r="C249" s="11" t="s">
        <v>114</v>
      </c>
      <c r="D249" s="15">
        <v>1600.0</v>
      </c>
      <c r="E249" s="15">
        <f t="shared" si="45"/>
        <v>1600</v>
      </c>
      <c r="F249" s="3"/>
      <c r="G249" s="3"/>
      <c r="H249" s="3"/>
      <c r="I249" s="15">
        <v>1000.0</v>
      </c>
      <c r="J249" s="15">
        <f t="shared" si="46"/>
        <v>1000</v>
      </c>
      <c r="K249" s="15">
        <f t="shared" si="47"/>
        <v>600</v>
      </c>
      <c r="L249" s="4"/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26">
        <v>1.0</v>
      </c>
      <c r="B250" s="10" t="s">
        <v>33</v>
      </c>
      <c r="C250" s="11" t="s">
        <v>67</v>
      </c>
      <c r="D250" s="15">
        <v>900.0</v>
      </c>
      <c r="E250" s="15">
        <f t="shared" si="45"/>
        <v>900</v>
      </c>
      <c r="F250" s="3"/>
      <c r="G250" s="3"/>
      <c r="H250" s="3"/>
      <c r="I250" s="15">
        <f>10000/17</f>
        <v>588.2352941</v>
      </c>
      <c r="J250" s="15">
        <f t="shared" si="46"/>
        <v>588.2352941</v>
      </c>
      <c r="K250" s="15">
        <f t="shared" si="47"/>
        <v>311.7647059</v>
      </c>
      <c r="L250" s="4"/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26">
        <v>0.5</v>
      </c>
      <c r="B251" s="10" t="s">
        <v>18</v>
      </c>
      <c r="C251" s="11" t="s">
        <v>21</v>
      </c>
      <c r="D251" s="15">
        <v>56000.0</v>
      </c>
      <c r="E251" s="15">
        <f t="shared" si="45"/>
        <v>28000</v>
      </c>
      <c r="F251" s="3"/>
      <c r="G251" s="3"/>
      <c r="H251" s="3"/>
      <c r="I251" s="15">
        <v>46000.0</v>
      </c>
      <c r="J251" s="15">
        <f t="shared" si="46"/>
        <v>23000</v>
      </c>
      <c r="K251" s="15">
        <f t="shared" si="47"/>
        <v>5000</v>
      </c>
      <c r="L251" s="4"/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26">
        <v>1.0</v>
      </c>
      <c r="B252" s="10" t="s">
        <v>18</v>
      </c>
      <c r="C252" s="11" t="s">
        <v>24</v>
      </c>
      <c r="D252" s="15">
        <v>38000.0</v>
      </c>
      <c r="E252" s="15">
        <f t="shared" si="45"/>
        <v>38000</v>
      </c>
      <c r="F252" s="3"/>
      <c r="G252" s="3"/>
      <c r="H252" s="3"/>
      <c r="I252" s="15">
        <v>30000.0</v>
      </c>
      <c r="J252" s="15">
        <f t="shared" si="46"/>
        <v>30000</v>
      </c>
      <c r="K252" s="15">
        <f t="shared" si="47"/>
        <v>8000</v>
      </c>
      <c r="L252" s="4"/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26">
        <v>1.0</v>
      </c>
      <c r="B253" s="10" t="s">
        <v>18</v>
      </c>
      <c r="C253" s="11" t="s">
        <v>103</v>
      </c>
      <c r="D253" s="15">
        <v>14000.0</v>
      </c>
      <c r="E253" s="15">
        <f t="shared" si="45"/>
        <v>14000</v>
      </c>
      <c r="F253" s="3"/>
      <c r="G253" s="3"/>
      <c r="H253" s="3"/>
      <c r="I253" s="15">
        <v>10000.0</v>
      </c>
      <c r="J253" s="15">
        <f t="shared" si="46"/>
        <v>10000</v>
      </c>
      <c r="K253" s="15">
        <f t="shared" si="47"/>
        <v>4000</v>
      </c>
      <c r="L253" s="4"/>
      <c r="M253" s="2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A254" s="1"/>
      <c r="B254" s="3"/>
      <c r="C254" s="2"/>
      <c r="D254" s="3"/>
      <c r="E254" s="3"/>
      <c r="F254" s="3"/>
      <c r="G254" s="2"/>
      <c r="H254" s="3"/>
      <c r="I254" s="3"/>
      <c r="J254" s="3"/>
      <c r="K254" s="3"/>
      <c r="L254" s="4"/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>
      <c r="A255" s="1"/>
      <c r="B255" s="3"/>
      <c r="C255" s="2"/>
      <c r="D255" s="3"/>
      <c r="E255" s="15">
        <f>SUM(E238:E254)</f>
        <v>177100</v>
      </c>
      <c r="F255" s="3"/>
      <c r="G255" s="3"/>
      <c r="H255" s="3"/>
      <c r="I255" s="3"/>
      <c r="J255" s="3"/>
      <c r="K255" s="15">
        <f>SUM(K238:K253)</f>
        <v>45165.61086</v>
      </c>
      <c r="L255" s="23">
        <f>K255/E255</f>
        <v>0.2550288586</v>
      </c>
      <c r="M255" s="2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>
      <c r="A256" s="30"/>
      <c r="B256" s="31"/>
      <c r="C256" s="2"/>
      <c r="D256" s="3"/>
      <c r="E256" s="3"/>
      <c r="F256" s="3"/>
      <c r="G256" s="2"/>
      <c r="H256" s="2"/>
      <c r="I256" s="2"/>
      <c r="J256" s="2"/>
      <c r="K256" s="3"/>
      <c r="L256" s="4"/>
      <c r="M256" s="2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>
      <c r="A257" s="30"/>
      <c r="B257" s="31"/>
      <c r="C257" s="2"/>
      <c r="D257" s="3"/>
      <c r="E257" s="3"/>
      <c r="F257" s="3"/>
      <c r="G257" s="2"/>
      <c r="H257" s="2"/>
      <c r="I257" s="2"/>
      <c r="J257" s="2"/>
      <c r="K257" s="3"/>
      <c r="L257" s="4"/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>
      <c r="A258" s="30"/>
      <c r="B258" s="31"/>
      <c r="C258" s="2"/>
      <c r="D258" s="3"/>
      <c r="E258" s="3"/>
      <c r="F258" s="3"/>
      <c r="G258" s="2"/>
      <c r="H258" s="2"/>
      <c r="I258" s="2"/>
      <c r="J258" s="2"/>
      <c r="K258" s="3"/>
      <c r="L258" s="4"/>
      <c r="M258" s="2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>
      <c r="A259" s="30"/>
      <c r="B259" s="31"/>
      <c r="C259" s="2"/>
      <c r="D259" s="3"/>
      <c r="E259" s="3"/>
      <c r="F259" s="3"/>
      <c r="G259" s="2"/>
      <c r="H259" s="2"/>
      <c r="I259" s="2"/>
      <c r="J259" s="2"/>
      <c r="K259" s="3"/>
      <c r="L259" s="4"/>
      <c r="M259" s="2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>
      <c r="A260" s="24" t="s">
        <v>115</v>
      </c>
      <c r="B260" s="1"/>
      <c r="C260" s="1"/>
      <c r="D260" s="15" t="s">
        <v>116</v>
      </c>
      <c r="E260" s="7">
        <v>46055.0</v>
      </c>
      <c r="F260" s="6" t="s">
        <v>2</v>
      </c>
      <c r="G260" s="3"/>
      <c r="H260" s="3"/>
      <c r="I260" s="3"/>
      <c r="J260" s="3"/>
      <c r="K260" s="3"/>
      <c r="L260" s="4"/>
      <c r="M260" s="2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>
      <c r="A261" s="1"/>
      <c r="B261" s="3"/>
      <c r="C261" s="2"/>
      <c r="D261" s="3"/>
      <c r="E261" s="3"/>
      <c r="F261" s="3"/>
      <c r="G261" s="3"/>
      <c r="H261" s="3"/>
      <c r="I261" s="3"/>
      <c r="J261" s="3"/>
      <c r="K261" s="3"/>
      <c r="L261" s="4"/>
      <c r="M261" s="2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>
      <c r="A262" s="5" t="s">
        <v>4</v>
      </c>
      <c r="B262" s="10" t="s">
        <v>5</v>
      </c>
      <c r="C262" s="11" t="s">
        <v>6</v>
      </c>
      <c r="D262" s="10" t="s">
        <v>7</v>
      </c>
      <c r="E262" s="10" t="s">
        <v>8</v>
      </c>
      <c r="F262" s="3"/>
      <c r="G262" s="3"/>
      <c r="H262" s="3"/>
      <c r="I262" s="10" t="s">
        <v>7</v>
      </c>
      <c r="J262" s="10" t="s">
        <v>8</v>
      </c>
      <c r="K262" s="10" t="s">
        <v>10</v>
      </c>
      <c r="L262" s="4"/>
      <c r="M262" s="2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>
      <c r="A263" s="26">
        <v>0.5</v>
      </c>
      <c r="B263" s="10" t="s">
        <v>18</v>
      </c>
      <c r="C263" s="11" t="s">
        <v>112</v>
      </c>
      <c r="D263" s="15">
        <v>14000.0</v>
      </c>
      <c r="E263" s="15">
        <f t="shared" ref="E263:E277" si="48">A263*D263</f>
        <v>7000</v>
      </c>
      <c r="F263" s="3"/>
      <c r="G263" s="3"/>
      <c r="H263" s="3"/>
      <c r="I263" s="15">
        <v>10000.0</v>
      </c>
      <c r="J263" s="15">
        <f t="shared" ref="J263:J277" si="49">I263*A263</f>
        <v>5000</v>
      </c>
      <c r="K263" s="15">
        <f t="shared" ref="K263:K277" si="50">E263-J263</f>
        <v>2000</v>
      </c>
      <c r="L263" s="4"/>
      <c r="M263" s="2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>
      <c r="A264" s="26">
        <v>0.5</v>
      </c>
      <c r="B264" s="10" t="s">
        <v>18</v>
      </c>
      <c r="C264" s="11" t="s">
        <v>113</v>
      </c>
      <c r="D264" s="15">
        <v>10000.0</v>
      </c>
      <c r="E264" s="15">
        <f t="shared" si="48"/>
        <v>5000</v>
      </c>
      <c r="F264" s="3"/>
      <c r="G264" s="3"/>
      <c r="H264" s="3"/>
      <c r="I264" s="15">
        <v>6000.0</v>
      </c>
      <c r="J264" s="15">
        <f t="shared" si="49"/>
        <v>3000</v>
      </c>
      <c r="K264" s="15">
        <f t="shared" si="50"/>
        <v>2000</v>
      </c>
      <c r="L264" s="4"/>
      <c r="M264" s="2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>
      <c r="A265" s="26">
        <v>3.0</v>
      </c>
      <c r="B265" s="10" t="s">
        <v>18</v>
      </c>
      <c r="C265" s="11" t="s">
        <v>103</v>
      </c>
      <c r="D265" s="15">
        <v>14000.0</v>
      </c>
      <c r="E265" s="15">
        <f t="shared" si="48"/>
        <v>42000</v>
      </c>
      <c r="F265" s="3"/>
      <c r="G265" s="3"/>
      <c r="H265" s="3"/>
      <c r="I265" s="15">
        <v>10000.0</v>
      </c>
      <c r="J265" s="15">
        <f t="shared" si="49"/>
        <v>30000</v>
      </c>
      <c r="K265" s="15">
        <f t="shared" si="50"/>
        <v>12000</v>
      </c>
      <c r="L265" s="4"/>
      <c r="M265" s="2"/>
      <c r="N265" s="3"/>
      <c r="O265" s="2"/>
      <c r="P265" s="3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>
      <c r="A266" s="26">
        <v>3.0</v>
      </c>
      <c r="B266" s="10" t="s">
        <v>33</v>
      </c>
      <c r="C266" s="11" t="s">
        <v>24</v>
      </c>
      <c r="D266" s="15">
        <v>4500.0</v>
      </c>
      <c r="E266" s="15">
        <f t="shared" si="48"/>
        <v>13500</v>
      </c>
      <c r="F266" s="3"/>
      <c r="G266" s="3"/>
      <c r="H266" s="3"/>
      <c r="I266" s="15">
        <f>30000/8</f>
        <v>3750</v>
      </c>
      <c r="J266" s="15">
        <f t="shared" si="49"/>
        <v>11250</v>
      </c>
      <c r="K266" s="15">
        <f t="shared" si="50"/>
        <v>2250</v>
      </c>
      <c r="L266" s="4"/>
      <c r="M266" s="2"/>
      <c r="N266" s="3"/>
      <c r="O266" s="2"/>
      <c r="P266" s="3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>
      <c r="A267" s="26">
        <v>2.0</v>
      </c>
      <c r="B267" s="10" t="s">
        <v>38</v>
      </c>
      <c r="C267" s="11" t="s">
        <v>46</v>
      </c>
      <c r="D267" s="15">
        <v>22000.0</v>
      </c>
      <c r="E267" s="15">
        <f t="shared" si="48"/>
        <v>44000</v>
      </c>
      <c r="F267" s="3"/>
      <c r="G267" s="3"/>
      <c r="H267" s="3"/>
      <c r="I267" s="15">
        <v>18500.0</v>
      </c>
      <c r="J267" s="15">
        <f t="shared" si="49"/>
        <v>37000</v>
      </c>
      <c r="K267" s="15">
        <f t="shared" si="50"/>
        <v>7000</v>
      </c>
      <c r="L267" s="4"/>
      <c r="M267" s="2"/>
      <c r="N267" s="3"/>
      <c r="O267" s="2"/>
      <c r="P267" s="3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>
      <c r="A268" s="26">
        <v>1.0</v>
      </c>
      <c r="B268" s="10" t="s">
        <v>33</v>
      </c>
      <c r="C268" s="11" t="s">
        <v>86</v>
      </c>
      <c r="D268" s="15">
        <v>4000.0</v>
      </c>
      <c r="E268" s="15">
        <f t="shared" si="48"/>
        <v>4000</v>
      </c>
      <c r="F268" s="3"/>
      <c r="G268" s="3"/>
      <c r="H268" s="3"/>
      <c r="I268" s="15">
        <v>2500.0</v>
      </c>
      <c r="J268" s="15">
        <f t="shared" si="49"/>
        <v>2500</v>
      </c>
      <c r="K268" s="15">
        <f t="shared" si="50"/>
        <v>1500</v>
      </c>
      <c r="L268" s="4"/>
      <c r="M268" s="2"/>
      <c r="N268" s="3"/>
      <c r="O268" s="2"/>
      <c r="P268" s="3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>
      <c r="A269" s="26">
        <v>2.0</v>
      </c>
      <c r="B269" s="10" t="s">
        <v>33</v>
      </c>
      <c r="C269" s="11" t="s">
        <v>117</v>
      </c>
      <c r="D269" s="15">
        <f>3300</f>
        <v>3300</v>
      </c>
      <c r="E269" s="15">
        <f t="shared" si="48"/>
        <v>6600</v>
      </c>
      <c r="F269" s="3"/>
      <c r="G269" s="3"/>
      <c r="H269" s="3"/>
      <c r="I269" s="15">
        <f>23500/11</f>
        <v>2136.363636</v>
      </c>
      <c r="J269" s="15">
        <f t="shared" si="49"/>
        <v>4272.727273</v>
      </c>
      <c r="K269" s="15">
        <f t="shared" si="50"/>
        <v>2327.272727</v>
      </c>
      <c r="L269" s="4"/>
      <c r="M269" s="2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>
      <c r="A270" s="26">
        <v>1.0</v>
      </c>
      <c r="B270" s="10" t="s">
        <v>33</v>
      </c>
      <c r="C270" s="11" t="s">
        <v>26</v>
      </c>
      <c r="D270" s="15">
        <f>4500</f>
        <v>4500</v>
      </c>
      <c r="E270" s="15">
        <f t="shared" si="48"/>
        <v>4500</v>
      </c>
      <c r="F270" s="3"/>
      <c r="G270" s="3"/>
      <c r="H270" s="3"/>
      <c r="I270" s="15">
        <f>25000/8</f>
        <v>3125</v>
      </c>
      <c r="J270" s="15">
        <f t="shared" si="49"/>
        <v>3125</v>
      </c>
      <c r="K270" s="15">
        <f t="shared" si="50"/>
        <v>1375</v>
      </c>
      <c r="L270" s="4"/>
      <c r="M270" s="2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>
      <c r="A271" s="26">
        <v>1.0</v>
      </c>
      <c r="B271" s="10" t="s">
        <v>33</v>
      </c>
      <c r="C271" s="11" t="s">
        <v>25</v>
      </c>
      <c r="D271" s="15">
        <v>2500.0</v>
      </c>
      <c r="E271" s="15">
        <f t="shared" si="48"/>
        <v>2500</v>
      </c>
      <c r="F271" s="3"/>
      <c r="G271" s="3"/>
      <c r="H271" s="3"/>
      <c r="I271" s="15">
        <f>13000/8</f>
        <v>1625</v>
      </c>
      <c r="J271" s="15">
        <f t="shared" si="49"/>
        <v>1625</v>
      </c>
      <c r="K271" s="15">
        <f t="shared" si="50"/>
        <v>875</v>
      </c>
      <c r="L271" s="4"/>
      <c r="M271" s="2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>
      <c r="A272" s="26">
        <v>1.0</v>
      </c>
      <c r="B272" s="10" t="s">
        <v>50</v>
      </c>
      <c r="C272" s="11" t="s">
        <v>89</v>
      </c>
      <c r="D272" s="15">
        <v>6000.0</v>
      </c>
      <c r="E272" s="15">
        <f t="shared" si="48"/>
        <v>6000</v>
      </c>
      <c r="F272" s="3"/>
      <c r="G272" s="3"/>
      <c r="H272" s="3"/>
      <c r="I272" s="15">
        <v>4000.0</v>
      </c>
      <c r="J272" s="15">
        <f t="shared" si="49"/>
        <v>4000</v>
      </c>
      <c r="K272" s="15">
        <f t="shared" si="50"/>
        <v>2000</v>
      </c>
      <c r="L272" s="4"/>
      <c r="M272" s="2"/>
      <c r="N272" s="3"/>
      <c r="O272" s="2"/>
      <c r="P272" s="3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>
      <c r="A273" s="26">
        <v>1.0</v>
      </c>
      <c r="B273" s="10" t="s">
        <v>50</v>
      </c>
      <c r="C273" s="11" t="s">
        <v>17</v>
      </c>
      <c r="D273" s="15">
        <v>5500.0</v>
      </c>
      <c r="E273" s="15">
        <f t="shared" si="48"/>
        <v>5500</v>
      </c>
      <c r="F273" s="3"/>
      <c r="G273" s="3"/>
      <c r="H273" s="3"/>
      <c r="I273" s="15">
        <v>4000.0</v>
      </c>
      <c r="J273" s="15">
        <f t="shared" si="49"/>
        <v>4000</v>
      </c>
      <c r="K273" s="15">
        <f t="shared" si="50"/>
        <v>1500</v>
      </c>
      <c r="L273" s="4"/>
      <c r="M273" s="2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>
      <c r="A274" s="26">
        <v>0.5</v>
      </c>
      <c r="B274" s="10" t="s">
        <v>18</v>
      </c>
      <c r="C274" s="11" t="s">
        <v>21</v>
      </c>
      <c r="D274" s="15">
        <v>56000.0</v>
      </c>
      <c r="E274" s="15">
        <f t="shared" si="48"/>
        <v>28000</v>
      </c>
      <c r="F274" s="3"/>
      <c r="G274" s="3"/>
      <c r="H274" s="3"/>
      <c r="I274" s="15">
        <v>46000.0</v>
      </c>
      <c r="J274" s="15">
        <f t="shared" si="49"/>
        <v>23000</v>
      </c>
      <c r="K274" s="15">
        <f t="shared" si="50"/>
        <v>5000</v>
      </c>
      <c r="L274" s="4"/>
      <c r="M274" s="2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>
      <c r="A275" s="26">
        <v>3.0</v>
      </c>
      <c r="B275" s="10" t="s">
        <v>5</v>
      </c>
      <c r="C275" s="11" t="s">
        <v>118</v>
      </c>
      <c r="D275" s="15">
        <v>2500.0</v>
      </c>
      <c r="E275" s="15">
        <f t="shared" si="48"/>
        <v>7500</v>
      </c>
      <c r="F275" s="3"/>
      <c r="G275" s="3"/>
      <c r="H275" s="3"/>
      <c r="I275" s="15">
        <f>15000/12</f>
        <v>1250</v>
      </c>
      <c r="J275" s="15">
        <f t="shared" si="49"/>
        <v>3750</v>
      </c>
      <c r="K275" s="15">
        <f t="shared" si="50"/>
        <v>3750</v>
      </c>
      <c r="L275" s="4"/>
      <c r="M275" s="2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>
      <c r="A276" s="26">
        <v>0.5</v>
      </c>
      <c r="B276" s="10" t="s">
        <v>18</v>
      </c>
      <c r="C276" s="11" t="s">
        <v>39</v>
      </c>
      <c r="D276" s="15">
        <v>16000.0</v>
      </c>
      <c r="E276" s="15">
        <f t="shared" si="48"/>
        <v>8000</v>
      </c>
      <c r="F276" s="3"/>
      <c r="G276" s="3"/>
      <c r="H276" s="3"/>
      <c r="I276" s="15">
        <v>12000.0</v>
      </c>
      <c r="J276" s="15">
        <f t="shared" si="49"/>
        <v>6000</v>
      </c>
      <c r="K276" s="15">
        <f t="shared" si="50"/>
        <v>2000</v>
      </c>
      <c r="L276" s="4"/>
      <c r="M276" s="2"/>
      <c r="N276" s="3"/>
      <c r="O276" s="2"/>
      <c r="P276" s="3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>
      <c r="A277" s="26">
        <v>0.5</v>
      </c>
      <c r="B277" s="10" t="s">
        <v>18</v>
      </c>
      <c r="C277" s="11" t="s">
        <v>119</v>
      </c>
      <c r="D277" s="15">
        <v>46000.0</v>
      </c>
      <c r="E277" s="15">
        <f t="shared" si="48"/>
        <v>23000</v>
      </c>
      <c r="F277" s="3"/>
      <c r="G277" s="3"/>
      <c r="H277" s="3"/>
      <c r="I277" s="15">
        <v>40000.0</v>
      </c>
      <c r="J277" s="15">
        <f t="shared" si="49"/>
        <v>20000</v>
      </c>
      <c r="K277" s="15">
        <f t="shared" si="50"/>
        <v>3000</v>
      </c>
      <c r="L277" s="4"/>
      <c r="M277" s="2"/>
      <c r="N277" s="3"/>
      <c r="O277" s="2"/>
      <c r="P277" s="3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>
      <c r="A278" s="1"/>
      <c r="B278" s="3"/>
      <c r="C278" s="2"/>
      <c r="D278" s="3"/>
      <c r="E278" s="3"/>
      <c r="F278" s="3"/>
      <c r="G278" s="2"/>
      <c r="H278" s="3"/>
      <c r="I278" s="3"/>
      <c r="J278" s="3"/>
      <c r="K278" s="3"/>
      <c r="L278" s="4"/>
      <c r="M278" s="2"/>
      <c r="N278" s="3"/>
      <c r="O278" s="2"/>
      <c r="P278" s="3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>
      <c r="A279" s="1"/>
      <c r="B279" s="3"/>
      <c r="C279" s="2"/>
      <c r="D279" s="3"/>
      <c r="E279" s="15">
        <f>SUM(E263:E278)</f>
        <v>207100</v>
      </c>
      <c r="F279" s="3"/>
      <c r="G279" s="3"/>
      <c r="H279" s="3"/>
      <c r="I279" s="3"/>
      <c r="J279" s="3"/>
      <c r="K279" s="15">
        <f>SUM(K263:K277)</f>
        <v>48577.27273</v>
      </c>
      <c r="L279" s="23">
        <f>K279/E279</f>
        <v>0.2345595013</v>
      </c>
      <c r="M279" s="2"/>
      <c r="N279" s="3"/>
      <c r="O279" s="2"/>
      <c r="P279" s="3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>
      <c r="A280" s="30"/>
      <c r="B280" s="31"/>
      <c r="C280" s="2"/>
      <c r="D280" s="3"/>
      <c r="E280" s="3"/>
      <c r="F280" s="3"/>
      <c r="G280" s="2"/>
      <c r="H280" s="2"/>
      <c r="I280" s="2"/>
      <c r="J280" s="2"/>
      <c r="K280" s="3"/>
      <c r="L280" s="4"/>
      <c r="M280" s="2"/>
      <c r="N280" s="3"/>
      <c r="O280" s="2"/>
      <c r="P280" s="3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>
      <c r="A281" s="30"/>
      <c r="B281" s="31"/>
      <c r="C281" s="2"/>
      <c r="D281" s="3"/>
      <c r="E281" s="3"/>
      <c r="F281" s="3"/>
      <c r="G281" s="2"/>
      <c r="H281" s="2"/>
      <c r="I281" s="2"/>
      <c r="J281" s="2"/>
      <c r="K281" s="3"/>
      <c r="L281" s="4"/>
      <c r="M281" s="2"/>
      <c r="N281" s="3"/>
      <c r="O281" s="2"/>
      <c r="P281" s="3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>
      <c r="A282" s="30"/>
      <c r="B282" s="31"/>
      <c r="C282" s="2"/>
      <c r="D282" s="3"/>
      <c r="E282" s="3"/>
      <c r="F282" s="3"/>
      <c r="G282" s="2"/>
      <c r="H282" s="2"/>
      <c r="I282" s="2"/>
      <c r="J282" s="2"/>
      <c r="K282" s="3"/>
      <c r="L282" s="4"/>
      <c r="M282" s="2"/>
      <c r="N282" s="3"/>
      <c r="O282" s="2"/>
      <c r="P282" s="3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>
      <c r="A283" s="30"/>
      <c r="B283" s="31"/>
      <c r="C283" s="2"/>
      <c r="D283" s="3"/>
      <c r="E283" s="3"/>
      <c r="F283" s="3"/>
      <c r="G283" s="2"/>
      <c r="H283" s="2"/>
      <c r="I283" s="2"/>
      <c r="J283" s="2"/>
      <c r="K283" s="3"/>
      <c r="L283" s="4"/>
      <c r="M283" s="2"/>
      <c r="N283" s="3"/>
      <c r="O283" s="2"/>
      <c r="P283" s="3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>
      <c r="A284" s="30" t="s">
        <v>120</v>
      </c>
      <c r="B284" s="31">
        <f>E279+E255+E228+E213+F195+E176+E168+E146+E126+F103+F73+F59+F34</f>
        <v>3559342.25</v>
      </c>
      <c r="C284" s="2"/>
      <c r="D284" s="3"/>
      <c r="E284" s="3"/>
      <c r="F284" s="3"/>
      <c r="G284" s="2"/>
      <c r="H284" s="2"/>
      <c r="I284" s="2"/>
      <c r="J284" s="2"/>
      <c r="K284" s="3"/>
      <c r="L284" s="4"/>
      <c r="M284" s="2"/>
      <c r="N284" s="3"/>
      <c r="O284" s="2"/>
      <c r="P284" s="3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>
      <c r="A285" s="1"/>
      <c r="B285" s="2"/>
      <c r="C285" s="2"/>
      <c r="D285" s="3"/>
      <c r="E285" s="3"/>
      <c r="F285" s="3"/>
      <c r="G285" s="2"/>
      <c r="H285" s="2"/>
      <c r="I285" s="2"/>
      <c r="J285" s="2"/>
      <c r="K285" s="3"/>
      <c r="L285" s="4"/>
      <c r="M285" s="2"/>
      <c r="N285" s="2"/>
      <c r="O285" s="2"/>
      <c r="P285" s="2"/>
      <c r="Q285" s="3"/>
      <c r="R285" s="9"/>
      <c r="S285" s="3"/>
      <c r="T285" s="3"/>
      <c r="U285" s="1"/>
      <c r="V285" s="3"/>
      <c r="W285" s="3"/>
      <c r="X285" s="3"/>
      <c r="Y285" s="3"/>
      <c r="Z285" s="3"/>
    </row>
    <row r="286">
      <c r="A286" s="30" t="s">
        <v>121</v>
      </c>
      <c r="B286" s="31">
        <f>K279+K255+K228+K213+K195+K176+K168+K146+K126+K103+K73+K59+K34</f>
        <v>1359837.698</v>
      </c>
      <c r="C286" s="2"/>
      <c r="D286" s="3"/>
      <c r="E286" s="3"/>
      <c r="F286" s="3"/>
      <c r="G286" s="2"/>
      <c r="H286" s="2"/>
      <c r="I286" s="2"/>
      <c r="J286" s="2"/>
      <c r="K286" s="3"/>
      <c r="L286" s="4"/>
      <c r="M286" s="2"/>
      <c r="N286" s="2"/>
      <c r="O286" s="2"/>
      <c r="P286" s="2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>
      <c r="A287" s="1"/>
      <c r="B287" s="2"/>
      <c r="C287" s="2"/>
      <c r="D287" s="3"/>
      <c r="E287" s="3"/>
      <c r="F287" s="3"/>
      <c r="G287" s="2"/>
      <c r="H287" s="2"/>
      <c r="I287" s="2"/>
      <c r="J287" s="2"/>
      <c r="K287" s="3"/>
      <c r="L287" s="4"/>
      <c r="M287" s="2"/>
      <c r="N287" s="2"/>
      <c r="O287" s="2"/>
      <c r="P287" s="2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>
      <c r="A288" s="39" t="s">
        <v>122</v>
      </c>
      <c r="B288" s="40">
        <f>E230+E197+E178+E105+E75+E61</f>
        <v>38374</v>
      </c>
      <c r="C288" s="2"/>
      <c r="D288" s="3"/>
      <c r="E288" s="3"/>
      <c r="F288" s="3"/>
      <c r="G288" s="2"/>
      <c r="H288" s="2"/>
      <c r="I288" s="2"/>
      <c r="J288" s="2"/>
      <c r="K288" s="3"/>
      <c r="L288" s="4"/>
      <c r="M288" s="2"/>
      <c r="N288" s="2"/>
      <c r="O288" s="2"/>
      <c r="P288" s="2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>
      <c r="A289" s="1"/>
      <c r="B289" s="2"/>
      <c r="C289" s="2"/>
      <c r="D289" s="3"/>
      <c r="E289" s="3"/>
      <c r="F289" s="3"/>
      <c r="G289" s="2"/>
      <c r="H289" s="2"/>
      <c r="I289" s="2"/>
      <c r="J289" s="2"/>
      <c r="K289" s="3"/>
      <c r="L289" s="4"/>
      <c r="M289" s="2"/>
      <c r="N289" s="2"/>
      <c r="O289" s="2"/>
      <c r="P289" s="2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>
      <c r="A290" s="30" t="s">
        <v>123</v>
      </c>
      <c r="B290" s="41">
        <f>B286/B284</f>
        <v>0.3820474689</v>
      </c>
      <c r="C290" s="2"/>
      <c r="D290" s="3"/>
      <c r="E290" s="3"/>
      <c r="F290" s="3"/>
      <c r="G290" s="2"/>
      <c r="H290" s="2"/>
      <c r="I290" s="2"/>
      <c r="J290" s="2"/>
      <c r="K290" s="3"/>
      <c r="L290" s="4"/>
      <c r="M290" s="2"/>
      <c r="N290" s="2"/>
      <c r="O290" s="2"/>
      <c r="P290" s="2"/>
      <c r="Q290" s="2"/>
      <c r="R290" s="2"/>
      <c r="S290" s="3"/>
      <c r="T290" s="3"/>
      <c r="U290" s="1"/>
      <c r="V290" s="3"/>
      <c r="W290" s="3"/>
      <c r="X290" s="2"/>
      <c r="Y290" s="2"/>
      <c r="Z290" s="2"/>
    </row>
    <row r="291">
      <c r="A291" s="1"/>
      <c r="B291" s="2"/>
      <c r="C291" s="2"/>
      <c r="D291" s="3"/>
      <c r="E291" s="3"/>
      <c r="F291" s="3"/>
      <c r="G291" s="2"/>
      <c r="H291" s="2"/>
      <c r="I291" s="2"/>
      <c r="J291" s="2"/>
      <c r="K291" s="3"/>
      <c r="L291" s="4"/>
      <c r="M291" s="2"/>
      <c r="N291" s="2"/>
      <c r="O291" s="2"/>
      <c r="P291" s="2"/>
      <c r="Q291" s="3"/>
      <c r="R291" s="9"/>
      <c r="S291" s="3"/>
      <c r="T291" s="3"/>
      <c r="U291" s="1"/>
      <c r="V291" s="3"/>
      <c r="W291" s="3"/>
      <c r="X291" s="3"/>
      <c r="Y291" s="3"/>
      <c r="Z291" s="3"/>
    </row>
    <row r="292" ht="15.75" customHeight="1">
      <c r="A292" s="42" t="s">
        <v>124</v>
      </c>
      <c r="C292" s="43">
        <v>100.0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9"/>
      <c r="S292" s="3"/>
      <c r="T292" s="3"/>
      <c r="U292" s="1"/>
      <c r="V292" s="3"/>
      <c r="W292" s="3"/>
      <c r="X292" s="3"/>
      <c r="Y292" s="3"/>
      <c r="Z292" s="3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2"/>
      <c r="M293" s="2"/>
      <c r="N293" s="2"/>
      <c r="O293" s="2"/>
      <c r="P293" s="2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 ht="15.75" customHeight="1">
      <c r="A294" s="1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1"/>
      <c r="V294" s="3"/>
      <c r="W294" s="3"/>
      <c r="X294" s="3"/>
      <c r="Y294" s="3"/>
      <c r="Z294" s="3"/>
    </row>
    <row r="295" ht="15.75" customHeight="1">
      <c r="A295" s="1"/>
      <c r="B295" s="1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1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1"/>
      <c r="X296" s="3"/>
      <c r="Y296" s="3"/>
      <c r="Z296" s="3"/>
    </row>
    <row r="297" ht="15.75" customHeight="1">
      <c r="A297" s="45"/>
      <c r="B297" s="46" t="s">
        <v>125</v>
      </c>
      <c r="C297" s="47" t="s">
        <v>126</v>
      </c>
      <c r="D297" s="48" t="s">
        <v>127</v>
      </c>
      <c r="E297" s="48" t="s">
        <v>128</v>
      </c>
      <c r="F297" s="48" t="s">
        <v>129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1"/>
      <c r="V297" s="3"/>
      <c r="W297" s="9"/>
      <c r="X297" s="3"/>
      <c r="Y297" s="3"/>
      <c r="Z297" s="3"/>
    </row>
    <row r="298" ht="15.75" customHeight="1">
      <c r="A298" s="49"/>
      <c r="B298" s="50">
        <v>2528350.0</v>
      </c>
      <c r="C298" s="51">
        <v>308459.29</v>
      </c>
      <c r="D298" s="51">
        <f>2277828.28-500000-1000000+491000</f>
        <v>1268828.28</v>
      </c>
      <c r="E298" s="51"/>
      <c r="F298" s="51">
        <f>8500000+1101582.8</f>
        <v>9601582.8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 ht="15.75" customHeight="1">
      <c r="A299" s="1"/>
      <c r="B299" s="52"/>
      <c r="C299" s="52"/>
      <c r="D299" s="52"/>
      <c r="E299" s="5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 ht="15.75" customHeight="1">
      <c r="A300" s="46" t="s">
        <v>130</v>
      </c>
      <c r="B300" s="53"/>
      <c r="C300" s="53"/>
      <c r="D300" s="53"/>
      <c r="E300" s="53"/>
      <c r="F300" s="5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 ht="15.75" customHeight="1">
      <c r="A301" s="13" t="s">
        <v>131</v>
      </c>
      <c r="B301" s="55">
        <v>319800.0</v>
      </c>
      <c r="C301" s="55">
        <v>0.0</v>
      </c>
      <c r="D301" s="55">
        <v>0.0</v>
      </c>
      <c r="E301" s="55">
        <v>0.0</v>
      </c>
      <c r="F301" s="55">
        <v>0.0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 ht="15.75" customHeight="1">
      <c r="A302" s="13" t="s">
        <v>132</v>
      </c>
      <c r="B302" s="55">
        <v>0.0</v>
      </c>
      <c r="C302" s="55">
        <v>3625.2</v>
      </c>
      <c r="D302" s="55">
        <v>0.0</v>
      </c>
      <c r="E302" s="55">
        <v>0.0</v>
      </c>
      <c r="F302" s="55">
        <v>0.0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 ht="15.75" customHeight="1">
      <c r="A303" s="13" t="s">
        <v>133</v>
      </c>
      <c r="B303" s="55">
        <v>0.0</v>
      </c>
      <c r="C303" s="55">
        <v>0.0</v>
      </c>
      <c r="D303" s="55">
        <v>1101582.8</v>
      </c>
      <c r="E303" s="55">
        <v>0.0</v>
      </c>
      <c r="F303" s="55">
        <v>0.0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1"/>
      <c r="V303" s="3"/>
      <c r="W303" s="3"/>
      <c r="X303" s="3"/>
      <c r="Y303" s="3"/>
      <c r="Z303" s="3"/>
    </row>
    <row r="304" ht="15.75" customHeight="1">
      <c r="A304" s="13" t="s">
        <v>134</v>
      </c>
      <c r="B304" s="55">
        <v>0.0</v>
      </c>
      <c r="C304" s="55">
        <v>0.0</v>
      </c>
      <c r="D304" s="55">
        <v>0.0</v>
      </c>
      <c r="E304" s="55">
        <v>0.0</v>
      </c>
      <c r="F304" s="55">
        <v>0.0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1"/>
      <c r="V304" s="3"/>
      <c r="W304" s="3"/>
      <c r="X304" s="3"/>
      <c r="Y304" s="3"/>
      <c r="Z304" s="3"/>
    </row>
    <row r="305" ht="15.75" customHeight="1">
      <c r="A305" s="13" t="s">
        <v>135</v>
      </c>
      <c r="B305" s="55">
        <v>0.0</v>
      </c>
      <c r="C305" s="55">
        <v>0.0</v>
      </c>
      <c r="D305" s="55">
        <v>0.0</v>
      </c>
      <c r="E305" s="55">
        <v>0.0</v>
      </c>
      <c r="F305" s="55">
        <v>0.0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1"/>
      <c r="V305" s="3"/>
      <c r="W305" s="3"/>
      <c r="X305" s="3"/>
      <c r="Y305" s="3"/>
      <c r="Z305" s="3"/>
    </row>
    <row r="306" ht="15.75" customHeight="1">
      <c r="A306" s="13" t="s">
        <v>136</v>
      </c>
      <c r="B306" s="55">
        <v>0.0</v>
      </c>
      <c r="C306" s="56">
        <f>C301*0.6%+C304*0.6%</f>
        <v>0</v>
      </c>
      <c r="D306" s="55">
        <f>SUM(D301:D303)*0.6%</f>
        <v>6609.4968</v>
      </c>
      <c r="E306" s="55">
        <v>0.0</v>
      </c>
      <c r="F306" s="55">
        <v>0.0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1"/>
      <c r="V306" s="3"/>
      <c r="W306" s="3"/>
      <c r="X306" s="3"/>
      <c r="Y306" s="3"/>
      <c r="Z306" s="3"/>
    </row>
    <row r="307" ht="15.75" customHeight="1">
      <c r="A307" s="1"/>
      <c r="B307" s="52"/>
      <c r="C307" s="52"/>
      <c r="D307" s="52"/>
      <c r="E307" s="5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 ht="15.75" customHeight="1">
      <c r="A308" s="57" t="s">
        <v>8</v>
      </c>
      <c r="B308" s="58">
        <f>SUM(B298:B306)</f>
        <v>2848150</v>
      </c>
      <c r="C308" s="58">
        <f>C298+C301+C304+C305-C306+C302</f>
        <v>312084.49</v>
      </c>
      <c r="D308" s="59">
        <f>D298+D301+D304+D305-D306+D303</f>
        <v>2363801.583</v>
      </c>
      <c r="E308" s="58">
        <f>E298+E301+E304+E305-E306</f>
        <v>0</v>
      </c>
      <c r="F308" s="60">
        <f>F298+F301+F304+F305-F306-D303</f>
        <v>8500000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1"/>
      <c r="V308" s="3"/>
      <c r="W308" s="3"/>
      <c r="X308" s="3"/>
      <c r="Y308" s="3"/>
      <c r="Z308" s="3"/>
    </row>
    <row r="309" ht="15.75" customHeight="1">
      <c r="A309" s="1"/>
      <c r="B309" s="1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 ht="15.75" customHeight="1">
      <c r="A310" s="46" t="s">
        <v>137</v>
      </c>
      <c r="B310" s="53"/>
      <c r="C310" s="53"/>
      <c r="D310" s="53"/>
      <c r="E310" s="53"/>
      <c r="F310" s="5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 ht="15.75" customHeight="1">
      <c r="A311" s="13" t="s">
        <v>138</v>
      </c>
      <c r="B311" s="61">
        <v>10000.0</v>
      </c>
      <c r="C311" s="61">
        <v>0.0</v>
      </c>
      <c r="D311" s="61">
        <v>0.0</v>
      </c>
      <c r="E311" s="61">
        <v>0.0</v>
      </c>
      <c r="F311" s="3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1"/>
      <c r="V311" s="3"/>
      <c r="W311" s="3"/>
      <c r="X311" s="3"/>
      <c r="Y311" s="3"/>
      <c r="Z311" s="3"/>
    </row>
    <row r="312" ht="15.75" customHeight="1">
      <c r="A312" s="13" t="s">
        <v>139</v>
      </c>
      <c r="B312" s="55">
        <v>0.0</v>
      </c>
      <c r="C312" s="55">
        <v>0.0</v>
      </c>
      <c r="D312" s="55">
        <v>0.0</v>
      </c>
      <c r="E312" s="55">
        <v>0.0</v>
      </c>
      <c r="F312" s="3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1"/>
      <c r="V312" s="3"/>
      <c r="W312" s="3"/>
      <c r="X312" s="3"/>
      <c r="Y312" s="3"/>
      <c r="Z312" s="3"/>
    </row>
    <row r="313" ht="15.75" customHeight="1">
      <c r="A313" s="13" t="s">
        <v>140</v>
      </c>
      <c r="B313" s="61">
        <v>0.0</v>
      </c>
      <c r="C313" s="61">
        <v>0.0</v>
      </c>
      <c r="D313" s="55">
        <v>500000.0</v>
      </c>
      <c r="E313" s="61">
        <v>0.0</v>
      </c>
      <c r="F313" s="3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1"/>
      <c r="V313" s="3"/>
      <c r="W313" s="3"/>
      <c r="X313" s="3"/>
      <c r="Y313" s="3"/>
      <c r="Z313" s="3"/>
    </row>
    <row r="314" ht="15.75" customHeight="1">
      <c r="A314" s="13" t="s">
        <v>141</v>
      </c>
      <c r="B314" s="61">
        <v>0.0</v>
      </c>
      <c r="C314" s="61">
        <v>0.0</v>
      </c>
      <c r="D314" s="61">
        <v>0.0</v>
      </c>
      <c r="E314" s="61">
        <v>0.0</v>
      </c>
      <c r="F314" s="3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1"/>
      <c r="V314" s="3"/>
      <c r="W314" s="3"/>
      <c r="X314" s="3"/>
      <c r="Y314" s="3"/>
      <c r="Z314" s="3"/>
    </row>
    <row r="315" ht="15.75" customHeight="1">
      <c r="A315" s="13" t="s">
        <v>142</v>
      </c>
      <c r="B315" s="61">
        <v>0.0</v>
      </c>
      <c r="C315" s="61">
        <v>395000.0</v>
      </c>
      <c r="D315" s="61">
        <v>0.0</v>
      </c>
      <c r="E315" s="61">
        <v>0.0</v>
      </c>
      <c r="F315" s="3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1"/>
      <c r="V315" s="3"/>
      <c r="W315" s="3"/>
      <c r="X315" s="3"/>
      <c r="Y315" s="3"/>
      <c r="Z315" s="3"/>
    </row>
    <row r="316" ht="15.75" customHeight="1">
      <c r="A316" s="13" t="s">
        <v>143</v>
      </c>
      <c r="B316" s="61">
        <v>40000.0</v>
      </c>
      <c r="C316" s="61">
        <v>0.0</v>
      </c>
      <c r="D316" s="61">
        <v>0.0</v>
      </c>
      <c r="E316" s="61">
        <v>0.0</v>
      </c>
      <c r="F316" s="35"/>
      <c r="G316" s="2"/>
      <c r="H316" s="6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1"/>
      <c r="V316" s="3"/>
      <c r="W316" s="3"/>
      <c r="X316" s="3"/>
      <c r="Y316" s="3"/>
      <c r="Z316" s="3"/>
    </row>
    <row r="317" ht="15.75" customHeight="1">
      <c r="A317" s="13" t="s">
        <v>144</v>
      </c>
      <c r="B317" s="55">
        <v>0.0</v>
      </c>
      <c r="C317" s="55">
        <v>0.0</v>
      </c>
      <c r="D317" s="55">
        <v>0.0</v>
      </c>
      <c r="E317" s="55">
        <v>0.0</v>
      </c>
      <c r="F317" s="3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1"/>
      <c r="V317" s="3"/>
      <c r="W317" s="3"/>
      <c r="X317" s="3"/>
      <c r="Y317" s="3"/>
      <c r="Z317" s="3"/>
    </row>
    <row r="318" ht="15.75" customHeight="1">
      <c r="A318" s="13" t="s">
        <v>145</v>
      </c>
      <c r="B318" s="55">
        <v>0.0</v>
      </c>
      <c r="C318" s="55">
        <v>0.0</v>
      </c>
      <c r="D318" s="55">
        <v>0.0</v>
      </c>
      <c r="E318" s="55">
        <v>0.0</v>
      </c>
      <c r="F318" s="35"/>
      <c r="G318" s="2"/>
      <c r="H318" s="6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1"/>
      <c r="V318" s="3"/>
      <c r="W318" s="3"/>
      <c r="X318" s="3"/>
      <c r="Y318" s="3"/>
      <c r="Z318" s="3"/>
    </row>
    <row r="319" ht="15.75" customHeight="1">
      <c r="A319" s="13" t="s">
        <v>146</v>
      </c>
      <c r="B319" s="55">
        <v>0.0</v>
      </c>
      <c r="C319" s="55">
        <v>0.0</v>
      </c>
      <c r="D319" s="55">
        <v>0.0</v>
      </c>
      <c r="E319" s="55">
        <v>0.0</v>
      </c>
      <c r="F319" s="35"/>
      <c r="G319" s="2"/>
      <c r="H319" s="6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1"/>
      <c r="V319" s="3"/>
      <c r="W319" s="3"/>
      <c r="X319" s="3"/>
      <c r="Y319" s="3"/>
      <c r="Z319" s="3"/>
    </row>
    <row r="320" ht="15.75" customHeight="1">
      <c r="A320" s="13" t="s">
        <v>147</v>
      </c>
      <c r="B320" s="61">
        <v>0.0</v>
      </c>
      <c r="C320" s="61">
        <v>0.0</v>
      </c>
      <c r="D320" s="61">
        <v>0.0</v>
      </c>
      <c r="E320" s="61">
        <v>0.0</v>
      </c>
      <c r="F320" s="35"/>
      <c r="G320" s="2"/>
      <c r="H320" s="62"/>
      <c r="I320" s="2"/>
      <c r="J320" s="2"/>
      <c r="K320" s="2"/>
      <c r="L320" s="2"/>
      <c r="M320" s="2"/>
      <c r="N320" s="2"/>
      <c r="O320" s="2"/>
      <c r="P320" s="2"/>
      <c r="Q320" s="3"/>
      <c r="R320" s="9"/>
      <c r="S320" s="3"/>
      <c r="T320" s="3"/>
      <c r="U320" s="1"/>
      <c r="V320" s="3"/>
      <c r="W320" s="3"/>
      <c r="X320" s="3"/>
      <c r="Y320" s="3"/>
      <c r="Z320" s="3"/>
    </row>
    <row r="321" ht="15.75" customHeight="1">
      <c r="A321" s="13" t="s">
        <v>148</v>
      </c>
      <c r="B321" s="61">
        <v>0.0</v>
      </c>
      <c r="C321" s="61">
        <v>50000.0</v>
      </c>
      <c r="D321" s="61">
        <v>0.0</v>
      </c>
      <c r="E321" s="61">
        <v>0.0</v>
      </c>
      <c r="F321" s="35"/>
      <c r="G321" s="2"/>
      <c r="H321" s="62"/>
      <c r="I321" s="2"/>
      <c r="J321" s="2"/>
      <c r="K321" s="2"/>
      <c r="L321" s="2"/>
      <c r="M321" s="2"/>
      <c r="N321" s="2"/>
      <c r="O321" s="2"/>
      <c r="P321" s="2"/>
      <c r="Q321" s="3"/>
      <c r="R321" s="9"/>
      <c r="S321" s="3"/>
      <c r="T321" s="3"/>
      <c r="U321" s="1"/>
      <c r="V321" s="3"/>
      <c r="W321" s="3"/>
      <c r="X321" s="3"/>
      <c r="Y321" s="3"/>
      <c r="Z321" s="3"/>
    </row>
    <row r="322" ht="15.75" customHeight="1">
      <c r="A322" s="13" t="s">
        <v>149</v>
      </c>
      <c r="B322" s="56">
        <v>0.0</v>
      </c>
      <c r="C322" s="56">
        <v>50000.0</v>
      </c>
      <c r="D322" s="55">
        <v>0.0</v>
      </c>
      <c r="E322" s="55">
        <v>0.0</v>
      </c>
      <c r="F322" s="3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1"/>
      <c r="V322" s="3"/>
      <c r="W322" s="3"/>
      <c r="X322" s="3"/>
      <c r="Y322" s="3"/>
      <c r="Z322" s="3"/>
    </row>
    <row r="323" ht="15.75" customHeight="1">
      <c r="A323" s="13" t="s">
        <v>150</v>
      </c>
      <c r="B323" s="56">
        <v>0.0</v>
      </c>
      <c r="C323" s="56">
        <v>0.0</v>
      </c>
      <c r="D323" s="55">
        <v>0.0</v>
      </c>
      <c r="E323" s="55">
        <v>0.0</v>
      </c>
      <c r="F323" s="35"/>
      <c r="G323" s="2"/>
      <c r="H323" s="6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1"/>
      <c r="V323" s="3"/>
      <c r="W323" s="3"/>
      <c r="X323" s="3"/>
      <c r="Y323" s="3"/>
      <c r="Z323" s="3"/>
    </row>
    <row r="324" ht="15.75" customHeight="1">
      <c r="A324" s="13" t="s">
        <v>151</v>
      </c>
      <c r="B324" s="56">
        <v>0.0</v>
      </c>
      <c r="C324" s="56">
        <v>0.0</v>
      </c>
      <c r="D324" s="55">
        <v>0.0</v>
      </c>
      <c r="E324" s="55">
        <v>0.0</v>
      </c>
      <c r="F324" s="3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1"/>
      <c r="V324" s="3"/>
      <c r="W324" s="3"/>
      <c r="X324" s="3"/>
      <c r="Y324" s="3"/>
      <c r="Z324" s="3"/>
    </row>
    <row r="325" ht="15.75" customHeight="1">
      <c r="A325" s="13" t="s">
        <v>152</v>
      </c>
      <c r="B325" s="56">
        <v>0.0</v>
      </c>
      <c r="C325" s="56">
        <v>0.0</v>
      </c>
      <c r="D325" s="55">
        <v>0.0</v>
      </c>
      <c r="E325" s="55">
        <v>0.0</v>
      </c>
      <c r="F325" s="3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9"/>
      <c r="S325" s="3"/>
      <c r="T325" s="3"/>
      <c r="U325" s="1"/>
      <c r="V325" s="3"/>
      <c r="W325" s="3"/>
      <c r="X325" s="3"/>
      <c r="Y325" s="3"/>
      <c r="Z325" s="3"/>
    </row>
    <row r="326" ht="15.75" customHeight="1">
      <c r="A326" s="13" t="s">
        <v>153</v>
      </c>
      <c r="B326" s="56">
        <v>0.0</v>
      </c>
      <c r="C326" s="56">
        <v>0.0</v>
      </c>
      <c r="D326" s="55">
        <v>0.0</v>
      </c>
      <c r="E326" s="55">
        <v>0.0</v>
      </c>
      <c r="F326" s="3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9"/>
      <c r="S326" s="3"/>
      <c r="T326" s="3"/>
      <c r="U326" s="1"/>
      <c r="V326" s="3"/>
      <c r="W326" s="3"/>
      <c r="X326" s="3"/>
      <c r="Y326" s="3"/>
      <c r="Z326" s="3"/>
    </row>
    <row r="327" ht="15.75" customHeight="1">
      <c r="A327" s="13" t="s">
        <v>154</v>
      </c>
      <c r="B327" s="56">
        <v>0.0</v>
      </c>
      <c r="C327" s="56">
        <v>0.0</v>
      </c>
      <c r="D327" s="55">
        <v>0.0</v>
      </c>
      <c r="E327" s="55">
        <v>0.0</v>
      </c>
      <c r="F327" s="3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1"/>
      <c r="V327" s="3"/>
      <c r="W327" s="3"/>
      <c r="X327" s="3"/>
      <c r="Y327" s="3"/>
      <c r="Z327" s="3"/>
    </row>
    <row r="328" ht="15.75" customHeight="1">
      <c r="A328" s="13" t="s">
        <v>155</v>
      </c>
      <c r="B328" s="55">
        <v>20000.0</v>
      </c>
      <c r="C328" s="55">
        <v>0.0</v>
      </c>
      <c r="D328" s="55">
        <v>0.0</v>
      </c>
      <c r="E328" s="55">
        <v>0.0</v>
      </c>
      <c r="F328" s="3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1"/>
      <c r="V328" s="3"/>
      <c r="W328" s="3"/>
      <c r="X328" s="3"/>
      <c r="Y328" s="3"/>
      <c r="Z328" s="3"/>
    </row>
    <row r="329" ht="15.75" customHeight="1">
      <c r="A329" s="13" t="s">
        <v>156</v>
      </c>
      <c r="B329" s="55">
        <v>0.0</v>
      </c>
      <c r="C329" s="55">
        <v>0.0</v>
      </c>
      <c r="D329" s="55">
        <v>12167.06</v>
      </c>
      <c r="E329" s="55">
        <v>0.0</v>
      </c>
      <c r="F329" s="3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1"/>
      <c r="V329" s="3"/>
      <c r="W329" s="3"/>
      <c r="X329" s="3"/>
      <c r="Y329" s="3"/>
      <c r="Z329" s="3"/>
    </row>
    <row r="330" ht="15.75" customHeight="1">
      <c r="A330" s="13" t="s">
        <v>157</v>
      </c>
      <c r="B330" s="55">
        <v>0.0</v>
      </c>
      <c r="C330" s="55">
        <v>0.0</v>
      </c>
      <c r="D330" s="55">
        <v>0.0</v>
      </c>
      <c r="E330" s="55">
        <v>0.0</v>
      </c>
      <c r="F330" s="3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1"/>
      <c r="V330" s="3"/>
      <c r="W330" s="3"/>
      <c r="X330" s="3"/>
      <c r="Y330" s="3"/>
      <c r="Z330" s="3"/>
    </row>
    <row r="331" ht="15.75" customHeight="1">
      <c r="A331" s="13" t="s">
        <v>158</v>
      </c>
      <c r="B331" s="56">
        <v>0.0</v>
      </c>
      <c r="C331" s="56">
        <v>0.0</v>
      </c>
      <c r="D331" s="55">
        <f>SUM(D301:D303)*2%</f>
        <v>22031.656</v>
      </c>
      <c r="E331" s="55">
        <v>0.0</v>
      </c>
      <c r="F331" s="3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1"/>
      <c r="V331" s="3"/>
      <c r="W331" s="3"/>
      <c r="X331" s="3"/>
      <c r="Y331" s="3"/>
      <c r="Z331" s="3"/>
    </row>
    <row r="332" ht="15.75" customHeight="1">
      <c r="A332" s="13" t="s">
        <v>159</v>
      </c>
      <c r="B332" s="55">
        <v>0.0</v>
      </c>
      <c r="C332" s="55">
        <v>0.0</v>
      </c>
      <c r="D332" s="55">
        <v>0.0</v>
      </c>
      <c r="E332" s="55">
        <v>0.0</v>
      </c>
      <c r="F332" s="3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1"/>
      <c r="V332" s="3"/>
      <c r="W332" s="3"/>
      <c r="X332" s="3"/>
      <c r="Y332" s="3"/>
      <c r="Z332" s="3"/>
    </row>
    <row r="333" ht="15.75" customHeight="1">
      <c r="A333" s="13" t="s">
        <v>160</v>
      </c>
      <c r="B333" s="55">
        <v>0.0</v>
      </c>
      <c r="C333" s="55">
        <v>0.0</v>
      </c>
      <c r="D333" s="55">
        <v>0.0</v>
      </c>
      <c r="E333" s="55">
        <v>0.0</v>
      </c>
      <c r="F333" s="3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1"/>
      <c r="V333" s="3"/>
      <c r="W333" s="3"/>
      <c r="X333" s="3"/>
      <c r="Y333" s="3"/>
      <c r="Z333" s="3"/>
    </row>
    <row r="334" ht="15.75" customHeight="1">
      <c r="A334" s="13" t="s">
        <v>161</v>
      </c>
      <c r="B334" s="55">
        <v>0.0</v>
      </c>
      <c r="C334" s="55">
        <v>0.0</v>
      </c>
      <c r="D334" s="55">
        <v>0.0</v>
      </c>
      <c r="E334" s="55">
        <v>0.0</v>
      </c>
      <c r="F334" s="3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1"/>
      <c r="V334" s="3"/>
      <c r="W334" s="3"/>
      <c r="X334" s="3"/>
      <c r="Y334" s="3"/>
      <c r="Z334" s="3"/>
    </row>
    <row r="335" ht="15.75" customHeight="1">
      <c r="A335" s="13" t="s">
        <v>162</v>
      </c>
      <c r="B335" s="55">
        <v>0.0</v>
      </c>
      <c r="C335" s="55">
        <v>0.0</v>
      </c>
      <c r="D335" s="55">
        <v>0.0</v>
      </c>
      <c r="E335" s="55">
        <v>0.0</v>
      </c>
      <c r="F335" s="3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1"/>
      <c r="V335" s="3"/>
      <c r="W335" s="3"/>
      <c r="X335" s="3"/>
      <c r="Y335" s="3"/>
      <c r="Z335" s="3"/>
    </row>
    <row r="336" ht="15.75" customHeight="1">
      <c r="A336" s="63"/>
      <c r="B336" s="55"/>
      <c r="C336" s="55"/>
      <c r="D336" s="55"/>
      <c r="E336" s="55"/>
      <c r="F336" s="3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1"/>
      <c r="V336" s="3"/>
      <c r="W336" s="3"/>
      <c r="X336" s="3"/>
      <c r="Y336" s="3"/>
      <c r="Z336" s="3"/>
    </row>
    <row r="337" ht="15.75" customHeight="1">
      <c r="A337" s="13" t="s">
        <v>163</v>
      </c>
      <c r="B337" s="56">
        <v>0.0</v>
      </c>
      <c r="C337" s="56">
        <f>SUM(C311:C334)*0.6%</f>
        <v>2970</v>
      </c>
      <c r="D337" s="56">
        <f>SUM(D311:D334)*0.6%+(D338*0.6%)</f>
        <v>5737.192296</v>
      </c>
      <c r="E337" s="56">
        <f>(E315*0.6%)+(E316*0.6%)+(E317*0.6%)+(E320*0.6%)+(E321*0.6%)</f>
        <v>0</v>
      </c>
      <c r="F337" s="3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1"/>
      <c r="V337" s="3"/>
      <c r="W337" s="3"/>
      <c r="X337" s="3"/>
      <c r="Y337" s="3"/>
      <c r="Z337" s="3"/>
    </row>
    <row r="338" ht="15.75" customHeight="1">
      <c r="A338" s="13" t="s">
        <v>164</v>
      </c>
      <c r="B338" s="56">
        <v>0.0</v>
      </c>
      <c r="C338" s="56">
        <f t="shared" ref="C338:D338" si="51">272000+150000</f>
        <v>422000</v>
      </c>
      <c r="D338" s="56">
        <f t="shared" si="51"/>
        <v>422000</v>
      </c>
      <c r="E338" s="56">
        <f>SUM(E312:E336)*0.6%+(E339*0.6%)</f>
        <v>0</v>
      </c>
      <c r="F338" s="6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1"/>
      <c r="V338" s="3"/>
      <c r="W338" s="3"/>
      <c r="X338" s="3"/>
      <c r="Y338" s="3"/>
      <c r="Z338" s="3"/>
    </row>
    <row r="339" ht="15.75" customHeight="1">
      <c r="A339" s="63"/>
      <c r="B339" s="63"/>
      <c r="C339" s="35"/>
      <c r="D339" s="2"/>
      <c r="E339" s="35"/>
      <c r="F339" s="3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1"/>
      <c r="V339" s="3"/>
      <c r="W339" s="3"/>
      <c r="X339" s="3"/>
      <c r="Y339" s="3"/>
      <c r="Z339" s="3"/>
    </row>
    <row r="340" ht="15.75" customHeight="1">
      <c r="A340" s="65" t="s">
        <v>165</v>
      </c>
      <c r="B340" s="66">
        <f>SUM(B311:B339)</f>
        <v>70000</v>
      </c>
      <c r="C340" s="66">
        <f>SUM(C311:C337)</f>
        <v>497970</v>
      </c>
      <c r="D340" s="66">
        <f>SUM(D311:D338)</f>
        <v>961935.9083</v>
      </c>
      <c r="E340" s="66">
        <f>E322+E326+E337-E338</f>
        <v>0</v>
      </c>
      <c r="F340" s="67" t="str">
        <f>F315</f>
        <v/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1"/>
      <c r="V340" s="3"/>
      <c r="W340" s="3"/>
      <c r="X340" s="3"/>
      <c r="Y340" s="3"/>
      <c r="Z340" s="3"/>
    </row>
    <row r="341" ht="15.75" customHeight="1">
      <c r="A341" s="63"/>
      <c r="B341" s="63"/>
      <c r="C341" s="35"/>
      <c r="D341" s="35"/>
      <c r="E341" s="35"/>
      <c r="F341" s="3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1"/>
      <c r="V341" s="3"/>
      <c r="W341" s="3"/>
      <c r="X341" s="3"/>
      <c r="Y341" s="3"/>
      <c r="Z341" s="3"/>
    </row>
    <row r="342" ht="15.75" customHeight="1">
      <c r="A342" s="65" t="s">
        <v>166</v>
      </c>
      <c r="B342" s="68">
        <f>B308-B340</f>
        <v>2778150</v>
      </c>
      <c r="C342" s="69">
        <f>C308-C340+C338</f>
        <v>236114.49</v>
      </c>
      <c r="D342" s="69">
        <f t="shared" ref="D342:F342" si="52">D308-D340</f>
        <v>1401865.675</v>
      </c>
      <c r="E342" s="70">
        <f t="shared" si="52"/>
        <v>0</v>
      </c>
      <c r="F342" s="70">
        <f t="shared" si="52"/>
        <v>8500000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1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1"/>
      <c r="V343" s="3"/>
      <c r="W343" s="3"/>
      <c r="X343" s="3"/>
      <c r="Y343" s="3"/>
      <c r="Z343" s="3"/>
    </row>
    <row r="344" ht="15.75" customHeight="1">
      <c r="A344" s="71" t="s">
        <v>167</v>
      </c>
      <c r="B344" s="72">
        <v>249800.0</v>
      </c>
      <c r="C344" s="52"/>
      <c r="D344" s="52"/>
      <c r="E344" s="52"/>
      <c r="F344" s="5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9"/>
      <c r="S344" s="3"/>
      <c r="T344" s="3"/>
      <c r="U344" s="1"/>
      <c r="V344" s="3"/>
      <c r="W344" s="3"/>
      <c r="X344" s="3"/>
      <c r="Y344" s="3"/>
      <c r="Z344" s="3"/>
    </row>
    <row r="345" ht="15.75" customHeight="1">
      <c r="A345" s="71" t="s">
        <v>168</v>
      </c>
      <c r="B345" s="72">
        <v>2528350.0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1"/>
      <c r="V345" s="3"/>
      <c r="W345" s="3"/>
      <c r="X345" s="3"/>
      <c r="Y345" s="3"/>
      <c r="Z345" s="3"/>
    </row>
    <row r="346" ht="15.75" customHeight="1">
      <c r="A346" s="2"/>
      <c r="B346" s="52" t="s">
        <v>13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1"/>
      <c r="V346" s="3"/>
      <c r="W346" s="3"/>
      <c r="X346" s="3"/>
      <c r="Y346" s="3"/>
      <c r="Z346" s="3"/>
    </row>
    <row r="347" ht="15.75" customHeight="1">
      <c r="A347" s="2"/>
      <c r="B347" s="52">
        <f>SUM(B344:B345)</f>
        <v>2778150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1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9"/>
      <c r="S348" s="3"/>
      <c r="T348" s="3"/>
      <c r="U348" s="1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9"/>
      <c r="S349" s="3"/>
      <c r="T349" s="3"/>
      <c r="U349" s="1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1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1"/>
      <c r="V351" s="3"/>
      <c r="W351" s="9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1"/>
      <c r="V352" s="3"/>
      <c r="W352" s="9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1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1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1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1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1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1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1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1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1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1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1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1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1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1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1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1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1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1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1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9"/>
      <c r="S372" s="3"/>
      <c r="T372" s="3"/>
      <c r="U372" s="1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1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1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1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9"/>
      <c r="S376" s="3"/>
      <c r="T376" s="3"/>
      <c r="U376" s="1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9"/>
      <c r="S377" s="3"/>
      <c r="T377" s="3"/>
      <c r="U377" s="1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1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1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1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1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1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1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1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1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1"/>
      <c r="V386" s="3"/>
      <c r="W386" s="9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1"/>
      <c r="V387" s="3"/>
      <c r="W387" s="9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1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1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9"/>
      <c r="S390" s="3"/>
      <c r="T390" s="3"/>
      <c r="U390" s="1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1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1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1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9"/>
      <c r="S394" s="3"/>
      <c r="T394" s="3"/>
      <c r="U394" s="1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9"/>
      <c r="S395" s="3"/>
      <c r="T395" s="3"/>
      <c r="U395" s="1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1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1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1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1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1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1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1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1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1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9"/>
      <c r="S405" s="3"/>
      <c r="T405" s="3"/>
      <c r="U405" s="1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1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1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1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1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1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9"/>
      <c r="S411" s="3"/>
      <c r="T411" s="3"/>
      <c r="U411" s="1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9"/>
      <c r="S412" s="3"/>
      <c r="T412" s="3"/>
      <c r="U412" s="1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1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1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9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9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3"/>
      <c r="T421" s="3"/>
      <c r="U421" s="9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9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9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9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9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9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9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9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9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3"/>
      <c r="T463" s="3"/>
      <c r="U463" s="9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9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9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9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2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2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5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5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5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52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52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52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5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5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5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52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52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52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5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52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5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5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9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52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52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52"/>
      <c r="R508" s="52"/>
      <c r="S508" s="3"/>
      <c r="T508" s="3"/>
      <c r="U508" s="9"/>
      <c r="V508" s="3"/>
      <c r="W508" s="3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9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9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52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/>
      <c r="R512" s="52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52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/>
      <c r="R514" s="52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3"/>
      <c r="R515" s="2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3"/>
      <c r="R516" s="52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3"/>
      <c r="R517" s="2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"/>
      <c r="R518" s="52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3"/>
      <c r="R519" s="2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/>
      <c r="R520" s="52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/>
      <c r="R521" s="2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/>
      <c r="R522" s="2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3"/>
      <c r="R523" s="2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3"/>
      <c r="R524" s="2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/>
      <c r="R525" s="2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/>
      <c r="R526" s="2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/>
      <c r="R527" s="2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/>
      <c r="R528" s="2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3"/>
      <c r="R529" s="2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3"/>
      <c r="R530" s="2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3"/>
      <c r="R531" s="2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/>
      <c r="R532" s="2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/>
      <c r="R533" s="2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/>
      <c r="R534" s="2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3"/>
      <c r="R535" s="2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/>
      <c r="R536" s="2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/>
      <c r="R537" s="2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/>
      <c r="R538" s="2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/>
      <c r="R539" s="2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/>
      <c r="R540" s="2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/>
      <c r="R541" s="2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/>
      <c r="R542" s="2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/>
      <c r="R543" s="2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/>
      <c r="R544" s="2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/>
      <c r="R545" s="2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/>
      <c r="R546" s="2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/>
      <c r="R547" s="2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  <c r="R548" s="2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3"/>
      <c r="R549" s="2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/>
      <c r="R550" s="2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3"/>
      <c r="R551" s="9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/>
      <c r="R552" s="2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/>
      <c r="R553" s="2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9"/>
      <c r="T554" s="3"/>
      <c r="U554" s="2"/>
      <c r="V554" s="3"/>
      <c r="W554" s="3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/>
      <c r="R555" s="9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/>
      <c r="R556" s="9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3"/>
      <c r="R557" s="2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3"/>
      <c r="R558" s="2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3"/>
      <c r="R559" s="2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"/>
      <c r="R560" s="2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3"/>
      <c r="R561" s="2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3"/>
      <c r="R562" s="2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3"/>
      <c r="R563" s="2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3"/>
      <c r="R564" s="2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3"/>
      <c r="R565" s="2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3"/>
      <c r="R566" s="9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3"/>
      <c r="R567" s="2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/>
      <c r="R568" s="2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3"/>
      <c r="R569" s="2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3"/>
      <c r="R570" s="2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9"/>
      <c r="T571" s="3"/>
      <c r="U571" s="2"/>
      <c r="V571" s="3"/>
      <c r="W571" s="3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3"/>
      <c r="R572" s="9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3"/>
      <c r="R573" s="9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/>
      <c r="R574" s="2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3"/>
      <c r="R575" s="2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3"/>
      <c r="R576" s="2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3"/>
      <c r="R577" s="9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3"/>
      <c r="R578" s="2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3"/>
      <c r="R579" s="2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3"/>
      <c r="R581" s="2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9"/>
      <c r="T582" s="3"/>
      <c r="U582" s="2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3"/>
      <c r="R583" s="2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3"/>
      <c r="R584" s="9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3"/>
      <c r="R585" s="2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3"/>
      <c r="R586" s="2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3"/>
      <c r="R587" s="2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3"/>
      <c r="R588" s="2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3"/>
      <c r="R589" s="2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"/>
      <c r="R590" s="2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3"/>
      <c r="R591" s="2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3"/>
      <c r="R592" s="2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3"/>
      <c r="R593" s="2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3"/>
      <c r="R594" s="2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3"/>
      <c r="R595" s="9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3"/>
      <c r="R596" s="2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3"/>
      <c r="R597" s="2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3"/>
      <c r="T598" s="3"/>
      <c r="U598" s="9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3"/>
      <c r="R599" s="2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3"/>
      <c r="R600" s="9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3"/>
      <c r="R601" s="2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3"/>
      <c r="R602" s="2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3"/>
      <c r="R603" s="2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/>
      <c r="R604" s="2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3"/>
      <c r="R605" s="2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3"/>
      <c r="R606" s="2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3"/>
      <c r="R607" s="2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3"/>
      <c r="R608" s="2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3"/>
      <c r="R609" s="9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/>
      <c r="R610" s="2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3"/>
      <c r="R611" s="2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3"/>
      <c r="T612" s="9"/>
      <c r="U612" s="2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3"/>
      <c r="R613" s="2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3"/>
      <c r="R614" s="9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3"/>
      <c r="R615" s="2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3"/>
      <c r="R616" s="2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3"/>
      <c r="R617" s="2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3"/>
      <c r="R618" s="2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3"/>
      <c r="R619" s="2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3"/>
      <c r="R620" s="2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3"/>
      <c r="R621" s="9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3"/>
      <c r="R622" s="9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3"/>
      <c r="R623" s="9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3"/>
      <c r="T624" s="9"/>
      <c r="U624" s="2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3"/>
      <c r="R625" s="2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3"/>
      <c r="R626" s="9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3"/>
      <c r="R627" s="2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3"/>
      <c r="R628" s="2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3"/>
      <c r="R629" s="2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3"/>
      <c r="R630" s="2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3"/>
      <c r="R631" s="2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3"/>
      <c r="R632" s="9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3"/>
      <c r="R633" s="2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/>
      <c r="R634" s="2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3"/>
      <c r="R635" s="2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3"/>
      <c r="R637" s="2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3"/>
      <c r="R639" s="2"/>
      <c r="S639" s="2"/>
      <c r="T639" s="3"/>
      <c r="U639" s="2"/>
      <c r="V639" s="2"/>
      <c r="W639" s="2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3"/>
      <c r="T640" s="3"/>
      <c r="U640" s="3"/>
      <c r="V640" s="2"/>
      <c r="W640" s="2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44"/>
      <c r="R642" s="44"/>
      <c r="S642" s="44"/>
      <c r="T642" s="44"/>
      <c r="U642" s="44"/>
      <c r="V642" s="44"/>
      <c r="W642" s="44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3"/>
      <c r="T643" s="3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"/>
      <c r="R644" s="2"/>
      <c r="S644" s="3"/>
      <c r="T644" s="3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4"/>
      <c r="R646" s="75"/>
      <c r="S646" s="76"/>
      <c r="T646" s="76"/>
      <c r="U646" s="76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7"/>
      <c r="R647" s="77"/>
      <c r="S647" s="77"/>
      <c r="T647" s="77"/>
      <c r="U647" s="77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52"/>
      <c r="R648" s="52"/>
      <c r="S648" s="52"/>
      <c r="T648" s="5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52"/>
      <c r="R650" s="52"/>
      <c r="S650" s="52"/>
      <c r="T650" s="52"/>
      <c r="U650" s="5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52"/>
      <c r="R651" s="52"/>
      <c r="S651" s="52"/>
      <c r="T651" s="5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52"/>
      <c r="R652" s="52"/>
      <c r="S652" s="52"/>
      <c r="T652" s="5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52"/>
      <c r="R653" s="52"/>
      <c r="S653" s="52"/>
      <c r="T653" s="5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52"/>
      <c r="R654" s="52"/>
      <c r="S654" s="52"/>
      <c r="T654" s="5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8"/>
      <c r="R655" s="78"/>
      <c r="S655" s="78"/>
      <c r="T655" s="78"/>
      <c r="U655" s="79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"/>
      <c r="R656" s="2"/>
      <c r="S656" s="3"/>
      <c r="T656" s="3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62"/>
      <c r="R658" s="62"/>
      <c r="S658" s="62"/>
      <c r="T658" s="6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62"/>
      <c r="R659" s="62"/>
      <c r="S659" s="62"/>
      <c r="T659" s="6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62"/>
      <c r="R660" s="62"/>
      <c r="S660" s="62"/>
      <c r="T660" s="6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62"/>
      <c r="R661" s="62"/>
      <c r="S661" s="62"/>
      <c r="T661" s="6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62"/>
      <c r="R662" s="62"/>
      <c r="S662" s="62"/>
      <c r="T662" s="62"/>
      <c r="U662" s="2"/>
      <c r="V662" s="2"/>
      <c r="W662" s="6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62"/>
      <c r="R663" s="62"/>
      <c r="S663" s="62"/>
      <c r="T663" s="6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62"/>
      <c r="R664" s="62"/>
      <c r="S664" s="62"/>
      <c r="T664" s="62"/>
      <c r="U664" s="2"/>
      <c r="V664" s="2"/>
      <c r="W664" s="6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62"/>
      <c r="R665" s="62"/>
      <c r="S665" s="62"/>
      <c r="T665" s="62"/>
      <c r="U665" s="2"/>
      <c r="V665" s="2"/>
      <c r="W665" s="6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52"/>
      <c r="R666" s="52"/>
      <c r="S666" s="52"/>
      <c r="T666" s="5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52"/>
      <c r="R667" s="52"/>
      <c r="S667" s="52"/>
      <c r="T667" s="52"/>
      <c r="U667" s="2"/>
      <c r="V667" s="2"/>
      <c r="W667" s="6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52"/>
      <c r="R668" s="52"/>
      <c r="S668" s="52"/>
      <c r="T668" s="5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52"/>
      <c r="R669" s="52"/>
      <c r="S669" s="52"/>
      <c r="T669" s="5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52"/>
      <c r="R670" s="52"/>
      <c r="S670" s="52"/>
      <c r="T670" s="5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52"/>
      <c r="R671" s="52"/>
      <c r="S671" s="52"/>
      <c r="T671" s="5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52"/>
      <c r="R672" s="52"/>
      <c r="S672" s="52"/>
      <c r="T672" s="5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52"/>
      <c r="R673" s="52"/>
      <c r="S673" s="52"/>
      <c r="T673" s="5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52"/>
      <c r="R674" s="52"/>
      <c r="S674" s="52"/>
      <c r="T674" s="5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"/>
      <c r="R675" s="52"/>
      <c r="S675" s="52"/>
      <c r="T675" s="5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8"/>
      <c r="R677" s="78"/>
      <c r="S677" s="78"/>
      <c r="T677" s="78"/>
      <c r="U677" s="79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7"/>
      <c r="R679" s="78"/>
      <c r="S679" s="78"/>
      <c r="T679" s="80"/>
      <c r="U679" s="80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52"/>
      <c r="R681" s="52"/>
      <c r="S681" s="52"/>
      <c r="T681" s="52"/>
      <c r="U681" s="5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5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</sheetData>
  <mergeCells count="12">
    <mergeCell ref="A297:A298"/>
    <mergeCell ref="A300:F300"/>
    <mergeCell ref="A310:F310"/>
    <mergeCell ref="U350:W350"/>
    <mergeCell ref="U385:W385"/>
    <mergeCell ref="I3:K3"/>
    <mergeCell ref="I37:K37"/>
    <mergeCell ref="I64:K64"/>
    <mergeCell ref="I78:K78"/>
    <mergeCell ref="I181:K181"/>
    <mergeCell ref="A292:B292"/>
    <mergeCell ref="U296:W296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169</v>
      </c>
      <c r="B3" s="5"/>
      <c r="C3" s="5"/>
      <c r="D3" s="6"/>
      <c r="E3" s="6" t="s">
        <v>170</v>
      </c>
      <c r="F3" s="7">
        <v>46056.0</v>
      </c>
      <c r="G3" s="6"/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1.0</v>
      </c>
      <c r="B6" s="12" t="s">
        <v>5</v>
      </c>
      <c r="C6" s="14" t="s">
        <v>104</v>
      </c>
      <c r="D6" s="15">
        <v>1500.0</v>
      </c>
      <c r="E6" s="15">
        <f t="shared" ref="E6:E29" si="1">A6*D6</f>
        <v>1500</v>
      </c>
      <c r="F6" s="15">
        <f t="shared" ref="F6:F29" si="2">E6*1.105</f>
        <v>1657.5</v>
      </c>
      <c r="G6" s="3"/>
      <c r="H6" s="3" t="s">
        <v>13</v>
      </c>
      <c r="I6" s="16">
        <v>1000.0</v>
      </c>
      <c r="J6" s="15">
        <f t="shared" ref="J6:J29" si="3">I6*A6</f>
        <v>1000</v>
      </c>
      <c r="K6" s="15">
        <f t="shared" ref="K6:K29" si="4">F6-J6</f>
        <v>657.5</v>
      </c>
      <c r="L6" s="4"/>
      <c r="M6" s="20"/>
      <c r="N6" s="21"/>
      <c r="P6" s="21"/>
      <c r="Q6" s="21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3.0</v>
      </c>
      <c r="B7" s="12" t="s">
        <v>11</v>
      </c>
      <c r="C7" s="14" t="s">
        <v>17</v>
      </c>
      <c r="D7" s="15">
        <v>5500.0</v>
      </c>
      <c r="E7" s="15">
        <f t="shared" si="1"/>
        <v>16500</v>
      </c>
      <c r="F7" s="15">
        <f t="shared" si="2"/>
        <v>18232.5</v>
      </c>
      <c r="G7" s="3"/>
      <c r="H7" s="3" t="s">
        <v>13</v>
      </c>
      <c r="I7" s="16">
        <v>4000.0</v>
      </c>
      <c r="J7" s="15">
        <f t="shared" si="3"/>
        <v>12000</v>
      </c>
      <c r="K7" s="15">
        <f t="shared" si="4"/>
        <v>6232.5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3.0</v>
      </c>
      <c r="B8" s="12" t="s">
        <v>11</v>
      </c>
      <c r="C8" s="14" t="s">
        <v>171</v>
      </c>
      <c r="D8" s="15">
        <v>3000.0</v>
      </c>
      <c r="E8" s="15">
        <f t="shared" si="1"/>
        <v>9000</v>
      </c>
      <c r="F8" s="15">
        <f t="shared" si="2"/>
        <v>9945</v>
      </c>
      <c r="G8" s="3"/>
      <c r="H8" s="3"/>
      <c r="I8" s="16">
        <v>2000.0</v>
      </c>
      <c r="J8" s="15">
        <f t="shared" si="3"/>
        <v>6000</v>
      </c>
      <c r="K8" s="15">
        <f t="shared" si="4"/>
        <v>3945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3.0</v>
      </c>
      <c r="B9" s="12" t="s">
        <v>11</v>
      </c>
      <c r="C9" s="14" t="s">
        <v>172</v>
      </c>
      <c r="D9" s="15">
        <v>3000.0</v>
      </c>
      <c r="E9" s="15">
        <f t="shared" si="1"/>
        <v>9000</v>
      </c>
      <c r="F9" s="15">
        <f t="shared" si="2"/>
        <v>9945</v>
      </c>
      <c r="G9" s="3"/>
      <c r="H9" s="3" t="s">
        <v>13</v>
      </c>
      <c r="I9" s="16">
        <v>2000.0</v>
      </c>
      <c r="J9" s="15">
        <f t="shared" si="3"/>
        <v>6000</v>
      </c>
      <c r="K9" s="15">
        <f t="shared" si="4"/>
        <v>3945</v>
      </c>
      <c r="L9" s="4"/>
      <c r="M9" s="17"/>
      <c r="N9" s="18"/>
      <c r="O9" s="19"/>
      <c r="P9" s="18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3.0</v>
      </c>
      <c r="B10" s="12" t="s">
        <v>33</v>
      </c>
      <c r="C10" s="14" t="s">
        <v>24</v>
      </c>
      <c r="D10" s="15">
        <v>4000.0</v>
      </c>
      <c r="E10" s="15">
        <f t="shared" si="1"/>
        <v>12000</v>
      </c>
      <c r="F10" s="15">
        <f t="shared" si="2"/>
        <v>13260</v>
      </c>
      <c r="G10" s="3"/>
      <c r="H10" s="3" t="s">
        <v>13</v>
      </c>
      <c r="I10" s="16">
        <f>25000/8</f>
        <v>3125</v>
      </c>
      <c r="J10" s="15">
        <f t="shared" si="3"/>
        <v>9375</v>
      </c>
      <c r="K10" s="15">
        <f t="shared" si="4"/>
        <v>3885</v>
      </c>
      <c r="L10" s="4"/>
      <c r="M10" s="20"/>
      <c r="N10" s="18"/>
      <c r="O10" s="19"/>
      <c r="P10" s="21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2.0</v>
      </c>
      <c r="B11" s="12" t="s">
        <v>33</v>
      </c>
      <c r="C11" s="14" t="s">
        <v>25</v>
      </c>
      <c r="D11" s="15">
        <v>2700.0</v>
      </c>
      <c r="E11" s="15">
        <f t="shared" si="1"/>
        <v>5400</v>
      </c>
      <c r="F11" s="15">
        <f t="shared" si="2"/>
        <v>5967</v>
      </c>
      <c r="G11" s="3"/>
      <c r="H11" s="3" t="s">
        <v>13</v>
      </c>
      <c r="I11" s="16">
        <f>13000/8</f>
        <v>1625</v>
      </c>
      <c r="J11" s="15">
        <f t="shared" si="3"/>
        <v>3250</v>
      </c>
      <c r="K11" s="15">
        <f t="shared" si="4"/>
        <v>2717</v>
      </c>
      <c r="L11" s="4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33</v>
      </c>
      <c r="C12" s="14" t="s">
        <v>26</v>
      </c>
      <c r="D12" s="15">
        <v>4000.0</v>
      </c>
      <c r="E12" s="15">
        <f t="shared" si="1"/>
        <v>8000</v>
      </c>
      <c r="F12" s="15">
        <f t="shared" si="2"/>
        <v>8840</v>
      </c>
      <c r="G12" s="3"/>
      <c r="H12" s="3" t="s">
        <v>13</v>
      </c>
      <c r="I12" s="16">
        <f>25000/8</f>
        <v>3125</v>
      </c>
      <c r="J12" s="15">
        <f t="shared" si="3"/>
        <v>6250</v>
      </c>
      <c r="K12" s="15">
        <f t="shared" si="4"/>
        <v>2590</v>
      </c>
      <c r="L12" s="4"/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2.0</v>
      </c>
      <c r="B13" s="12" t="s">
        <v>33</v>
      </c>
      <c r="C13" s="14" t="s">
        <v>173</v>
      </c>
      <c r="D13" s="15">
        <v>1500.0</v>
      </c>
      <c r="E13" s="15">
        <f t="shared" si="1"/>
        <v>3000</v>
      </c>
      <c r="F13" s="15">
        <f t="shared" si="2"/>
        <v>3315</v>
      </c>
      <c r="G13" s="3"/>
      <c r="H13" s="3" t="s">
        <v>13</v>
      </c>
      <c r="I13" s="16">
        <f>8000/15</f>
        <v>533.3333333</v>
      </c>
      <c r="J13" s="15">
        <f t="shared" si="3"/>
        <v>1066.666667</v>
      </c>
      <c r="K13" s="15">
        <f t="shared" si="4"/>
        <v>2248.333333</v>
      </c>
      <c r="L13" s="4"/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3.0</v>
      </c>
      <c r="B14" s="12" t="s">
        <v>33</v>
      </c>
      <c r="C14" s="14" t="s">
        <v>174</v>
      </c>
      <c r="D14" s="15">
        <v>1600.0</v>
      </c>
      <c r="E14" s="15">
        <f t="shared" si="1"/>
        <v>4800</v>
      </c>
      <c r="F14" s="15">
        <f t="shared" si="2"/>
        <v>5304</v>
      </c>
      <c r="G14" s="3"/>
      <c r="H14" s="3"/>
      <c r="I14" s="16">
        <v>1000.0</v>
      </c>
      <c r="J14" s="15">
        <f t="shared" si="3"/>
        <v>3000</v>
      </c>
      <c r="K14" s="15">
        <f t="shared" si="4"/>
        <v>2304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2.0</v>
      </c>
      <c r="B15" s="12" t="s">
        <v>33</v>
      </c>
      <c r="C15" s="14" t="s">
        <v>175</v>
      </c>
      <c r="D15" s="15">
        <v>800.0</v>
      </c>
      <c r="E15" s="15">
        <f t="shared" si="1"/>
        <v>1600</v>
      </c>
      <c r="F15" s="15">
        <f t="shared" si="2"/>
        <v>1768</v>
      </c>
      <c r="G15" s="3"/>
      <c r="H15" s="3" t="s">
        <v>13</v>
      </c>
      <c r="I15" s="16">
        <f>10000/17</f>
        <v>588.2352941</v>
      </c>
      <c r="J15" s="15">
        <f t="shared" si="3"/>
        <v>1176.470588</v>
      </c>
      <c r="K15" s="15">
        <f t="shared" si="4"/>
        <v>591.5294118</v>
      </c>
      <c r="L15" s="4"/>
      <c r="M15" s="17"/>
      <c r="N15" s="18"/>
      <c r="O15" s="19"/>
      <c r="P15" s="18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5.0</v>
      </c>
      <c r="B16" s="12" t="s">
        <v>5</v>
      </c>
      <c r="C16" s="14" t="s">
        <v>176</v>
      </c>
      <c r="D16" s="15">
        <v>900.0</v>
      </c>
      <c r="E16" s="15">
        <f t="shared" si="1"/>
        <v>4500</v>
      </c>
      <c r="F16" s="15">
        <f t="shared" si="2"/>
        <v>4972.5</v>
      </c>
      <c r="G16" s="3"/>
      <c r="H16" s="3" t="s">
        <v>13</v>
      </c>
      <c r="I16" s="16">
        <v>560.0</v>
      </c>
      <c r="J16" s="15">
        <f t="shared" si="3"/>
        <v>2800</v>
      </c>
      <c r="K16" s="15">
        <f t="shared" si="4"/>
        <v>2172.5</v>
      </c>
      <c r="L16" s="4"/>
      <c r="M16" s="20"/>
      <c r="N16" s="18"/>
      <c r="O16" s="19"/>
      <c r="P16" s="21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3.0</v>
      </c>
      <c r="B17" s="12" t="s">
        <v>33</v>
      </c>
      <c r="C17" s="14" t="s">
        <v>177</v>
      </c>
      <c r="D17" s="15">
        <v>1300.0</v>
      </c>
      <c r="E17" s="15">
        <f t="shared" si="1"/>
        <v>3900</v>
      </c>
      <c r="F17" s="15">
        <f t="shared" si="2"/>
        <v>4309.5</v>
      </c>
      <c r="G17" s="3"/>
      <c r="H17" s="3" t="s">
        <v>13</v>
      </c>
      <c r="I17" s="16">
        <f t="shared" ref="I17:I18" si="5">12000/15</f>
        <v>800</v>
      </c>
      <c r="J17" s="15">
        <f t="shared" si="3"/>
        <v>2400</v>
      </c>
      <c r="K17" s="15">
        <f t="shared" si="4"/>
        <v>1909.5</v>
      </c>
      <c r="L17" s="4"/>
      <c r="M17" s="20"/>
      <c r="N17" s="18"/>
      <c r="O17" s="19"/>
      <c r="P17" s="21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2.0</v>
      </c>
      <c r="B18" s="12" t="s">
        <v>33</v>
      </c>
      <c r="C18" s="14" t="s">
        <v>178</v>
      </c>
      <c r="D18" s="15">
        <v>1500.0</v>
      </c>
      <c r="E18" s="15">
        <f t="shared" si="1"/>
        <v>3000</v>
      </c>
      <c r="F18" s="15">
        <f t="shared" si="2"/>
        <v>3315</v>
      </c>
      <c r="G18" s="3"/>
      <c r="H18" s="3" t="s">
        <v>13</v>
      </c>
      <c r="I18" s="16">
        <f t="shared" si="5"/>
        <v>800</v>
      </c>
      <c r="J18" s="15">
        <f t="shared" si="3"/>
        <v>1600</v>
      </c>
      <c r="K18" s="15">
        <f t="shared" si="4"/>
        <v>1715</v>
      </c>
      <c r="L18" s="4"/>
      <c r="M18" s="20"/>
      <c r="N18" s="18"/>
      <c r="O18" s="19"/>
      <c r="P18" s="21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0.5</v>
      </c>
      <c r="B19" s="12" t="s">
        <v>38</v>
      </c>
      <c r="C19" s="14" t="s">
        <v>179</v>
      </c>
      <c r="D19" s="15">
        <v>20000.0</v>
      </c>
      <c r="E19" s="15">
        <f t="shared" si="1"/>
        <v>10000</v>
      </c>
      <c r="F19" s="15">
        <f t="shared" si="2"/>
        <v>11050</v>
      </c>
      <c r="G19" s="3"/>
      <c r="H19" s="3"/>
      <c r="I19" s="16">
        <v>18500.0</v>
      </c>
      <c r="J19" s="15">
        <f t="shared" si="3"/>
        <v>9250</v>
      </c>
      <c r="K19" s="15">
        <f t="shared" si="4"/>
        <v>1800</v>
      </c>
      <c r="L19" s="4"/>
      <c r="M19" s="20"/>
      <c r="N19" s="21"/>
      <c r="P19" s="21"/>
      <c r="Q19" s="21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5.0</v>
      </c>
      <c r="B20" s="12" t="s">
        <v>33</v>
      </c>
      <c r="C20" s="14" t="s">
        <v>180</v>
      </c>
      <c r="D20" s="15">
        <v>1400.0</v>
      </c>
      <c r="E20" s="15">
        <f t="shared" si="1"/>
        <v>7000</v>
      </c>
      <c r="F20" s="15">
        <f t="shared" si="2"/>
        <v>7735</v>
      </c>
      <c r="G20" s="3"/>
      <c r="H20" s="3"/>
      <c r="I20" s="16">
        <v>1000.0</v>
      </c>
      <c r="J20" s="15">
        <f t="shared" si="3"/>
        <v>5000</v>
      </c>
      <c r="K20" s="15">
        <f t="shared" si="4"/>
        <v>2735</v>
      </c>
      <c r="L20" s="4"/>
      <c r="M20" s="20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1.0</v>
      </c>
      <c r="B21" s="12" t="s">
        <v>181</v>
      </c>
      <c r="C21" s="14" t="s">
        <v>182</v>
      </c>
      <c r="D21" s="15">
        <v>6000.0</v>
      </c>
      <c r="E21" s="15">
        <f t="shared" si="1"/>
        <v>6000</v>
      </c>
      <c r="F21" s="15">
        <f t="shared" si="2"/>
        <v>6630</v>
      </c>
      <c r="G21" s="3"/>
      <c r="H21" s="3"/>
      <c r="I21" s="16">
        <v>4500.0</v>
      </c>
      <c r="J21" s="15">
        <f t="shared" si="3"/>
        <v>4500</v>
      </c>
      <c r="K21" s="15">
        <f t="shared" si="4"/>
        <v>2130</v>
      </c>
      <c r="L21" s="4"/>
      <c r="M21" s="20"/>
      <c r="N21" s="21"/>
      <c r="P21" s="21"/>
      <c r="Q21" s="21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0.5</v>
      </c>
      <c r="B22" s="12" t="s">
        <v>33</v>
      </c>
      <c r="C22" s="14" t="s">
        <v>183</v>
      </c>
      <c r="D22" s="15">
        <v>22000.0</v>
      </c>
      <c r="E22" s="15">
        <f t="shared" si="1"/>
        <v>11000</v>
      </c>
      <c r="F22" s="15">
        <f t="shared" si="2"/>
        <v>12155</v>
      </c>
      <c r="G22" s="3"/>
      <c r="H22" s="3"/>
      <c r="I22" s="16">
        <v>20000.0</v>
      </c>
      <c r="J22" s="15">
        <f t="shared" si="3"/>
        <v>10000</v>
      </c>
      <c r="K22" s="15">
        <f t="shared" si="4"/>
        <v>2155</v>
      </c>
      <c r="L22" s="4"/>
      <c r="M22" s="20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1.0</v>
      </c>
      <c r="B23" s="12" t="s">
        <v>33</v>
      </c>
      <c r="C23" s="14" t="s">
        <v>184</v>
      </c>
      <c r="D23" s="15">
        <v>26000.0</v>
      </c>
      <c r="E23" s="15">
        <f t="shared" si="1"/>
        <v>26000</v>
      </c>
      <c r="F23" s="15">
        <f t="shared" si="2"/>
        <v>28730</v>
      </c>
      <c r="G23" s="3"/>
      <c r="H23" s="3"/>
      <c r="I23" s="16">
        <v>22000.0</v>
      </c>
      <c r="J23" s="15">
        <f t="shared" si="3"/>
        <v>22000</v>
      </c>
      <c r="K23" s="15">
        <f t="shared" si="4"/>
        <v>6730</v>
      </c>
      <c r="L23" s="4"/>
      <c r="M23" s="20"/>
      <c r="N23" s="21"/>
      <c r="P23" s="21"/>
      <c r="Q23" s="21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0.5</v>
      </c>
      <c r="B24" s="12" t="s">
        <v>33</v>
      </c>
      <c r="C24" s="14" t="s">
        <v>185</v>
      </c>
      <c r="D24" s="15">
        <v>12000.0</v>
      </c>
      <c r="E24" s="15">
        <f t="shared" si="1"/>
        <v>6000</v>
      </c>
      <c r="F24" s="15">
        <f t="shared" si="2"/>
        <v>6630</v>
      </c>
      <c r="G24" s="6"/>
      <c r="H24" s="3"/>
      <c r="I24" s="16">
        <v>8000.0</v>
      </c>
      <c r="J24" s="15">
        <f t="shared" si="3"/>
        <v>4000</v>
      </c>
      <c r="K24" s="15">
        <f t="shared" si="4"/>
        <v>2630</v>
      </c>
      <c r="L24" s="4"/>
      <c r="M24" s="20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>
        <v>0.5</v>
      </c>
      <c r="B25" s="12" t="s">
        <v>33</v>
      </c>
      <c r="C25" s="14" t="s">
        <v>186</v>
      </c>
      <c r="D25" s="15">
        <v>12000.0</v>
      </c>
      <c r="E25" s="15">
        <f t="shared" si="1"/>
        <v>6000</v>
      </c>
      <c r="F25" s="15">
        <f t="shared" si="2"/>
        <v>6630</v>
      </c>
      <c r="G25" s="6"/>
      <c r="H25" s="3" t="s">
        <v>13</v>
      </c>
      <c r="I25" s="16">
        <v>7000.0</v>
      </c>
      <c r="J25" s="15">
        <f t="shared" si="3"/>
        <v>3500</v>
      </c>
      <c r="K25" s="15">
        <f t="shared" si="4"/>
        <v>3130</v>
      </c>
      <c r="L25" s="4"/>
      <c r="M25" s="17"/>
      <c r="N25" s="18"/>
      <c r="O25" s="19"/>
      <c r="P25" s="18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>
        <v>0.25</v>
      </c>
      <c r="B26" s="12" t="s">
        <v>33</v>
      </c>
      <c r="C26" s="14" t="s">
        <v>187</v>
      </c>
      <c r="D26" s="15">
        <v>50000.0</v>
      </c>
      <c r="E26" s="15">
        <f t="shared" si="1"/>
        <v>12500</v>
      </c>
      <c r="F26" s="15">
        <f t="shared" si="2"/>
        <v>13812.5</v>
      </c>
      <c r="G26" s="6"/>
      <c r="H26" s="3" t="s">
        <v>13</v>
      </c>
      <c r="I26" s="16">
        <v>40000.0</v>
      </c>
      <c r="J26" s="15">
        <f t="shared" si="3"/>
        <v>10000</v>
      </c>
      <c r="K26" s="15">
        <f t="shared" si="4"/>
        <v>3812.5</v>
      </c>
      <c r="L26" s="4"/>
      <c r="M26" s="20"/>
      <c r="N26" s="18"/>
      <c r="O26" s="19"/>
      <c r="P26" s="21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3">
        <v>1.0</v>
      </c>
      <c r="B27" s="12" t="s">
        <v>38</v>
      </c>
      <c r="C27" s="14" t="s">
        <v>188</v>
      </c>
      <c r="D27" s="15">
        <v>3000.0</v>
      </c>
      <c r="E27" s="15">
        <f t="shared" si="1"/>
        <v>3000</v>
      </c>
      <c r="F27" s="15">
        <f t="shared" si="2"/>
        <v>3315</v>
      </c>
      <c r="G27" s="6"/>
      <c r="H27" s="3"/>
      <c r="I27" s="16">
        <v>2000.0</v>
      </c>
      <c r="J27" s="15">
        <f t="shared" si="3"/>
        <v>2000</v>
      </c>
      <c r="K27" s="15">
        <f t="shared" si="4"/>
        <v>1315</v>
      </c>
      <c r="L27" s="4"/>
      <c r="M27" s="20"/>
      <c r="N27" s="21"/>
      <c r="P27" s="21"/>
      <c r="Q27" s="21"/>
      <c r="R27" s="2"/>
      <c r="S27" s="3"/>
      <c r="T27" s="3"/>
      <c r="U27" s="1"/>
      <c r="V27" s="3"/>
      <c r="W27" s="3"/>
      <c r="X27" s="3"/>
      <c r="Y27" s="3"/>
      <c r="Z27" s="3"/>
    </row>
    <row r="28">
      <c r="A28" s="13">
        <v>0.6</v>
      </c>
      <c r="B28" s="12" t="s">
        <v>33</v>
      </c>
      <c r="C28" s="14" t="s">
        <v>189</v>
      </c>
      <c r="D28" s="15">
        <v>23000.0</v>
      </c>
      <c r="E28" s="15">
        <f t="shared" si="1"/>
        <v>13800</v>
      </c>
      <c r="F28" s="15">
        <f t="shared" si="2"/>
        <v>15249</v>
      </c>
      <c r="G28" s="6"/>
      <c r="H28" s="3"/>
      <c r="I28" s="16">
        <v>18000.0</v>
      </c>
      <c r="J28" s="15">
        <f t="shared" si="3"/>
        <v>10800</v>
      </c>
      <c r="K28" s="15">
        <f t="shared" si="4"/>
        <v>4449</v>
      </c>
      <c r="L28" s="4"/>
      <c r="M28" s="20"/>
      <c r="N28" s="21"/>
      <c r="P28" s="21"/>
      <c r="Q28" s="21"/>
      <c r="R28" s="2"/>
      <c r="S28" s="3"/>
      <c r="T28" s="3"/>
      <c r="U28" s="1"/>
      <c r="V28" s="3"/>
      <c r="W28" s="3"/>
      <c r="X28" s="3"/>
      <c r="Y28" s="3"/>
      <c r="Z28" s="3"/>
    </row>
    <row r="29">
      <c r="A29" s="13">
        <v>4.0</v>
      </c>
      <c r="B29" s="12" t="s">
        <v>11</v>
      </c>
      <c r="C29" s="14" t="s">
        <v>89</v>
      </c>
      <c r="D29" s="15">
        <v>6000.0</v>
      </c>
      <c r="E29" s="15">
        <f t="shared" si="1"/>
        <v>24000</v>
      </c>
      <c r="F29" s="15">
        <f t="shared" si="2"/>
        <v>26520</v>
      </c>
      <c r="G29" s="6"/>
      <c r="H29" s="3"/>
      <c r="I29" s="16">
        <v>4000.0</v>
      </c>
      <c r="J29" s="15">
        <f t="shared" si="3"/>
        <v>16000</v>
      </c>
      <c r="K29" s="15">
        <f t="shared" si="4"/>
        <v>10520</v>
      </c>
      <c r="L29" s="4"/>
      <c r="M29" s="20"/>
      <c r="N29" s="21"/>
      <c r="P29" s="21"/>
      <c r="Q29" s="21"/>
      <c r="R29" s="2"/>
      <c r="S29" s="3"/>
      <c r="T29" s="3"/>
      <c r="U29" s="1"/>
      <c r="V29" s="3"/>
      <c r="W29" s="3"/>
      <c r="X29" s="3"/>
      <c r="Y29" s="3"/>
      <c r="Z29" s="3"/>
    </row>
    <row r="30">
      <c r="A30" s="13"/>
      <c r="B30" s="12"/>
      <c r="C30" s="14"/>
      <c r="D30" s="15"/>
      <c r="E30" s="3"/>
      <c r="F30" s="3"/>
      <c r="G30" s="3"/>
      <c r="H30" s="3"/>
      <c r="I30" s="3"/>
      <c r="J30" s="3"/>
      <c r="K30" s="3"/>
      <c r="L30" s="4"/>
      <c r="N30" s="21"/>
      <c r="P30" s="21"/>
      <c r="Q30" s="21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/>
      <c r="B31" s="12"/>
      <c r="C31" s="14"/>
      <c r="D31" s="15"/>
      <c r="E31" s="15">
        <f t="shared" ref="E31:F31" si="6">SUM(E6:E29)</f>
        <v>207500</v>
      </c>
      <c r="F31" s="15">
        <f t="shared" si="6"/>
        <v>229287.5</v>
      </c>
      <c r="G31" s="3"/>
      <c r="H31" s="3"/>
      <c r="I31" s="3"/>
      <c r="J31" s="3"/>
      <c r="K31" s="15">
        <f>SUM(K6:K29)</f>
        <v>76319.36275</v>
      </c>
      <c r="L31" s="23">
        <f>K31/F31</f>
        <v>0.3328544415</v>
      </c>
      <c r="M31" s="2"/>
      <c r="N31" s="21"/>
      <c r="P31" s="21"/>
      <c r="Q31" s="21"/>
      <c r="R31" s="2"/>
      <c r="S31" s="3"/>
      <c r="T31" s="3"/>
      <c r="U31" s="1"/>
      <c r="V31" s="3"/>
      <c r="W31" s="3"/>
      <c r="X31" s="3"/>
      <c r="Y31" s="3"/>
      <c r="Z31" s="3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/>
      <c r="N32" s="21"/>
      <c r="P32" s="21"/>
      <c r="Q32" s="21"/>
      <c r="R32" s="2"/>
      <c r="S32" s="3"/>
      <c r="T32" s="3"/>
      <c r="U32" s="1"/>
      <c r="V32" s="3"/>
      <c r="W32" s="3"/>
      <c r="X32" s="3"/>
      <c r="Y32" s="3"/>
      <c r="Z32" s="3"/>
    </row>
    <row r="33">
      <c r="A33" s="26" t="s">
        <v>60</v>
      </c>
      <c r="B33" s="27">
        <v>0.04</v>
      </c>
      <c r="C33" s="2"/>
      <c r="D33" s="3"/>
      <c r="E33" s="15">
        <f>E31*0.04</f>
        <v>8300</v>
      </c>
      <c r="F33" s="3"/>
      <c r="G33" s="2"/>
      <c r="H33" s="3"/>
      <c r="I33" s="3"/>
      <c r="J33" s="3"/>
      <c r="K33" s="3"/>
      <c r="L33" s="4"/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30"/>
      <c r="B34" s="31"/>
      <c r="C34" s="2"/>
      <c r="D34" s="3"/>
      <c r="E34" s="3"/>
      <c r="F34" s="3"/>
      <c r="G34" s="2"/>
      <c r="H34" s="2"/>
      <c r="I34" s="2"/>
      <c r="J34" s="2"/>
      <c r="K34" s="3"/>
      <c r="L34" s="4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24"/>
      <c r="B35" s="24"/>
      <c r="C35" s="24"/>
      <c r="D35" s="32"/>
      <c r="E35" s="7"/>
      <c r="F35" s="33"/>
      <c r="G35" s="25"/>
      <c r="H35" s="25"/>
      <c r="I35" s="16"/>
      <c r="J35" s="16"/>
      <c r="K35" s="16"/>
      <c r="L35" s="34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24" t="s">
        <v>190</v>
      </c>
      <c r="B36" s="24"/>
      <c r="C36" s="24"/>
      <c r="D36" s="32" t="s">
        <v>62</v>
      </c>
      <c r="E36" s="7">
        <v>46056.0</v>
      </c>
      <c r="F36" s="33" t="s">
        <v>13</v>
      </c>
      <c r="G36" s="25"/>
      <c r="H36" s="25"/>
      <c r="I36" s="16"/>
      <c r="J36" s="16"/>
      <c r="K36" s="16"/>
      <c r="L36" s="34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B37" s="25"/>
      <c r="C37" s="35"/>
      <c r="D37" s="25"/>
      <c r="E37" s="25"/>
      <c r="F37" s="25"/>
      <c r="G37" s="25"/>
      <c r="H37" s="25"/>
      <c r="I37" s="16"/>
      <c r="J37" s="16"/>
      <c r="K37" s="16"/>
      <c r="L37" s="3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5" t="s">
        <v>4</v>
      </c>
      <c r="B38" s="10" t="s">
        <v>5</v>
      </c>
      <c r="C38" s="11" t="s">
        <v>6</v>
      </c>
      <c r="D38" s="12" t="s">
        <v>7</v>
      </c>
      <c r="E38" s="10" t="s">
        <v>8</v>
      </c>
      <c r="F38" s="12"/>
      <c r="G38" s="25"/>
      <c r="H38" s="25"/>
      <c r="I38" s="12" t="s">
        <v>7</v>
      </c>
      <c r="J38" s="12" t="s">
        <v>8</v>
      </c>
      <c r="K38" s="12" t="s">
        <v>10</v>
      </c>
      <c r="L38" s="34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2.0</v>
      </c>
      <c r="B39" s="12" t="s">
        <v>18</v>
      </c>
      <c r="C39" s="14" t="s">
        <v>191</v>
      </c>
      <c r="D39" s="15">
        <v>13000.0</v>
      </c>
      <c r="E39" s="15">
        <f t="shared" ref="E39:E45" si="7">A39*D39</f>
        <v>26000</v>
      </c>
      <c r="F39" s="16"/>
      <c r="G39" s="25"/>
      <c r="H39" s="25"/>
      <c r="I39" s="15">
        <v>8000.0</v>
      </c>
      <c r="J39" s="16">
        <f t="shared" ref="J39:J45" si="8">I39*A39</f>
        <v>16000</v>
      </c>
      <c r="K39" s="16">
        <f t="shared" ref="K39:K45" si="9">E39-J39</f>
        <v>10000</v>
      </c>
      <c r="L39" s="36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1.0</v>
      </c>
      <c r="B40" s="12" t="s">
        <v>18</v>
      </c>
      <c r="C40" s="14" t="s">
        <v>192</v>
      </c>
      <c r="D40" s="15">
        <v>13000.0</v>
      </c>
      <c r="E40" s="15">
        <f t="shared" si="7"/>
        <v>13000</v>
      </c>
      <c r="F40" s="16"/>
      <c r="G40" s="25"/>
      <c r="H40" s="37" t="s">
        <v>193</v>
      </c>
      <c r="I40" s="16">
        <v>0.0</v>
      </c>
      <c r="J40" s="16">
        <f t="shared" si="8"/>
        <v>0</v>
      </c>
      <c r="K40" s="16">
        <f t="shared" si="9"/>
        <v>13000</v>
      </c>
      <c r="L40" s="36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2.0</v>
      </c>
      <c r="B41" s="12" t="s">
        <v>18</v>
      </c>
      <c r="C41" s="14" t="s">
        <v>23</v>
      </c>
      <c r="D41" s="15">
        <v>13000.0</v>
      </c>
      <c r="E41" s="15">
        <f t="shared" si="7"/>
        <v>26000</v>
      </c>
      <c r="F41" s="16"/>
      <c r="G41" s="25"/>
      <c r="H41" s="25"/>
      <c r="I41" s="15">
        <v>7000.0</v>
      </c>
      <c r="J41" s="16">
        <f t="shared" si="8"/>
        <v>14000</v>
      </c>
      <c r="K41" s="16">
        <f t="shared" si="9"/>
        <v>12000</v>
      </c>
      <c r="L41" s="36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2.0</v>
      </c>
      <c r="B42" s="12" t="s">
        <v>18</v>
      </c>
      <c r="C42" s="14" t="s">
        <v>194</v>
      </c>
      <c r="D42" s="15">
        <v>13000.0</v>
      </c>
      <c r="E42" s="15">
        <f t="shared" si="7"/>
        <v>26000</v>
      </c>
      <c r="F42" s="16"/>
      <c r="G42" s="25"/>
      <c r="H42" s="25"/>
      <c r="I42" s="15">
        <v>10000.0</v>
      </c>
      <c r="J42" s="16">
        <f t="shared" si="8"/>
        <v>20000</v>
      </c>
      <c r="K42" s="16">
        <f t="shared" si="9"/>
        <v>6000</v>
      </c>
      <c r="L42" s="36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2.0</v>
      </c>
      <c r="B43" s="12" t="s">
        <v>18</v>
      </c>
      <c r="C43" s="14" t="s">
        <v>195</v>
      </c>
      <c r="D43" s="15">
        <v>10000.0</v>
      </c>
      <c r="E43" s="15">
        <f t="shared" si="7"/>
        <v>20000</v>
      </c>
      <c r="F43" s="16"/>
      <c r="G43" s="25"/>
      <c r="H43" s="25"/>
      <c r="I43" s="16">
        <v>6000.0</v>
      </c>
      <c r="J43" s="16">
        <f t="shared" si="8"/>
        <v>12000</v>
      </c>
      <c r="K43" s="16">
        <f t="shared" si="9"/>
        <v>8000</v>
      </c>
      <c r="L43" s="29" t="s">
        <v>13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>
        <v>2.0</v>
      </c>
      <c r="B44" s="12" t="s">
        <v>18</v>
      </c>
      <c r="C44" s="14" t="s">
        <v>65</v>
      </c>
      <c r="D44" s="15">
        <v>7500.0</v>
      </c>
      <c r="E44" s="15">
        <f t="shared" si="7"/>
        <v>15000</v>
      </c>
      <c r="F44" s="16"/>
      <c r="G44" s="25"/>
      <c r="H44" s="25"/>
      <c r="I44" s="15">
        <v>6000.0</v>
      </c>
      <c r="J44" s="16">
        <f t="shared" si="8"/>
        <v>12000</v>
      </c>
      <c r="K44" s="16">
        <f t="shared" si="9"/>
        <v>3000</v>
      </c>
      <c r="L44" s="29" t="s">
        <v>13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>
        <v>1.0</v>
      </c>
      <c r="B45" s="12" t="s">
        <v>18</v>
      </c>
      <c r="C45" s="14" t="s">
        <v>196</v>
      </c>
      <c r="D45" s="15">
        <v>23000.0</v>
      </c>
      <c r="E45" s="15">
        <f t="shared" si="7"/>
        <v>23000</v>
      </c>
      <c r="F45" s="16"/>
      <c r="G45" s="37"/>
      <c r="H45" s="25"/>
      <c r="I45" s="16">
        <v>15000.0</v>
      </c>
      <c r="J45" s="16">
        <f t="shared" si="8"/>
        <v>15000</v>
      </c>
      <c r="K45" s="16">
        <f t="shared" si="9"/>
        <v>8000</v>
      </c>
      <c r="L45" s="29" t="s">
        <v>13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3"/>
      <c r="B46" s="12"/>
      <c r="C46" s="14"/>
      <c r="D46" s="15"/>
      <c r="E46" s="16"/>
      <c r="F46" s="16"/>
      <c r="G46" s="25"/>
      <c r="H46" s="25"/>
      <c r="I46" s="16"/>
      <c r="J46" s="16"/>
      <c r="K46" s="16"/>
      <c r="L46" s="36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3"/>
      <c r="B47" s="12"/>
      <c r="C47" s="14"/>
      <c r="D47" s="15"/>
      <c r="E47" s="16">
        <f>SUM(E39:E45)</f>
        <v>149000</v>
      </c>
      <c r="F47" s="16"/>
      <c r="G47" s="25"/>
      <c r="H47" s="25"/>
      <c r="I47" s="16"/>
      <c r="J47" s="16"/>
      <c r="K47" s="16">
        <f>SUM(K39:K45)</f>
        <v>60000</v>
      </c>
      <c r="L47" s="36">
        <f>K47/E47</f>
        <v>0.4026845638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30"/>
      <c r="B48" s="31"/>
      <c r="C48" s="2"/>
      <c r="D48" s="3"/>
      <c r="E48" s="3"/>
      <c r="F48" s="3"/>
      <c r="G48" s="2"/>
      <c r="H48" s="2"/>
      <c r="I48" s="2"/>
      <c r="J48" s="2"/>
      <c r="K48" s="3"/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21"/>
      <c r="P49" s="21"/>
      <c r="Q49" s="21"/>
      <c r="R49" s="2"/>
      <c r="S49" s="3"/>
      <c r="T49" s="3"/>
      <c r="U49" s="1"/>
      <c r="V49" s="3"/>
      <c r="W49" s="3"/>
      <c r="X49" s="3"/>
      <c r="Y49" s="3"/>
      <c r="Z49" s="3"/>
    </row>
    <row r="50">
      <c r="A50" s="30"/>
      <c r="B50" s="31"/>
      <c r="C50" s="2"/>
      <c r="D50" s="3"/>
      <c r="E50" s="3"/>
      <c r="F50" s="3"/>
      <c r="G50" s="2"/>
      <c r="H50" s="2"/>
      <c r="I50" s="2"/>
      <c r="J50" s="2"/>
      <c r="K50" s="3"/>
      <c r="L50" s="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24" t="s">
        <v>197</v>
      </c>
      <c r="B51" s="24"/>
      <c r="C51" s="24"/>
      <c r="D51" s="32" t="s">
        <v>198</v>
      </c>
      <c r="E51" s="7">
        <v>46056.0</v>
      </c>
      <c r="F51" s="33" t="s">
        <v>13</v>
      </c>
      <c r="G51" s="25"/>
      <c r="H51" s="25"/>
      <c r="I51" s="16"/>
      <c r="J51" s="16"/>
      <c r="K51" s="16"/>
      <c r="L51" s="3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B52" s="25"/>
      <c r="C52" s="35"/>
      <c r="D52" s="25"/>
      <c r="E52" s="25"/>
      <c r="F52" s="25"/>
      <c r="G52" s="25"/>
      <c r="H52" s="25"/>
      <c r="I52" s="16"/>
      <c r="J52" s="16"/>
      <c r="K52" s="16"/>
      <c r="L52" s="34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5" t="s">
        <v>4</v>
      </c>
      <c r="B53" s="10" t="s">
        <v>5</v>
      </c>
      <c r="C53" s="11" t="s">
        <v>6</v>
      </c>
      <c r="D53" s="12" t="s">
        <v>7</v>
      </c>
      <c r="E53" s="10" t="s">
        <v>8</v>
      </c>
      <c r="F53" s="12"/>
      <c r="G53" s="25"/>
      <c r="H53" s="25"/>
      <c r="I53" s="12" t="s">
        <v>7</v>
      </c>
      <c r="J53" s="12" t="s">
        <v>8</v>
      </c>
      <c r="K53" s="12" t="s">
        <v>10</v>
      </c>
      <c r="L53" s="34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0.5</v>
      </c>
      <c r="B54" s="12" t="s">
        <v>50</v>
      </c>
      <c r="C54" s="14" t="s">
        <v>17</v>
      </c>
      <c r="D54" s="15">
        <v>5500.0</v>
      </c>
      <c r="E54" s="15">
        <f t="shared" ref="E54:E66" si="10">A54*D54</f>
        <v>2750</v>
      </c>
      <c r="F54" s="16"/>
      <c r="G54" s="25"/>
      <c r="H54" s="25"/>
      <c r="I54" s="16">
        <v>4000.0</v>
      </c>
      <c r="J54" s="16">
        <f t="shared" ref="J54:J66" si="11">I54*A54</f>
        <v>2000</v>
      </c>
      <c r="K54" s="16">
        <f t="shared" ref="K54:K66" si="12">E54-J54</f>
        <v>750</v>
      </c>
      <c r="L54" s="29" t="s">
        <v>13</v>
      </c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1.0</v>
      </c>
      <c r="B55" s="12" t="s">
        <v>33</v>
      </c>
      <c r="C55" s="14" t="s">
        <v>199</v>
      </c>
      <c r="D55" s="15">
        <v>20000.0</v>
      </c>
      <c r="E55" s="15">
        <f t="shared" si="10"/>
        <v>20000</v>
      </c>
      <c r="F55" s="16"/>
      <c r="G55" s="25"/>
      <c r="H55" s="25"/>
      <c r="I55" s="15">
        <v>18000.0</v>
      </c>
      <c r="J55" s="16">
        <f t="shared" si="11"/>
        <v>18000</v>
      </c>
      <c r="K55" s="16">
        <f t="shared" si="12"/>
        <v>2000</v>
      </c>
      <c r="L55" s="29" t="s">
        <v>13</v>
      </c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1.0</v>
      </c>
      <c r="B56" s="12" t="s">
        <v>29</v>
      </c>
      <c r="C56" s="14" t="s">
        <v>200</v>
      </c>
      <c r="D56" s="15">
        <v>28000.0</v>
      </c>
      <c r="E56" s="15">
        <f t="shared" si="10"/>
        <v>28000</v>
      </c>
      <c r="F56" s="16"/>
      <c r="G56" s="25"/>
      <c r="H56" s="25"/>
      <c r="I56" s="15">
        <v>24000.0</v>
      </c>
      <c r="J56" s="16">
        <f t="shared" si="11"/>
        <v>24000</v>
      </c>
      <c r="K56" s="16">
        <f t="shared" si="12"/>
        <v>4000</v>
      </c>
      <c r="L56" s="29" t="s">
        <v>13</v>
      </c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2.0</v>
      </c>
      <c r="B57" s="12" t="s">
        <v>33</v>
      </c>
      <c r="C57" s="14" t="s">
        <v>201</v>
      </c>
      <c r="D57" s="15">
        <v>4000.0</v>
      </c>
      <c r="E57" s="15">
        <f t="shared" si="10"/>
        <v>8000</v>
      </c>
      <c r="F57" s="16"/>
      <c r="G57" s="25"/>
      <c r="H57" s="25"/>
      <c r="I57" s="15">
        <f>25000/12</f>
        <v>2083.333333</v>
      </c>
      <c r="J57" s="16">
        <f t="shared" si="11"/>
        <v>4166.666667</v>
      </c>
      <c r="K57" s="16">
        <f t="shared" si="12"/>
        <v>3833.333333</v>
      </c>
      <c r="L57" s="29" t="s">
        <v>13</v>
      </c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1.0</v>
      </c>
      <c r="B58" s="12" t="s">
        <v>38</v>
      </c>
      <c r="C58" s="14" t="s">
        <v>67</v>
      </c>
      <c r="D58" s="15">
        <v>13000.0</v>
      </c>
      <c r="E58" s="15">
        <f t="shared" si="10"/>
        <v>13000</v>
      </c>
      <c r="F58" s="16"/>
      <c r="G58" s="25"/>
      <c r="H58" s="25"/>
      <c r="I58" s="16">
        <v>8000.0</v>
      </c>
      <c r="J58" s="16">
        <f t="shared" si="11"/>
        <v>8000</v>
      </c>
      <c r="K58" s="16">
        <f t="shared" si="12"/>
        <v>5000</v>
      </c>
      <c r="L58" s="29" t="s">
        <v>13</v>
      </c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2.0</v>
      </c>
      <c r="B59" s="12" t="s">
        <v>33</v>
      </c>
      <c r="C59" s="14" t="s">
        <v>202</v>
      </c>
      <c r="D59" s="15">
        <v>3500.0</v>
      </c>
      <c r="E59" s="15">
        <f t="shared" si="10"/>
        <v>7000</v>
      </c>
      <c r="F59" s="16"/>
      <c r="G59" s="25"/>
      <c r="H59" s="37" t="s">
        <v>13</v>
      </c>
      <c r="I59" s="15">
        <f>15000/8</f>
        <v>1875</v>
      </c>
      <c r="J59" s="16">
        <f t="shared" si="11"/>
        <v>3750</v>
      </c>
      <c r="K59" s="16">
        <f t="shared" si="12"/>
        <v>3250</v>
      </c>
      <c r="L59" s="29" t="s">
        <v>13</v>
      </c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1.0</v>
      </c>
      <c r="B60" s="12" t="s">
        <v>33</v>
      </c>
      <c r="C60" s="14" t="s">
        <v>203</v>
      </c>
      <c r="D60" s="15">
        <v>3500.0</v>
      </c>
      <c r="E60" s="15">
        <f t="shared" si="10"/>
        <v>3500</v>
      </c>
      <c r="F60" s="16"/>
      <c r="G60" s="25"/>
      <c r="H60" s="25"/>
      <c r="I60" s="16">
        <f>23000/8</f>
        <v>2875</v>
      </c>
      <c r="J60" s="16">
        <f t="shared" si="11"/>
        <v>2875</v>
      </c>
      <c r="K60" s="16">
        <f t="shared" si="12"/>
        <v>625</v>
      </c>
      <c r="L60" s="29" t="s">
        <v>13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2.0</v>
      </c>
      <c r="B61" s="12" t="s">
        <v>18</v>
      </c>
      <c r="C61" s="14" t="s">
        <v>32</v>
      </c>
      <c r="D61" s="15">
        <v>22000.0</v>
      </c>
      <c r="E61" s="15">
        <f t="shared" si="10"/>
        <v>44000</v>
      </c>
      <c r="F61" s="16"/>
      <c r="G61" s="25"/>
      <c r="H61" s="25"/>
      <c r="I61" s="16">
        <v>17000.0</v>
      </c>
      <c r="J61" s="16">
        <f t="shared" si="11"/>
        <v>34000</v>
      </c>
      <c r="K61" s="16">
        <f t="shared" si="12"/>
        <v>10000</v>
      </c>
      <c r="L61" s="29" t="s">
        <v>13</v>
      </c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0.5</v>
      </c>
      <c r="B62" s="12" t="s">
        <v>18</v>
      </c>
      <c r="C62" s="14" t="s">
        <v>204</v>
      </c>
      <c r="D62" s="15">
        <v>45000.0</v>
      </c>
      <c r="E62" s="15">
        <f t="shared" si="10"/>
        <v>22500</v>
      </c>
      <c r="F62" s="16"/>
      <c r="G62" s="25"/>
      <c r="H62" s="25"/>
      <c r="I62" s="15">
        <v>40000.0</v>
      </c>
      <c r="J62" s="16">
        <f t="shared" si="11"/>
        <v>20000</v>
      </c>
      <c r="K62" s="16">
        <f t="shared" si="12"/>
        <v>2500</v>
      </c>
      <c r="L62" s="29" t="s">
        <v>13</v>
      </c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1.0</v>
      </c>
      <c r="B63" s="12" t="s">
        <v>50</v>
      </c>
      <c r="C63" s="14" t="s">
        <v>205</v>
      </c>
      <c r="D63" s="15">
        <v>3000.0</v>
      </c>
      <c r="E63" s="15">
        <f t="shared" si="10"/>
        <v>3000</v>
      </c>
      <c r="F63" s="16"/>
      <c r="G63" s="25"/>
      <c r="H63" s="25"/>
      <c r="I63" s="15">
        <v>2000.0</v>
      </c>
      <c r="J63" s="16">
        <f t="shared" si="11"/>
        <v>2000</v>
      </c>
      <c r="K63" s="16">
        <f t="shared" si="12"/>
        <v>1000</v>
      </c>
      <c r="L63" s="29" t="s">
        <v>13</v>
      </c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1.0</v>
      </c>
      <c r="B64" s="12" t="s">
        <v>50</v>
      </c>
      <c r="C64" s="14" t="s">
        <v>16</v>
      </c>
      <c r="D64" s="15">
        <v>1000.0</v>
      </c>
      <c r="E64" s="15">
        <f t="shared" si="10"/>
        <v>1000</v>
      </c>
      <c r="F64" s="16"/>
      <c r="G64" s="25"/>
      <c r="H64" s="25"/>
      <c r="I64" s="15">
        <v>500.0</v>
      </c>
      <c r="J64" s="16">
        <f t="shared" si="11"/>
        <v>500</v>
      </c>
      <c r="K64" s="16">
        <f t="shared" si="12"/>
        <v>500</v>
      </c>
      <c r="L64" s="29" t="s">
        <v>13</v>
      </c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2.0</v>
      </c>
      <c r="B65" s="12" t="s">
        <v>33</v>
      </c>
      <c r="C65" s="14" t="s">
        <v>86</v>
      </c>
      <c r="D65" s="15">
        <v>4000.0</v>
      </c>
      <c r="E65" s="15">
        <f t="shared" si="10"/>
        <v>8000</v>
      </c>
      <c r="F65" s="16"/>
      <c r="G65" s="25"/>
      <c r="H65" s="25"/>
      <c r="I65" s="15">
        <v>2500.0</v>
      </c>
      <c r="J65" s="16">
        <f t="shared" si="11"/>
        <v>5000</v>
      </c>
      <c r="K65" s="16">
        <f t="shared" si="12"/>
        <v>3000</v>
      </c>
      <c r="L65" s="29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4.5</v>
      </c>
      <c r="B66" s="12" t="s">
        <v>33</v>
      </c>
      <c r="C66" s="14" t="s">
        <v>57</v>
      </c>
      <c r="D66" s="15">
        <v>5500.0</v>
      </c>
      <c r="E66" s="15">
        <f t="shared" si="10"/>
        <v>24750</v>
      </c>
      <c r="F66" s="16"/>
      <c r="G66" s="25"/>
      <c r="H66" s="25"/>
      <c r="I66" s="15">
        <f>20000/5</f>
        <v>4000</v>
      </c>
      <c r="J66" s="16">
        <f t="shared" si="11"/>
        <v>18000</v>
      </c>
      <c r="K66" s="16">
        <f t="shared" si="12"/>
        <v>6750</v>
      </c>
      <c r="L66" s="29" t="s">
        <v>13</v>
      </c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/>
      <c r="B67" s="12"/>
      <c r="C67" s="14"/>
      <c r="D67" s="15"/>
      <c r="E67" s="16"/>
      <c r="F67" s="16"/>
      <c r="H67" s="25"/>
      <c r="I67" s="16"/>
      <c r="J67" s="16"/>
      <c r="K67" s="16"/>
      <c r="L67" s="36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/>
      <c r="B68" s="12"/>
      <c r="C68" s="14"/>
      <c r="D68" s="15"/>
      <c r="E68" s="16">
        <f>SUM(E54:E67)</f>
        <v>185500</v>
      </c>
      <c r="F68" s="16"/>
      <c r="G68" s="25"/>
      <c r="H68" s="25"/>
      <c r="I68" s="16"/>
      <c r="J68" s="16"/>
      <c r="K68" s="16">
        <f>SUM(K54:K66)</f>
        <v>43208.33333</v>
      </c>
      <c r="L68" s="36">
        <f>K68/E68</f>
        <v>0.2329290207</v>
      </c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/>
      <c r="B69" s="12"/>
      <c r="C69" s="14"/>
      <c r="D69" s="15"/>
      <c r="E69" s="3"/>
      <c r="F69" s="3"/>
      <c r="G69" s="2"/>
      <c r="H69" s="2"/>
      <c r="I69" s="2"/>
      <c r="J69" s="2"/>
      <c r="K69" s="3"/>
      <c r="L69" s="4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/>
      <c r="B70" s="12"/>
      <c r="C70" s="14"/>
      <c r="D70" s="15"/>
      <c r="E70" s="3"/>
      <c r="F70" s="3"/>
      <c r="G70" s="2"/>
      <c r="H70" s="2"/>
      <c r="I70" s="2"/>
      <c r="J70" s="2"/>
      <c r="K70" s="3"/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24"/>
      <c r="B71" s="24"/>
      <c r="C71" s="24"/>
      <c r="D71" s="32"/>
      <c r="E71" s="7"/>
      <c r="F71" s="33"/>
      <c r="G71" s="25"/>
      <c r="H71" s="25"/>
      <c r="I71" s="16"/>
      <c r="J71" s="16"/>
      <c r="K71" s="16"/>
      <c r="L71" s="3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24" t="s">
        <v>206</v>
      </c>
      <c r="B72" s="24"/>
      <c r="C72" s="24"/>
      <c r="D72" s="32" t="s">
        <v>207</v>
      </c>
      <c r="E72" s="7">
        <v>46056.0</v>
      </c>
      <c r="F72" s="33" t="s">
        <v>13</v>
      </c>
      <c r="G72" s="25"/>
      <c r="H72" s="25"/>
      <c r="I72" s="16"/>
      <c r="J72" s="16"/>
      <c r="K72" s="16"/>
      <c r="L72" s="34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B73" s="25"/>
      <c r="C73" s="35"/>
      <c r="D73" s="25"/>
      <c r="E73" s="25"/>
      <c r="F73" s="25"/>
      <c r="G73" s="25"/>
      <c r="H73" s="25"/>
      <c r="I73" s="16"/>
      <c r="J73" s="16"/>
      <c r="K73" s="16"/>
      <c r="L73" s="34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5" t="s">
        <v>4</v>
      </c>
      <c r="B74" s="10" t="s">
        <v>5</v>
      </c>
      <c r="C74" s="11" t="s">
        <v>6</v>
      </c>
      <c r="D74" s="12" t="s">
        <v>7</v>
      </c>
      <c r="E74" s="10" t="s">
        <v>8</v>
      </c>
      <c r="F74" s="12"/>
      <c r="G74" s="25"/>
      <c r="H74" s="25"/>
      <c r="I74" s="12" t="s">
        <v>7</v>
      </c>
      <c r="J74" s="12" t="s">
        <v>8</v>
      </c>
      <c r="K74" s="12" t="s">
        <v>10</v>
      </c>
      <c r="L74" s="34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>
        <v>1.0</v>
      </c>
      <c r="B75" s="12" t="s">
        <v>38</v>
      </c>
      <c r="C75" s="14" t="s">
        <v>45</v>
      </c>
      <c r="D75" s="15">
        <v>13000.0</v>
      </c>
      <c r="E75" s="15">
        <f t="shared" ref="E75:E93" si="13">A75*D75</f>
        <v>13000</v>
      </c>
      <c r="F75" s="16"/>
      <c r="G75" s="25"/>
      <c r="H75" s="25"/>
      <c r="I75" s="16">
        <v>8000.0</v>
      </c>
      <c r="J75" s="16">
        <f t="shared" ref="J75:J93" si="14">I75*A75</f>
        <v>8000</v>
      </c>
      <c r="K75" s="16">
        <f t="shared" ref="K75:K93" si="15">E75-J75</f>
        <v>5000</v>
      </c>
      <c r="L75" s="36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>
        <v>3.0</v>
      </c>
      <c r="B76" s="12" t="s">
        <v>5</v>
      </c>
      <c r="C76" s="14" t="s">
        <v>104</v>
      </c>
      <c r="D76" s="15">
        <v>2000.0</v>
      </c>
      <c r="E76" s="15">
        <f t="shared" si="13"/>
        <v>6000</v>
      </c>
      <c r="F76" s="16"/>
      <c r="G76" s="25"/>
      <c r="H76" s="25"/>
      <c r="I76" s="16">
        <v>1000.0</v>
      </c>
      <c r="J76" s="16">
        <f t="shared" si="14"/>
        <v>3000</v>
      </c>
      <c r="K76" s="16">
        <f t="shared" si="15"/>
        <v>3000</v>
      </c>
      <c r="L76" s="36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>
        <v>1.0</v>
      </c>
      <c r="B77" s="12" t="s">
        <v>38</v>
      </c>
      <c r="C77" s="14" t="s">
        <v>180</v>
      </c>
      <c r="D77" s="15">
        <v>12000.0</v>
      </c>
      <c r="E77" s="15">
        <f t="shared" si="13"/>
        <v>12000</v>
      </c>
      <c r="F77" s="16"/>
      <c r="G77" s="25"/>
      <c r="H77" s="25"/>
      <c r="I77" s="16">
        <v>8500.0</v>
      </c>
      <c r="J77" s="16">
        <f t="shared" si="14"/>
        <v>8500</v>
      </c>
      <c r="K77" s="16">
        <f t="shared" si="15"/>
        <v>3500</v>
      </c>
      <c r="L77" s="36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>
        <v>1.0</v>
      </c>
      <c r="B78" s="12" t="s">
        <v>38</v>
      </c>
      <c r="C78" s="14" t="s">
        <v>117</v>
      </c>
      <c r="D78" s="15">
        <v>27000.0</v>
      </c>
      <c r="E78" s="15">
        <f t="shared" si="13"/>
        <v>27000</v>
      </c>
      <c r="F78" s="16"/>
      <c r="G78" s="25"/>
      <c r="H78" s="25"/>
      <c r="I78" s="16">
        <v>23000.0</v>
      </c>
      <c r="J78" s="16">
        <f t="shared" si="14"/>
        <v>23000</v>
      </c>
      <c r="K78" s="16">
        <f t="shared" si="15"/>
        <v>4000</v>
      </c>
      <c r="L78" s="36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>
        <v>1.0</v>
      </c>
      <c r="B79" s="12" t="s">
        <v>208</v>
      </c>
      <c r="C79" s="14" t="s">
        <v>209</v>
      </c>
      <c r="D79" s="15">
        <v>12500.0</v>
      </c>
      <c r="E79" s="15">
        <f t="shared" si="13"/>
        <v>12500</v>
      </c>
      <c r="F79" s="16"/>
      <c r="G79" s="25"/>
      <c r="H79" s="25"/>
      <c r="I79" s="16">
        <f>1875*5</f>
        <v>9375</v>
      </c>
      <c r="J79" s="16">
        <f t="shared" si="14"/>
        <v>9375</v>
      </c>
      <c r="K79" s="16">
        <f t="shared" si="15"/>
        <v>3125</v>
      </c>
      <c r="L79" s="36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3">
        <v>1.0</v>
      </c>
      <c r="B80" s="12" t="s">
        <v>50</v>
      </c>
      <c r="C80" s="14" t="s">
        <v>172</v>
      </c>
      <c r="D80" s="15">
        <v>3000.0</v>
      </c>
      <c r="E80" s="15">
        <f t="shared" si="13"/>
        <v>3000</v>
      </c>
      <c r="F80" s="16"/>
      <c r="G80" s="25"/>
      <c r="H80" s="25"/>
      <c r="I80" s="16">
        <v>2000.0</v>
      </c>
      <c r="J80" s="16">
        <f t="shared" si="14"/>
        <v>2000</v>
      </c>
      <c r="K80" s="16">
        <f t="shared" si="15"/>
        <v>1000</v>
      </c>
      <c r="L80" s="36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13">
        <v>2.0</v>
      </c>
      <c r="B81" s="12" t="s">
        <v>29</v>
      </c>
      <c r="C81" s="14" t="s">
        <v>72</v>
      </c>
      <c r="D81" s="15">
        <v>26000.0</v>
      </c>
      <c r="E81" s="15">
        <f t="shared" si="13"/>
        <v>52000</v>
      </c>
      <c r="F81" s="16"/>
      <c r="G81" s="25"/>
      <c r="H81" s="25"/>
      <c r="I81" s="16">
        <v>18000.0</v>
      </c>
      <c r="J81" s="16">
        <f t="shared" si="14"/>
        <v>36000</v>
      </c>
      <c r="K81" s="16">
        <f t="shared" si="15"/>
        <v>16000</v>
      </c>
      <c r="L81" s="36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3">
        <v>2.0</v>
      </c>
      <c r="B82" s="12" t="s">
        <v>50</v>
      </c>
      <c r="C82" s="14" t="s">
        <v>205</v>
      </c>
      <c r="D82" s="15">
        <v>3000.0</v>
      </c>
      <c r="E82" s="15">
        <f t="shared" si="13"/>
        <v>6000</v>
      </c>
      <c r="F82" s="16"/>
      <c r="G82" s="25"/>
      <c r="H82" s="25"/>
      <c r="I82" s="16">
        <v>2000.0</v>
      </c>
      <c r="J82" s="16">
        <f t="shared" si="14"/>
        <v>4000</v>
      </c>
      <c r="K82" s="16">
        <f t="shared" si="15"/>
        <v>2000</v>
      </c>
      <c r="L82" s="36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>
        <v>2.0</v>
      </c>
      <c r="B83" s="12" t="s">
        <v>18</v>
      </c>
      <c r="C83" s="14" t="s">
        <v>39</v>
      </c>
      <c r="D83" s="15">
        <v>16000.0</v>
      </c>
      <c r="E83" s="15">
        <f t="shared" si="13"/>
        <v>32000</v>
      </c>
      <c r="F83" s="16"/>
      <c r="G83" s="25"/>
      <c r="H83" s="25"/>
      <c r="I83" s="16">
        <v>13000.0</v>
      </c>
      <c r="J83" s="16">
        <f t="shared" si="14"/>
        <v>26000</v>
      </c>
      <c r="K83" s="16">
        <f t="shared" si="15"/>
        <v>6000</v>
      </c>
      <c r="L83" s="36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>
        <v>0.5</v>
      </c>
      <c r="B84" s="12" t="s">
        <v>18</v>
      </c>
      <c r="C84" s="14" t="s">
        <v>24</v>
      </c>
      <c r="D84" s="15">
        <v>30000.0</v>
      </c>
      <c r="E84" s="15">
        <f t="shared" si="13"/>
        <v>15000</v>
      </c>
      <c r="F84" s="16"/>
      <c r="G84" s="25"/>
      <c r="H84" s="25"/>
      <c r="I84" s="16">
        <v>25000.0</v>
      </c>
      <c r="J84" s="16">
        <f t="shared" si="14"/>
        <v>12500</v>
      </c>
      <c r="K84" s="16">
        <f t="shared" si="15"/>
        <v>2500</v>
      </c>
      <c r="L84" s="36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3">
        <v>1.0</v>
      </c>
      <c r="B85" s="12" t="s">
        <v>29</v>
      </c>
      <c r="C85" s="14" t="s">
        <v>87</v>
      </c>
      <c r="D85" s="15">
        <v>65000.0</v>
      </c>
      <c r="E85" s="15">
        <f t="shared" si="13"/>
        <v>65000</v>
      </c>
      <c r="F85" s="16"/>
      <c r="G85" s="25"/>
      <c r="H85" s="25"/>
      <c r="I85" s="16">
        <v>53000.0</v>
      </c>
      <c r="J85" s="16">
        <f t="shared" si="14"/>
        <v>53000</v>
      </c>
      <c r="K85" s="16">
        <f t="shared" si="15"/>
        <v>12000</v>
      </c>
      <c r="L85" s="36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>
        <v>2.0</v>
      </c>
      <c r="B86" s="12" t="s">
        <v>38</v>
      </c>
      <c r="C86" s="14" t="s">
        <v>46</v>
      </c>
      <c r="D86" s="15">
        <v>22000.0</v>
      </c>
      <c r="E86" s="15">
        <f t="shared" si="13"/>
        <v>44000</v>
      </c>
      <c r="F86" s="16"/>
      <c r="G86" s="25"/>
      <c r="H86" s="25"/>
      <c r="I86" s="16">
        <v>18500.0</v>
      </c>
      <c r="J86" s="16">
        <f t="shared" si="14"/>
        <v>37000</v>
      </c>
      <c r="K86" s="16">
        <f t="shared" si="15"/>
        <v>7000</v>
      </c>
      <c r="L86" s="36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>
        <v>2.0</v>
      </c>
      <c r="B87" s="12" t="s">
        <v>33</v>
      </c>
      <c r="C87" s="14" t="s">
        <v>177</v>
      </c>
      <c r="D87" s="15">
        <v>1400.0</v>
      </c>
      <c r="E87" s="15">
        <f t="shared" si="13"/>
        <v>2800</v>
      </c>
      <c r="F87" s="16"/>
      <c r="G87" s="25"/>
      <c r="H87" s="25"/>
      <c r="I87" s="16">
        <f>12000/15</f>
        <v>800</v>
      </c>
      <c r="J87" s="16">
        <f t="shared" si="14"/>
        <v>1600</v>
      </c>
      <c r="K87" s="16">
        <f t="shared" si="15"/>
        <v>1200</v>
      </c>
      <c r="L87" s="36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>
        <v>2.0</v>
      </c>
      <c r="B88" s="12" t="s">
        <v>50</v>
      </c>
      <c r="C88" s="14" t="s">
        <v>68</v>
      </c>
      <c r="D88" s="15">
        <v>4000.0</v>
      </c>
      <c r="E88" s="15">
        <f t="shared" si="13"/>
        <v>8000</v>
      </c>
      <c r="F88" s="16"/>
      <c r="G88" s="25"/>
      <c r="H88" s="25"/>
      <c r="I88" s="16">
        <v>2000.0</v>
      </c>
      <c r="J88" s="16">
        <f t="shared" si="14"/>
        <v>4000</v>
      </c>
      <c r="K88" s="16">
        <f t="shared" si="15"/>
        <v>4000</v>
      </c>
      <c r="L88" s="36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>
        <v>1.0</v>
      </c>
      <c r="B89" s="12" t="s">
        <v>50</v>
      </c>
      <c r="C89" s="14" t="s">
        <v>89</v>
      </c>
      <c r="D89" s="15">
        <v>5000.0</v>
      </c>
      <c r="E89" s="15">
        <f t="shared" si="13"/>
        <v>5000</v>
      </c>
      <c r="F89" s="16"/>
      <c r="G89" s="25"/>
      <c r="H89" s="25"/>
      <c r="I89" s="16">
        <v>4000.0</v>
      </c>
      <c r="J89" s="16">
        <f t="shared" si="14"/>
        <v>4000</v>
      </c>
      <c r="K89" s="16">
        <f t="shared" si="15"/>
        <v>1000</v>
      </c>
      <c r="L89" s="36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>
        <v>1.0</v>
      </c>
      <c r="B90" s="12" t="s">
        <v>18</v>
      </c>
      <c r="C90" s="14" t="s">
        <v>19</v>
      </c>
      <c r="D90" s="15">
        <v>18000.0</v>
      </c>
      <c r="E90" s="15">
        <f t="shared" si="13"/>
        <v>18000</v>
      </c>
      <c r="F90" s="16"/>
      <c r="G90" s="25"/>
      <c r="H90" s="25"/>
      <c r="I90" s="16">
        <v>10000.0</v>
      </c>
      <c r="J90" s="16">
        <f t="shared" si="14"/>
        <v>10000</v>
      </c>
      <c r="K90" s="16">
        <f t="shared" si="15"/>
        <v>8000</v>
      </c>
      <c r="L90" s="36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3">
        <v>2.0</v>
      </c>
      <c r="B91" s="12" t="s">
        <v>50</v>
      </c>
      <c r="C91" s="14" t="s">
        <v>17</v>
      </c>
      <c r="D91" s="15">
        <v>5000.0</v>
      </c>
      <c r="E91" s="15">
        <f t="shared" si="13"/>
        <v>10000</v>
      </c>
      <c r="F91" s="16"/>
      <c r="G91" s="25"/>
      <c r="H91" s="25"/>
      <c r="I91" s="16">
        <v>4000.0</v>
      </c>
      <c r="J91" s="16">
        <f t="shared" si="14"/>
        <v>8000</v>
      </c>
      <c r="K91" s="16">
        <f t="shared" si="15"/>
        <v>2000</v>
      </c>
      <c r="L91" s="36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3">
        <v>1.0</v>
      </c>
      <c r="B92" s="12" t="s">
        <v>38</v>
      </c>
      <c r="C92" s="14" t="s">
        <v>210</v>
      </c>
      <c r="D92" s="15">
        <v>11000.0</v>
      </c>
      <c r="E92" s="15">
        <f t="shared" si="13"/>
        <v>11000</v>
      </c>
      <c r="F92" s="16"/>
      <c r="G92" s="25"/>
      <c r="H92" s="25"/>
      <c r="I92" s="16">
        <v>8000.0</v>
      </c>
      <c r="J92" s="16">
        <f t="shared" si="14"/>
        <v>8000</v>
      </c>
      <c r="K92" s="16">
        <f t="shared" si="15"/>
        <v>3000</v>
      </c>
      <c r="L92" s="36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2.0</v>
      </c>
      <c r="B93" s="12" t="s">
        <v>5</v>
      </c>
      <c r="C93" s="14" t="s">
        <v>118</v>
      </c>
      <c r="D93" s="15">
        <v>2000.0</v>
      </c>
      <c r="E93" s="15">
        <f t="shared" si="13"/>
        <v>4000</v>
      </c>
      <c r="F93" s="16"/>
      <c r="G93" s="25"/>
      <c r="H93" s="25"/>
      <c r="I93" s="16">
        <f>10000/12</f>
        <v>833.3333333</v>
      </c>
      <c r="J93" s="16">
        <f t="shared" si="14"/>
        <v>1666.666667</v>
      </c>
      <c r="K93" s="16">
        <f t="shared" si="15"/>
        <v>2333.333333</v>
      </c>
      <c r="L93" s="36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/>
      <c r="B94" s="12"/>
      <c r="C94" s="14"/>
      <c r="D94" s="15"/>
      <c r="E94" s="16"/>
      <c r="F94" s="16"/>
      <c r="H94" s="25"/>
      <c r="I94" s="16"/>
      <c r="J94" s="16"/>
      <c r="K94" s="16"/>
      <c r="L94" s="36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/>
      <c r="B95" s="12"/>
      <c r="C95" s="14"/>
      <c r="D95" s="15"/>
      <c r="E95" s="16">
        <f>SUM(E75:E94)</f>
        <v>346300</v>
      </c>
      <c r="F95" s="16"/>
      <c r="G95" s="25"/>
      <c r="H95" s="25"/>
      <c r="I95" s="16"/>
      <c r="J95" s="16"/>
      <c r="K95" s="16">
        <f>SUM(K75:K93)</f>
        <v>86658.33333</v>
      </c>
      <c r="L95" s="36">
        <f>K95/E95</f>
        <v>0.2502406391</v>
      </c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/>
      <c r="B96" s="12"/>
      <c r="C96" s="14"/>
      <c r="D96" s="15"/>
      <c r="E96" s="3"/>
      <c r="F96" s="3"/>
      <c r="G96" s="2"/>
      <c r="H96" s="2"/>
      <c r="I96" s="2"/>
      <c r="J96" s="2"/>
      <c r="K96" s="3"/>
      <c r="L96" s="4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/>
      <c r="B97" s="12"/>
      <c r="C97" s="14"/>
      <c r="D97" s="15"/>
      <c r="E97" s="3"/>
      <c r="F97" s="3"/>
      <c r="G97" s="2"/>
      <c r="H97" s="2"/>
      <c r="I97" s="2"/>
      <c r="J97" s="2"/>
      <c r="K97" s="3"/>
      <c r="L97" s="4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24" t="s">
        <v>90</v>
      </c>
      <c r="B98" s="24" t="s">
        <v>91</v>
      </c>
      <c r="C98" s="24"/>
      <c r="D98" s="32" t="s">
        <v>170</v>
      </c>
      <c r="E98" s="7">
        <v>46056.0</v>
      </c>
      <c r="F98" s="33" t="s">
        <v>13</v>
      </c>
      <c r="G98" s="25"/>
      <c r="H98" s="25"/>
      <c r="I98" s="16"/>
      <c r="J98" s="16"/>
      <c r="K98" s="16"/>
      <c r="L98" s="34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B99" s="25"/>
      <c r="C99" s="35"/>
      <c r="D99" s="25"/>
      <c r="E99" s="25"/>
      <c r="F99" s="25"/>
      <c r="G99" s="25"/>
      <c r="H99" s="25"/>
      <c r="I99" s="16"/>
      <c r="J99" s="16"/>
      <c r="K99" s="16"/>
      <c r="L99" s="34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5" t="s">
        <v>4</v>
      </c>
      <c r="B100" s="10" t="s">
        <v>5</v>
      </c>
      <c r="C100" s="11" t="s">
        <v>6</v>
      </c>
      <c r="D100" s="12" t="s">
        <v>7</v>
      </c>
      <c r="E100" s="10" t="s">
        <v>8</v>
      </c>
      <c r="F100" s="12"/>
      <c r="G100" s="25"/>
      <c r="H100" s="25"/>
      <c r="I100" s="12" t="s">
        <v>7</v>
      </c>
      <c r="J100" s="12" t="s">
        <v>8</v>
      </c>
      <c r="K100" s="12" t="s">
        <v>10</v>
      </c>
      <c r="L100" s="34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>
        <v>2.0</v>
      </c>
      <c r="B101" s="12" t="s">
        <v>33</v>
      </c>
      <c r="C101" s="14" t="s">
        <v>31</v>
      </c>
      <c r="D101" s="15">
        <v>3000.0</v>
      </c>
      <c r="E101" s="15">
        <f t="shared" ref="E101:E102" si="16">A101*D101</f>
        <v>6000</v>
      </c>
      <c r="F101" s="16"/>
      <c r="G101" s="25"/>
      <c r="H101" s="25"/>
      <c r="I101" s="16">
        <f>24000/18</f>
        <v>1333.333333</v>
      </c>
      <c r="J101" s="16">
        <f t="shared" ref="J101:J102" si="17">I101*A101</f>
        <v>2666.666667</v>
      </c>
      <c r="K101" s="16">
        <f t="shared" ref="K101:K102" si="18">E101-J101</f>
        <v>3333.333333</v>
      </c>
      <c r="L101" s="29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>
        <v>2.0</v>
      </c>
      <c r="B102" s="12" t="s">
        <v>18</v>
      </c>
      <c r="C102" s="14" t="s">
        <v>39</v>
      </c>
      <c r="D102" s="15">
        <v>16000.0</v>
      </c>
      <c r="E102" s="15">
        <f t="shared" si="16"/>
        <v>32000</v>
      </c>
      <c r="F102" s="16"/>
      <c r="G102" s="25"/>
      <c r="H102" s="25"/>
      <c r="I102" s="16">
        <v>12000.0</v>
      </c>
      <c r="J102" s="16">
        <f t="shared" si="17"/>
        <v>24000</v>
      </c>
      <c r="K102" s="16">
        <f t="shared" si="18"/>
        <v>8000</v>
      </c>
      <c r="L102" s="29" t="s">
        <v>13</v>
      </c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13"/>
      <c r="B103" s="12"/>
      <c r="C103" s="14"/>
      <c r="D103" s="15"/>
      <c r="E103" s="16"/>
      <c r="F103" s="16"/>
      <c r="H103" s="25"/>
      <c r="I103" s="16"/>
      <c r="J103" s="16"/>
      <c r="K103" s="16"/>
      <c r="L103" s="36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13"/>
      <c r="B104" s="12"/>
      <c r="C104" s="14"/>
      <c r="D104" s="15"/>
      <c r="E104" s="16">
        <f>SUM(E101:E103)</f>
        <v>38000</v>
      </c>
      <c r="F104" s="16"/>
      <c r="G104" s="25"/>
      <c r="H104" s="25"/>
      <c r="I104" s="16"/>
      <c r="J104" s="16"/>
      <c r="K104" s="16">
        <f>SUM(K101+K102)</f>
        <v>11333.33333</v>
      </c>
      <c r="L104" s="36">
        <f>K104/E104</f>
        <v>0.298245614</v>
      </c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3"/>
      <c r="B105" s="12"/>
      <c r="C105" s="14"/>
      <c r="D105" s="15"/>
      <c r="E105" s="3"/>
      <c r="F105" s="3"/>
      <c r="G105" s="2"/>
      <c r="H105" s="2"/>
      <c r="I105" s="2"/>
      <c r="J105" s="2"/>
      <c r="K105" s="3"/>
      <c r="L105" s="4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26" t="s">
        <v>60</v>
      </c>
      <c r="B106" s="27">
        <v>0.04</v>
      </c>
      <c r="C106" s="2"/>
      <c r="D106" s="3"/>
      <c r="E106" s="15">
        <f>E104*0.04</f>
        <v>1520</v>
      </c>
      <c r="F106" s="3"/>
      <c r="G106" s="2"/>
      <c r="H106" s="3"/>
      <c r="I106" s="3"/>
      <c r="J106" s="3"/>
      <c r="K106" s="3"/>
      <c r="L106" s="4"/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3"/>
      <c r="B107" s="12"/>
      <c r="C107" s="14"/>
      <c r="D107" s="15"/>
      <c r="E107" s="3"/>
      <c r="F107" s="3"/>
      <c r="G107" s="2"/>
      <c r="H107" s="2"/>
      <c r="I107" s="2"/>
      <c r="J107" s="2"/>
      <c r="K107" s="3"/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13"/>
      <c r="B108" s="12"/>
      <c r="C108" s="14"/>
      <c r="D108" s="15"/>
      <c r="E108" s="3"/>
      <c r="F108" s="3"/>
      <c r="G108" s="2"/>
      <c r="H108" s="2"/>
      <c r="I108" s="2"/>
      <c r="J108" s="2"/>
      <c r="K108" s="3"/>
      <c r="L108" s="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30"/>
      <c r="B109" s="31"/>
      <c r="C109" s="2"/>
      <c r="D109" s="3"/>
      <c r="E109" s="3"/>
      <c r="F109" s="3"/>
      <c r="G109" s="2"/>
      <c r="H109" s="2"/>
      <c r="I109" s="2"/>
      <c r="J109" s="2"/>
      <c r="K109" s="3"/>
      <c r="L109" s="4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24" t="s">
        <v>105</v>
      </c>
      <c r="B110" s="38" t="s">
        <v>106</v>
      </c>
      <c r="C110" s="24"/>
      <c r="D110" s="32" t="s">
        <v>170</v>
      </c>
      <c r="E110" s="7">
        <v>46056.0</v>
      </c>
      <c r="F110" s="33" t="s">
        <v>13</v>
      </c>
      <c r="G110" s="25"/>
      <c r="H110" s="25"/>
      <c r="I110" s="16"/>
      <c r="J110" s="16"/>
      <c r="K110" s="16"/>
      <c r="L110" s="34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B111" s="25"/>
      <c r="C111" s="35"/>
      <c r="D111" s="25"/>
      <c r="E111" s="25"/>
      <c r="F111" s="25"/>
      <c r="G111" s="25"/>
      <c r="H111" s="25"/>
      <c r="I111" s="16"/>
      <c r="J111" s="16"/>
      <c r="K111" s="16"/>
      <c r="L111" s="34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5" t="s">
        <v>4</v>
      </c>
      <c r="B112" s="10" t="s">
        <v>5</v>
      </c>
      <c r="C112" s="11" t="s">
        <v>6</v>
      </c>
      <c r="D112" s="12" t="s">
        <v>7</v>
      </c>
      <c r="E112" s="10" t="s">
        <v>8</v>
      </c>
      <c r="F112" s="12"/>
      <c r="G112" s="25"/>
      <c r="H112" s="25"/>
      <c r="I112" s="12" t="s">
        <v>7</v>
      </c>
      <c r="J112" s="12" t="s">
        <v>8</v>
      </c>
      <c r="K112" s="12" t="s">
        <v>10</v>
      </c>
      <c r="L112" s="34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3">
        <v>0.5</v>
      </c>
      <c r="B113" s="12" t="s">
        <v>33</v>
      </c>
      <c r="C113" s="14" t="s">
        <v>57</v>
      </c>
      <c r="D113" s="15">
        <v>6500.0</v>
      </c>
      <c r="E113" s="15">
        <f t="shared" ref="E113:E116" si="19">A113*D113</f>
        <v>3250</v>
      </c>
      <c r="F113" s="16"/>
      <c r="G113" s="25"/>
      <c r="H113" s="25"/>
      <c r="I113" s="16">
        <f>20000/5</f>
        <v>4000</v>
      </c>
      <c r="J113" s="16">
        <f t="shared" ref="J113:J116" si="20">I113*A113</f>
        <v>2000</v>
      </c>
      <c r="K113" s="16">
        <f t="shared" ref="K113:K116" si="21">E113-J113</f>
        <v>1250</v>
      </c>
      <c r="L113" s="29" t="s">
        <v>13</v>
      </c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3">
        <v>1.0</v>
      </c>
      <c r="B114" s="12" t="s">
        <v>33</v>
      </c>
      <c r="C114" s="14" t="s">
        <v>194</v>
      </c>
      <c r="D114" s="15">
        <v>3000.0</v>
      </c>
      <c r="E114" s="15">
        <f t="shared" si="19"/>
        <v>3000</v>
      </c>
      <c r="F114" s="16"/>
      <c r="G114" s="25"/>
      <c r="H114" s="37" t="s">
        <v>193</v>
      </c>
      <c r="I114" s="15">
        <v>0.0</v>
      </c>
      <c r="J114" s="16">
        <f t="shared" si="20"/>
        <v>0</v>
      </c>
      <c r="K114" s="16">
        <f t="shared" si="21"/>
        <v>3000</v>
      </c>
      <c r="L114" s="29" t="s">
        <v>13</v>
      </c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3">
        <v>0.45</v>
      </c>
      <c r="B115" s="12" t="s">
        <v>33</v>
      </c>
      <c r="C115" s="14" t="s">
        <v>211</v>
      </c>
      <c r="D115" s="15">
        <v>4000.0</v>
      </c>
      <c r="E115" s="15">
        <f t="shared" si="19"/>
        <v>1800</v>
      </c>
      <c r="F115" s="16"/>
      <c r="G115" s="25"/>
      <c r="H115" s="25"/>
      <c r="I115" s="15">
        <f>40000/18</f>
        <v>2222.222222</v>
      </c>
      <c r="J115" s="16">
        <f t="shared" si="20"/>
        <v>1000</v>
      </c>
      <c r="K115" s="16">
        <f t="shared" si="21"/>
        <v>800</v>
      </c>
      <c r="L115" s="29" t="s">
        <v>13</v>
      </c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3">
        <v>1.0</v>
      </c>
      <c r="B116" s="12" t="s">
        <v>33</v>
      </c>
      <c r="C116" s="14" t="s">
        <v>72</v>
      </c>
      <c r="D116" s="15">
        <v>3300.0</v>
      </c>
      <c r="E116" s="15">
        <f t="shared" si="19"/>
        <v>3300</v>
      </c>
      <c r="F116" s="16"/>
      <c r="G116" s="25"/>
      <c r="H116" s="25"/>
      <c r="I116" s="15">
        <f>38000/15</f>
        <v>2533.333333</v>
      </c>
      <c r="J116" s="16">
        <f t="shared" si="20"/>
        <v>2533.333333</v>
      </c>
      <c r="K116" s="16">
        <f t="shared" si="21"/>
        <v>766.6666667</v>
      </c>
      <c r="L116" s="29" t="s">
        <v>13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3"/>
      <c r="B117" s="12"/>
      <c r="C117" s="14"/>
      <c r="D117" s="15"/>
      <c r="E117" s="16"/>
      <c r="F117" s="16"/>
      <c r="H117" s="25"/>
      <c r="I117" s="16"/>
      <c r="J117" s="16"/>
      <c r="K117" s="16"/>
      <c r="L117" s="36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3"/>
      <c r="B118" s="12"/>
      <c r="C118" s="14"/>
      <c r="D118" s="15"/>
      <c r="E118" s="16">
        <f>SUM(E113:E117)</f>
        <v>11350</v>
      </c>
      <c r="F118" s="16"/>
      <c r="G118" s="25"/>
      <c r="H118" s="25"/>
      <c r="I118" s="16"/>
      <c r="J118" s="16"/>
      <c r="K118" s="16">
        <f>SUM(K113:K116)</f>
        <v>5816.666667</v>
      </c>
      <c r="L118" s="36">
        <f>K118/E118</f>
        <v>0.5124816446</v>
      </c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30"/>
      <c r="B119" s="31"/>
      <c r="C119" s="2"/>
      <c r="D119" s="3"/>
      <c r="E119" s="3"/>
      <c r="F119" s="3"/>
      <c r="G119" s="2"/>
      <c r="H119" s="2"/>
      <c r="I119" s="2"/>
      <c r="J119" s="2"/>
      <c r="K119" s="3"/>
      <c r="L119" s="4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26" t="s">
        <v>60</v>
      </c>
      <c r="B120" s="27">
        <v>0.04</v>
      </c>
      <c r="C120" s="2"/>
      <c r="D120" s="3"/>
      <c r="E120" s="15">
        <f>E118*0.04</f>
        <v>454</v>
      </c>
      <c r="F120" s="3"/>
      <c r="G120" s="2"/>
      <c r="H120" s="3"/>
      <c r="I120" s="3"/>
      <c r="J120" s="3"/>
      <c r="K120" s="3"/>
      <c r="L120" s="4"/>
      <c r="M120" s="1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30"/>
      <c r="B121" s="31"/>
      <c r="C121" s="2"/>
      <c r="D121" s="3"/>
      <c r="E121" s="3"/>
      <c r="F121" s="3"/>
      <c r="G121" s="2"/>
      <c r="H121" s="2"/>
      <c r="I121" s="2"/>
      <c r="J121" s="2"/>
      <c r="K121" s="3"/>
      <c r="L121" s="4"/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30"/>
      <c r="B122" s="31"/>
      <c r="C122" s="2"/>
      <c r="D122" s="3"/>
      <c r="E122" s="3"/>
      <c r="F122" s="3"/>
      <c r="G122" s="2"/>
      <c r="H122" s="2"/>
      <c r="I122" s="2"/>
      <c r="J122" s="2"/>
      <c r="K122" s="3"/>
      <c r="L122" s="4"/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30"/>
      <c r="B123" s="31"/>
      <c r="C123" s="2"/>
      <c r="D123" s="3"/>
      <c r="E123" s="3"/>
      <c r="F123" s="3"/>
      <c r="G123" s="2"/>
      <c r="H123" s="2"/>
      <c r="I123" s="2"/>
      <c r="J123" s="2"/>
      <c r="K123" s="3"/>
      <c r="L123" s="4"/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30"/>
      <c r="B124" s="31"/>
      <c r="C124" s="2"/>
      <c r="D124" s="3"/>
      <c r="E124" s="3"/>
      <c r="F124" s="3"/>
      <c r="G124" s="2"/>
      <c r="H124" s="2"/>
      <c r="I124" s="2"/>
      <c r="J124" s="2"/>
      <c r="K124" s="3"/>
      <c r="L124" s="4"/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30" t="s">
        <v>120</v>
      </c>
      <c r="B125" s="31">
        <f>E118+E104+E95+E68+E47+F31</f>
        <v>959437.5</v>
      </c>
      <c r="C125" s="2"/>
      <c r="D125" s="3"/>
      <c r="E125" s="3"/>
      <c r="F125" s="3"/>
      <c r="G125" s="2"/>
      <c r="H125" s="2"/>
      <c r="I125" s="2"/>
      <c r="J125" s="2"/>
      <c r="K125" s="3"/>
      <c r="L125" s="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"/>
      <c r="B126" s="2"/>
      <c r="C126" s="2"/>
      <c r="D126" s="3"/>
      <c r="E126" s="3"/>
      <c r="F126" s="3"/>
      <c r="G126" s="2"/>
      <c r="H126" s="2"/>
      <c r="I126" s="2"/>
      <c r="J126" s="2"/>
      <c r="K126" s="3"/>
      <c r="L126" s="4"/>
      <c r="M126" s="2"/>
      <c r="N126" s="2"/>
      <c r="O126" s="2"/>
      <c r="P126" s="2"/>
      <c r="Q126" s="3"/>
      <c r="R126" s="9"/>
      <c r="S126" s="3"/>
      <c r="T126" s="3"/>
      <c r="U126" s="1"/>
      <c r="V126" s="3"/>
      <c r="W126" s="3"/>
      <c r="X126" s="3"/>
      <c r="Y126" s="3"/>
      <c r="Z126" s="3"/>
    </row>
    <row r="127">
      <c r="A127" s="30" t="s">
        <v>121</v>
      </c>
      <c r="B127" s="31">
        <f>K118+K104+K95+K68+K47+K31</f>
        <v>283336.0294</v>
      </c>
      <c r="C127" s="2"/>
      <c r="D127" s="3"/>
      <c r="E127" s="3"/>
      <c r="F127" s="3"/>
      <c r="G127" s="2"/>
      <c r="H127" s="2"/>
      <c r="I127" s="2"/>
      <c r="J127" s="2"/>
      <c r="K127" s="3"/>
      <c r="L127" s="4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"/>
      <c r="B128" s="2"/>
      <c r="C128" s="2"/>
      <c r="D128" s="3"/>
      <c r="E128" s="3"/>
      <c r="F128" s="3"/>
      <c r="G128" s="2"/>
      <c r="H128" s="2"/>
      <c r="I128" s="2"/>
      <c r="J128" s="2"/>
      <c r="K128" s="3"/>
      <c r="L128" s="4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39" t="s">
        <v>122</v>
      </c>
      <c r="B129" s="40">
        <f>E120+E106+E33</f>
        <v>10274</v>
      </c>
      <c r="C129" s="2"/>
      <c r="D129" s="3"/>
      <c r="E129" s="3"/>
      <c r="F129" s="3"/>
      <c r="G129" s="2"/>
      <c r="H129" s="2"/>
      <c r="I129" s="2"/>
      <c r="J129" s="2"/>
      <c r="K129" s="3"/>
      <c r="L129" s="4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1"/>
      <c r="B130" s="2"/>
      <c r="C130" s="2"/>
      <c r="D130" s="3"/>
      <c r="E130" s="3"/>
      <c r="F130" s="3"/>
      <c r="G130" s="2"/>
      <c r="H130" s="2"/>
      <c r="I130" s="2"/>
      <c r="J130" s="2"/>
      <c r="K130" s="3"/>
      <c r="L130" s="4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30" t="s">
        <v>123</v>
      </c>
      <c r="B131" s="41">
        <f>B127/B125</f>
        <v>0.2953147333</v>
      </c>
      <c r="C131" s="2"/>
      <c r="D131" s="3"/>
      <c r="E131" s="3"/>
      <c r="F131" s="3"/>
      <c r="G131" s="2"/>
      <c r="H131" s="2"/>
      <c r="I131" s="2"/>
      <c r="J131" s="2"/>
      <c r="K131" s="3"/>
      <c r="L131" s="4"/>
      <c r="M131" s="2"/>
      <c r="N131" s="2"/>
      <c r="O131" s="2"/>
      <c r="P131" s="2"/>
      <c r="Q131" s="2"/>
      <c r="R131" s="2"/>
      <c r="S131" s="3"/>
      <c r="T131" s="3"/>
      <c r="U131" s="1"/>
      <c r="V131" s="3"/>
      <c r="W131" s="3"/>
      <c r="X131" s="2"/>
      <c r="Y131" s="2"/>
      <c r="Z131" s="2"/>
    </row>
    <row r="132">
      <c r="A132" s="1"/>
      <c r="B132" s="2"/>
      <c r="C132" s="2"/>
      <c r="D132" s="3"/>
      <c r="E132" s="3"/>
      <c r="F132" s="3"/>
      <c r="G132" s="2"/>
      <c r="H132" s="2"/>
      <c r="I132" s="2"/>
      <c r="J132" s="2"/>
      <c r="K132" s="3"/>
      <c r="L132" s="4"/>
      <c r="M132" s="2"/>
      <c r="N132" s="2"/>
      <c r="O132" s="2"/>
      <c r="P132" s="2"/>
      <c r="Q132" s="3"/>
      <c r="R132" s="9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42" t="s">
        <v>124</v>
      </c>
      <c r="C133" s="43">
        <v>100.0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9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"/>
      <c r="B135" s="2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1"/>
      <c r="B136" s="1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X137" s="3"/>
      <c r="Y137" s="3"/>
      <c r="Z137" s="3"/>
    </row>
    <row r="138" ht="15.75" customHeight="1">
      <c r="A138" s="45"/>
      <c r="B138" s="46" t="s">
        <v>125</v>
      </c>
      <c r="C138" s="47" t="s">
        <v>126</v>
      </c>
      <c r="D138" s="48" t="s">
        <v>127</v>
      </c>
      <c r="E138" s="48" t="s">
        <v>128</v>
      </c>
      <c r="F138" s="48" t="s">
        <v>129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9"/>
      <c r="X138" s="3"/>
      <c r="Y138" s="3"/>
      <c r="Z138" s="3"/>
    </row>
    <row r="139" ht="15.75" customHeight="1">
      <c r="A139" s="49"/>
      <c r="B139" s="50">
        <v>2528350.0</v>
      </c>
      <c r="C139" s="51">
        <v>308459.29</v>
      </c>
      <c r="D139" s="51">
        <f>2277828.28-500000-1000000+491000</f>
        <v>1268828.28</v>
      </c>
      <c r="E139" s="51"/>
      <c r="F139" s="51">
        <f>8500000+1101582.8</f>
        <v>9601582.8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1"/>
      <c r="B140" s="52"/>
      <c r="C140" s="52"/>
      <c r="D140" s="52"/>
      <c r="E140" s="5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46" t="s">
        <v>130</v>
      </c>
      <c r="B141" s="53"/>
      <c r="C141" s="53"/>
      <c r="D141" s="53"/>
      <c r="E141" s="53"/>
      <c r="F141" s="5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13" t="s">
        <v>131</v>
      </c>
      <c r="B142" s="55">
        <v>319800.0</v>
      </c>
      <c r="C142" s="55">
        <v>0.0</v>
      </c>
      <c r="D142" s="55">
        <v>0.0</v>
      </c>
      <c r="E142" s="55">
        <v>0.0</v>
      </c>
      <c r="F142" s="55">
        <v>0.0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13" t="s">
        <v>132</v>
      </c>
      <c r="B143" s="55">
        <v>0.0</v>
      </c>
      <c r="C143" s="55">
        <v>3625.2</v>
      </c>
      <c r="D143" s="55">
        <v>0.0</v>
      </c>
      <c r="E143" s="55">
        <v>0.0</v>
      </c>
      <c r="F143" s="55">
        <v>0.0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13" t="s">
        <v>133</v>
      </c>
      <c r="B144" s="55">
        <v>0.0</v>
      </c>
      <c r="C144" s="55">
        <v>0.0</v>
      </c>
      <c r="D144" s="55">
        <v>1101582.8</v>
      </c>
      <c r="E144" s="55">
        <v>0.0</v>
      </c>
      <c r="F144" s="55">
        <v>0.0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13" t="s">
        <v>134</v>
      </c>
      <c r="B145" s="55">
        <v>0.0</v>
      </c>
      <c r="C145" s="55">
        <v>0.0</v>
      </c>
      <c r="D145" s="55">
        <v>0.0</v>
      </c>
      <c r="E145" s="55">
        <v>0.0</v>
      </c>
      <c r="F145" s="55">
        <v>0.0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13" t="s">
        <v>135</v>
      </c>
      <c r="B146" s="55">
        <v>0.0</v>
      </c>
      <c r="C146" s="55">
        <v>0.0</v>
      </c>
      <c r="D146" s="55">
        <v>0.0</v>
      </c>
      <c r="E146" s="55">
        <v>0.0</v>
      </c>
      <c r="F146" s="55">
        <v>0.0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13" t="s">
        <v>136</v>
      </c>
      <c r="B147" s="55">
        <v>0.0</v>
      </c>
      <c r="C147" s="56">
        <f>C142*0.6%+C145*0.6%</f>
        <v>0</v>
      </c>
      <c r="D147" s="55">
        <f>SUM(D142:D144)*0.6%</f>
        <v>6609.4968</v>
      </c>
      <c r="E147" s="55">
        <v>0.0</v>
      </c>
      <c r="F147" s="55">
        <v>0.0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1"/>
      <c r="B148" s="52"/>
      <c r="C148" s="52"/>
      <c r="D148" s="52"/>
      <c r="E148" s="5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57" t="s">
        <v>8</v>
      </c>
      <c r="B149" s="58">
        <f>SUM(B139:B147)</f>
        <v>2848150</v>
      </c>
      <c r="C149" s="58">
        <f>C139+C142+C145+C146-C147+C143</f>
        <v>312084.49</v>
      </c>
      <c r="D149" s="59">
        <f>D139+D142+D145+D146-D147+D144</f>
        <v>2363801.583</v>
      </c>
      <c r="E149" s="58">
        <f>E139+E142+E145+E146-E147</f>
        <v>0</v>
      </c>
      <c r="F149" s="60">
        <f>F139+F142+F145+F146-F147-D144</f>
        <v>8500000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1"/>
      <c r="B150" s="1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46" t="s">
        <v>137</v>
      </c>
      <c r="B151" s="53"/>
      <c r="C151" s="53"/>
      <c r="D151" s="53"/>
      <c r="E151" s="53"/>
      <c r="F151" s="5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13" t="s">
        <v>138</v>
      </c>
      <c r="B152" s="61">
        <v>10000.0</v>
      </c>
      <c r="C152" s="61">
        <v>0.0</v>
      </c>
      <c r="D152" s="61">
        <v>0.0</v>
      </c>
      <c r="E152" s="61">
        <v>0.0</v>
      </c>
      <c r="F152" s="3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13" t="s">
        <v>139</v>
      </c>
      <c r="B153" s="55">
        <v>0.0</v>
      </c>
      <c r="C153" s="55">
        <v>0.0</v>
      </c>
      <c r="D153" s="55">
        <v>0.0</v>
      </c>
      <c r="E153" s="55">
        <v>0.0</v>
      </c>
      <c r="F153" s="3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13" t="s">
        <v>140</v>
      </c>
      <c r="B154" s="61">
        <v>0.0</v>
      </c>
      <c r="C154" s="61">
        <v>0.0</v>
      </c>
      <c r="D154" s="55">
        <v>500000.0</v>
      </c>
      <c r="E154" s="61">
        <v>0.0</v>
      </c>
      <c r="F154" s="3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13" t="s">
        <v>141</v>
      </c>
      <c r="B155" s="61">
        <v>0.0</v>
      </c>
      <c r="C155" s="61">
        <v>0.0</v>
      </c>
      <c r="D155" s="61">
        <v>0.0</v>
      </c>
      <c r="E155" s="61">
        <v>0.0</v>
      </c>
      <c r="F155" s="3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13" t="s">
        <v>142</v>
      </c>
      <c r="B156" s="61">
        <v>0.0</v>
      </c>
      <c r="C156" s="61">
        <v>395000.0</v>
      </c>
      <c r="D156" s="61">
        <v>0.0</v>
      </c>
      <c r="E156" s="61">
        <v>0.0</v>
      </c>
      <c r="F156" s="3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13" t="s">
        <v>143</v>
      </c>
      <c r="B157" s="61">
        <v>40000.0</v>
      </c>
      <c r="C157" s="61">
        <v>0.0</v>
      </c>
      <c r="D157" s="61">
        <v>0.0</v>
      </c>
      <c r="E157" s="61">
        <v>0.0</v>
      </c>
      <c r="F157" s="35"/>
      <c r="G157" s="2"/>
      <c r="H157" s="6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144</v>
      </c>
      <c r="B158" s="55">
        <v>0.0</v>
      </c>
      <c r="C158" s="55">
        <v>0.0</v>
      </c>
      <c r="D158" s="55">
        <v>0.0</v>
      </c>
      <c r="E158" s="55">
        <v>0.0</v>
      </c>
      <c r="F158" s="3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3" t="s">
        <v>145</v>
      </c>
      <c r="B159" s="55">
        <v>0.0</v>
      </c>
      <c r="C159" s="55">
        <v>0.0</v>
      </c>
      <c r="D159" s="55">
        <v>0.0</v>
      </c>
      <c r="E159" s="55">
        <v>0.0</v>
      </c>
      <c r="F159" s="35"/>
      <c r="G159" s="2"/>
      <c r="H159" s="6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3" t="s">
        <v>146</v>
      </c>
      <c r="B160" s="55">
        <v>0.0</v>
      </c>
      <c r="C160" s="55">
        <v>0.0</v>
      </c>
      <c r="D160" s="55">
        <v>0.0</v>
      </c>
      <c r="E160" s="55">
        <v>0.0</v>
      </c>
      <c r="F160" s="35"/>
      <c r="G160" s="2"/>
      <c r="H160" s="62"/>
      <c r="I160" s="2"/>
      <c r="J160" s="2"/>
      <c r="K160" s="2"/>
      <c r="L160" s="2"/>
      <c r="M160" s="2"/>
      <c r="N160" s="2"/>
      <c r="O160" s="2"/>
      <c r="P160" s="2"/>
      <c r="Q160" s="3"/>
      <c r="R160" s="9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13" t="s">
        <v>147</v>
      </c>
      <c r="B161" s="61">
        <v>0.0</v>
      </c>
      <c r="C161" s="61">
        <v>0.0</v>
      </c>
      <c r="D161" s="61">
        <v>0.0</v>
      </c>
      <c r="E161" s="61">
        <v>0.0</v>
      </c>
      <c r="F161" s="35"/>
      <c r="G161" s="2"/>
      <c r="H161" s="62"/>
      <c r="I161" s="2"/>
      <c r="J161" s="2"/>
      <c r="K161" s="2"/>
      <c r="L161" s="2"/>
      <c r="M161" s="2"/>
      <c r="N161" s="2"/>
      <c r="O161" s="2"/>
      <c r="P161" s="2"/>
      <c r="Q161" s="3"/>
      <c r="R161" s="9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13" t="s">
        <v>148</v>
      </c>
      <c r="B162" s="61">
        <v>0.0</v>
      </c>
      <c r="C162" s="61">
        <v>50000.0</v>
      </c>
      <c r="D162" s="61">
        <v>0.0</v>
      </c>
      <c r="E162" s="61">
        <v>0.0</v>
      </c>
      <c r="F162" s="35"/>
      <c r="G162" s="2"/>
      <c r="H162" s="62"/>
      <c r="I162" s="2"/>
      <c r="J162" s="2"/>
      <c r="K162" s="2"/>
      <c r="L162" s="2"/>
      <c r="M162" s="2"/>
      <c r="N162" s="2"/>
      <c r="O162" s="2"/>
      <c r="P162" s="2"/>
      <c r="Q162" s="3"/>
      <c r="R162" s="9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3" t="s">
        <v>149</v>
      </c>
      <c r="B163" s="56">
        <v>0.0</v>
      </c>
      <c r="C163" s="56">
        <v>50000.0</v>
      </c>
      <c r="D163" s="55">
        <v>0.0</v>
      </c>
      <c r="E163" s="55">
        <v>0.0</v>
      </c>
      <c r="F163" s="3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13" t="s">
        <v>150</v>
      </c>
      <c r="B164" s="56">
        <v>0.0</v>
      </c>
      <c r="C164" s="56">
        <v>0.0</v>
      </c>
      <c r="D164" s="55">
        <v>0.0</v>
      </c>
      <c r="E164" s="55">
        <v>0.0</v>
      </c>
      <c r="F164" s="35"/>
      <c r="G164" s="2"/>
      <c r="H164" s="6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13" t="s">
        <v>151</v>
      </c>
      <c r="B165" s="56">
        <v>0.0</v>
      </c>
      <c r="C165" s="56">
        <v>0.0</v>
      </c>
      <c r="D165" s="55">
        <v>0.0</v>
      </c>
      <c r="E165" s="55">
        <v>0.0</v>
      </c>
      <c r="F165" s="3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13" t="s">
        <v>152</v>
      </c>
      <c r="B166" s="56">
        <v>0.0</v>
      </c>
      <c r="C166" s="56">
        <v>0.0</v>
      </c>
      <c r="D166" s="55">
        <v>0.0</v>
      </c>
      <c r="E166" s="55">
        <v>0.0</v>
      </c>
      <c r="F166" s="3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9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13" t="s">
        <v>153</v>
      </c>
      <c r="B167" s="56">
        <v>0.0</v>
      </c>
      <c r="C167" s="56">
        <v>0.0</v>
      </c>
      <c r="D167" s="55">
        <v>0.0</v>
      </c>
      <c r="E167" s="55">
        <v>0.0</v>
      </c>
      <c r="F167" s="3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9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13" t="s">
        <v>154</v>
      </c>
      <c r="B168" s="56">
        <v>0.0</v>
      </c>
      <c r="C168" s="56">
        <v>0.0</v>
      </c>
      <c r="D168" s="55">
        <v>0.0</v>
      </c>
      <c r="E168" s="55">
        <v>0.0</v>
      </c>
      <c r="F168" s="3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3" t="s">
        <v>155</v>
      </c>
      <c r="B169" s="55">
        <v>20000.0</v>
      </c>
      <c r="C169" s="55">
        <v>0.0</v>
      </c>
      <c r="D169" s="55">
        <v>0.0</v>
      </c>
      <c r="E169" s="55">
        <v>0.0</v>
      </c>
      <c r="F169" s="3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156</v>
      </c>
      <c r="B170" s="55">
        <v>0.0</v>
      </c>
      <c r="C170" s="55">
        <v>0.0</v>
      </c>
      <c r="D170" s="55">
        <v>12167.06</v>
      </c>
      <c r="E170" s="55">
        <v>0.0</v>
      </c>
      <c r="F170" s="3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157</v>
      </c>
      <c r="B171" s="55">
        <v>0.0</v>
      </c>
      <c r="C171" s="55">
        <v>0.0</v>
      </c>
      <c r="D171" s="55">
        <v>0.0</v>
      </c>
      <c r="E171" s="55">
        <v>0.0</v>
      </c>
      <c r="F171" s="3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158</v>
      </c>
      <c r="B172" s="56">
        <v>0.0</v>
      </c>
      <c r="C172" s="56">
        <v>0.0</v>
      </c>
      <c r="D172" s="55">
        <f>SUM(D142:D144)*2%</f>
        <v>22031.656</v>
      </c>
      <c r="E172" s="55">
        <v>0.0</v>
      </c>
      <c r="F172" s="3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159</v>
      </c>
      <c r="B173" s="55">
        <v>0.0</v>
      </c>
      <c r="C173" s="55">
        <v>0.0</v>
      </c>
      <c r="D173" s="55">
        <v>0.0</v>
      </c>
      <c r="E173" s="55">
        <v>0.0</v>
      </c>
      <c r="F173" s="3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3" t="s">
        <v>160</v>
      </c>
      <c r="B174" s="55">
        <v>0.0</v>
      </c>
      <c r="C174" s="55">
        <v>0.0</v>
      </c>
      <c r="D174" s="55">
        <v>0.0</v>
      </c>
      <c r="E174" s="55">
        <v>0.0</v>
      </c>
      <c r="F174" s="3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3" t="s">
        <v>161</v>
      </c>
      <c r="B175" s="55">
        <v>0.0</v>
      </c>
      <c r="C175" s="55">
        <v>0.0</v>
      </c>
      <c r="D175" s="55">
        <v>0.0</v>
      </c>
      <c r="E175" s="55">
        <v>0.0</v>
      </c>
      <c r="F175" s="3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 t="s">
        <v>162</v>
      </c>
      <c r="B176" s="55">
        <v>0.0</v>
      </c>
      <c r="C176" s="55">
        <v>0.0</v>
      </c>
      <c r="D176" s="55">
        <v>0.0</v>
      </c>
      <c r="E176" s="55">
        <v>0.0</v>
      </c>
      <c r="F176" s="3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63"/>
      <c r="B177" s="55"/>
      <c r="C177" s="55"/>
      <c r="D177" s="55"/>
      <c r="E177" s="55"/>
      <c r="F177" s="3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13" t="s">
        <v>163</v>
      </c>
      <c r="B178" s="56">
        <v>0.0</v>
      </c>
      <c r="C178" s="56">
        <f>SUM(C152:C175)*0.6%</f>
        <v>2970</v>
      </c>
      <c r="D178" s="56">
        <f>SUM(D152:D175)*0.6%+(D179*0.6%)</f>
        <v>5737.192296</v>
      </c>
      <c r="E178" s="56">
        <f>(E156*0.6%)+(E157*0.6%)+(E158*0.6%)+(E161*0.6%)+(E162*0.6%)</f>
        <v>0</v>
      </c>
      <c r="F178" s="3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164</v>
      </c>
      <c r="B179" s="56">
        <v>0.0</v>
      </c>
      <c r="C179" s="56">
        <f t="shared" ref="C179:D179" si="22">272000+150000</f>
        <v>422000</v>
      </c>
      <c r="D179" s="56">
        <f t="shared" si="22"/>
        <v>422000</v>
      </c>
      <c r="E179" s="56">
        <f>SUM(E153:E177)*0.6%+(E180*0.6%)</f>
        <v>0</v>
      </c>
      <c r="F179" s="6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63"/>
      <c r="B180" s="63"/>
      <c r="C180" s="35"/>
      <c r="D180" s="2"/>
      <c r="E180" s="35"/>
      <c r="F180" s="3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65" t="s">
        <v>165</v>
      </c>
      <c r="B181" s="66">
        <f>SUM(B152:B180)</f>
        <v>70000</v>
      </c>
      <c r="C181" s="66">
        <f>SUM(C152:C178)</f>
        <v>497970</v>
      </c>
      <c r="D181" s="66">
        <f>SUM(D152:D179)</f>
        <v>961935.9083</v>
      </c>
      <c r="E181" s="66">
        <f>E163+E167+E178-E179</f>
        <v>0</v>
      </c>
      <c r="F181" s="67" t="str">
        <f>F156</f>
        <v/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63"/>
      <c r="B182" s="63"/>
      <c r="C182" s="35"/>
      <c r="D182" s="35"/>
      <c r="E182" s="35"/>
      <c r="F182" s="3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65" t="s">
        <v>166</v>
      </c>
      <c r="B183" s="68">
        <f>B149-B181</f>
        <v>2778150</v>
      </c>
      <c r="C183" s="69">
        <f>C149-C181+C179</f>
        <v>236114.49</v>
      </c>
      <c r="D183" s="69">
        <f t="shared" ref="D183:F183" si="23">D149-D181</f>
        <v>1401865.675</v>
      </c>
      <c r="E183" s="70">
        <f t="shared" si="23"/>
        <v>0</v>
      </c>
      <c r="F183" s="70">
        <f t="shared" si="23"/>
        <v>8500000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71" t="s">
        <v>167</v>
      </c>
      <c r="B185" s="72">
        <v>249800.0</v>
      </c>
      <c r="C185" s="52"/>
      <c r="D185" s="52"/>
      <c r="E185" s="52"/>
      <c r="F185" s="5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9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71" t="s">
        <v>168</v>
      </c>
      <c r="B186" s="72">
        <v>2528350.0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52" t="s">
        <v>13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52">
        <f>SUM(B185:B186)</f>
        <v>2778150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9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9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9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9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9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9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9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9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9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9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9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9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9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9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3"/>
      <c r="T262" s="3"/>
      <c r="U262" s="9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9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9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9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9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9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9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9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9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9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3"/>
      <c r="T304" s="3"/>
      <c r="U304" s="9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9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9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9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5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5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5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5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5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5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5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5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5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5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5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5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5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5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5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5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9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5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5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52"/>
      <c r="R349" s="52"/>
      <c r="S349" s="3"/>
      <c r="T349" s="3"/>
      <c r="U349" s="9"/>
      <c r="V349" s="3"/>
      <c r="W349" s="3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9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9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5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5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5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5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5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5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5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9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9"/>
      <c r="T395" s="3"/>
      <c r="U395" s="2"/>
      <c r="V395" s="3"/>
      <c r="W395" s="3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9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9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9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9"/>
      <c r="T412" s="3"/>
      <c r="U412" s="2"/>
      <c r="V412" s="3"/>
      <c r="W412" s="3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9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9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9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9"/>
      <c r="T423" s="3"/>
      <c r="U423" s="2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9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9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3"/>
      <c r="T439" s="3"/>
      <c r="U439" s="9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9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9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3"/>
      <c r="T453" s="9"/>
      <c r="U453" s="2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9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9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9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9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3"/>
      <c r="T465" s="9"/>
      <c r="U465" s="2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9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9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3"/>
      <c r="R480" s="2"/>
      <c r="S480" s="2"/>
      <c r="T480" s="3"/>
      <c r="U480" s="2"/>
      <c r="V480" s="2"/>
      <c r="W480" s="2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3"/>
      <c r="T481" s="3"/>
      <c r="U481" s="3"/>
      <c r="V481" s="2"/>
      <c r="W481" s="2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44"/>
      <c r="R483" s="44"/>
      <c r="S483" s="44"/>
      <c r="T483" s="44"/>
      <c r="U483" s="44"/>
      <c r="V483" s="44"/>
      <c r="W483" s="44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3"/>
      <c r="T484" s="3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"/>
      <c r="R485" s="2"/>
      <c r="S485" s="3"/>
      <c r="T485" s="3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4"/>
      <c r="R487" s="75"/>
      <c r="S487" s="76"/>
      <c r="T487" s="76"/>
      <c r="U487" s="76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7"/>
      <c r="R488" s="77"/>
      <c r="S488" s="77"/>
      <c r="T488" s="77"/>
      <c r="U488" s="77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52"/>
      <c r="R489" s="52"/>
      <c r="S489" s="52"/>
      <c r="T489" s="5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52"/>
      <c r="R491" s="52"/>
      <c r="S491" s="52"/>
      <c r="T491" s="52"/>
      <c r="U491" s="5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52"/>
      <c r="R492" s="52"/>
      <c r="S492" s="52"/>
      <c r="T492" s="5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52"/>
      <c r="R493" s="52"/>
      <c r="S493" s="52"/>
      <c r="T493" s="5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2"/>
      <c r="R494" s="52"/>
      <c r="S494" s="52"/>
      <c r="T494" s="5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52"/>
      <c r="R495" s="52"/>
      <c r="S495" s="52"/>
      <c r="T495" s="5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8"/>
      <c r="R496" s="78"/>
      <c r="S496" s="78"/>
      <c r="T496" s="78"/>
      <c r="U496" s="79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"/>
      <c r="R497" s="2"/>
      <c r="S497" s="3"/>
      <c r="T497" s="3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62"/>
      <c r="R499" s="62"/>
      <c r="S499" s="62"/>
      <c r="T499" s="6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62"/>
      <c r="R500" s="62"/>
      <c r="S500" s="62"/>
      <c r="T500" s="6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62"/>
      <c r="R501" s="62"/>
      <c r="S501" s="62"/>
      <c r="T501" s="6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62"/>
      <c r="R502" s="62"/>
      <c r="S502" s="62"/>
      <c r="T502" s="6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62"/>
      <c r="R503" s="62"/>
      <c r="S503" s="62"/>
      <c r="T503" s="62"/>
      <c r="U503" s="2"/>
      <c r="V503" s="2"/>
      <c r="W503" s="6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62"/>
      <c r="R504" s="62"/>
      <c r="S504" s="62"/>
      <c r="T504" s="6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62"/>
      <c r="R505" s="62"/>
      <c r="S505" s="62"/>
      <c r="T505" s="62"/>
      <c r="U505" s="2"/>
      <c r="V505" s="2"/>
      <c r="W505" s="6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2"/>
      <c r="R506" s="62"/>
      <c r="S506" s="62"/>
      <c r="T506" s="62"/>
      <c r="U506" s="2"/>
      <c r="V506" s="2"/>
      <c r="W506" s="6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52"/>
      <c r="R507" s="52"/>
      <c r="S507" s="52"/>
      <c r="T507" s="5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52"/>
      <c r="R508" s="52"/>
      <c r="S508" s="52"/>
      <c r="T508" s="52"/>
      <c r="U508" s="2"/>
      <c r="V508" s="2"/>
      <c r="W508" s="6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52"/>
      <c r="R509" s="52"/>
      <c r="S509" s="52"/>
      <c r="T509" s="5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52"/>
      <c r="R510" s="52"/>
      <c r="S510" s="52"/>
      <c r="T510" s="5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52"/>
      <c r="R511" s="52"/>
      <c r="S511" s="52"/>
      <c r="T511" s="5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52"/>
      <c r="R512" s="52"/>
      <c r="S512" s="52"/>
      <c r="T512" s="5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52"/>
      <c r="R513" s="52"/>
      <c r="S513" s="52"/>
      <c r="T513" s="5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52"/>
      <c r="R514" s="52"/>
      <c r="S514" s="52"/>
      <c r="T514" s="5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52"/>
      <c r="R515" s="52"/>
      <c r="S515" s="52"/>
      <c r="T515" s="5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"/>
      <c r="R516" s="52"/>
      <c r="S516" s="52"/>
      <c r="T516" s="5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8"/>
      <c r="R518" s="78"/>
      <c r="S518" s="78"/>
      <c r="T518" s="78"/>
      <c r="U518" s="79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7"/>
      <c r="R520" s="78"/>
      <c r="S520" s="78"/>
      <c r="T520" s="80"/>
      <c r="U520" s="80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2"/>
      <c r="R522" s="52"/>
      <c r="S522" s="52"/>
      <c r="T522" s="52"/>
      <c r="U522" s="5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</sheetData>
  <mergeCells count="8">
    <mergeCell ref="I3:K3"/>
    <mergeCell ref="A133:B133"/>
    <mergeCell ref="U137:W137"/>
    <mergeCell ref="A138:A139"/>
    <mergeCell ref="A141:F141"/>
    <mergeCell ref="A151:F151"/>
    <mergeCell ref="U191:W191"/>
    <mergeCell ref="U226:W226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2"/>
      <c r="C2" s="2"/>
      <c r="D2" s="3"/>
      <c r="E2" s="3"/>
      <c r="F2" s="3"/>
      <c r="G2" s="2"/>
      <c r="H2" s="2"/>
      <c r="I2" s="2"/>
      <c r="J2" s="2"/>
      <c r="K2" s="3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0</v>
      </c>
      <c r="B3" s="5"/>
      <c r="C3" s="5"/>
      <c r="D3" s="6"/>
      <c r="E3" s="6" t="s">
        <v>212</v>
      </c>
      <c r="F3" s="7">
        <v>46057.0</v>
      </c>
      <c r="G3" s="6"/>
      <c r="H3" s="3"/>
      <c r="I3" s="8" t="s">
        <v>3</v>
      </c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0" t="s">
        <v>9</v>
      </c>
      <c r="G5" s="3"/>
      <c r="H5" s="3"/>
      <c r="I5" s="10" t="s">
        <v>7</v>
      </c>
      <c r="J5" s="10" t="s">
        <v>8</v>
      </c>
      <c r="K5" s="10" t="s">
        <v>10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13">
        <v>3.0</v>
      </c>
      <c r="B6" s="12" t="s">
        <v>29</v>
      </c>
      <c r="C6" s="14" t="s">
        <v>31</v>
      </c>
      <c r="D6" s="15">
        <v>35000.0</v>
      </c>
      <c r="E6" s="15">
        <f t="shared" ref="E6:E24" si="1">A6*D6</f>
        <v>105000</v>
      </c>
      <c r="F6" s="15">
        <f t="shared" ref="F6:F10" si="2">E6*1.105</f>
        <v>116025</v>
      </c>
      <c r="G6" s="3"/>
      <c r="H6" s="3" t="s">
        <v>13</v>
      </c>
      <c r="I6" s="16">
        <v>25000.0</v>
      </c>
      <c r="J6" s="15">
        <f t="shared" ref="J6:J24" si="3">I6*A6</f>
        <v>75000</v>
      </c>
      <c r="K6" s="15">
        <f t="shared" ref="K6:K24" si="4">F6-J6</f>
        <v>41025</v>
      </c>
      <c r="L6" s="4"/>
      <c r="M6" s="20"/>
      <c r="N6" s="21"/>
      <c r="P6" s="21"/>
      <c r="Q6" s="21"/>
      <c r="R6" s="2"/>
      <c r="S6" s="3"/>
      <c r="T6" s="3"/>
      <c r="U6" s="1"/>
      <c r="V6" s="3"/>
      <c r="W6" s="3"/>
      <c r="X6" s="3"/>
      <c r="Y6" s="3"/>
      <c r="Z6" s="3"/>
    </row>
    <row r="7">
      <c r="A7" s="13">
        <v>5.0</v>
      </c>
      <c r="B7" s="12" t="s">
        <v>29</v>
      </c>
      <c r="C7" s="14" t="s">
        <v>201</v>
      </c>
      <c r="D7" s="22">
        <v>34000.0</v>
      </c>
      <c r="E7" s="15">
        <f t="shared" si="1"/>
        <v>170000</v>
      </c>
      <c r="F7" s="15">
        <f t="shared" si="2"/>
        <v>187850</v>
      </c>
      <c r="G7" s="3"/>
      <c r="H7" s="6"/>
      <c r="I7" s="16">
        <v>22000.0</v>
      </c>
      <c r="J7" s="15">
        <f t="shared" si="3"/>
        <v>110000</v>
      </c>
      <c r="K7" s="15">
        <f t="shared" si="4"/>
        <v>77850</v>
      </c>
      <c r="L7" s="4"/>
      <c r="M7" s="20"/>
      <c r="N7" s="21"/>
      <c r="P7" s="21"/>
      <c r="Q7" s="21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3.0</v>
      </c>
      <c r="B8" s="12" t="s">
        <v>29</v>
      </c>
      <c r="C8" s="14" t="s">
        <v>213</v>
      </c>
      <c r="D8" s="15">
        <v>35000.0</v>
      </c>
      <c r="E8" s="15">
        <f t="shared" si="1"/>
        <v>105000</v>
      </c>
      <c r="F8" s="15">
        <f t="shared" si="2"/>
        <v>116025</v>
      </c>
      <c r="G8" s="3"/>
      <c r="H8" s="3" t="s">
        <v>13</v>
      </c>
      <c r="I8" s="16">
        <v>27000.0</v>
      </c>
      <c r="J8" s="15">
        <f t="shared" si="3"/>
        <v>81000</v>
      </c>
      <c r="K8" s="15">
        <f t="shared" si="4"/>
        <v>35025</v>
      </c>
      <c r="L8" s="4"/>
      <c r="M8" s="20"/>
      <c r="N8" s="21"/>
      <c r="P8" s="21"/>
      <c r="Q8" s="21"/>
      <c r="R8" s="2"/>
      <c r="S8" s="3"/>
      <c r="T8" s="3"/>
      <c r="U8" s="1"/>
      <c r="V8" s="3"/>
      <c r="W8" s="3"/>
      <c r="X8" s="3"/>
      <c r="Y8" s="3"/>
      <c r="Z8" s="3"/>
    </row>
    <row r="9">
      <c r="A9" s="13">
        <v>3.0</v>
      </c>
      <c r="B9" s="12" t="s">
        <v>29</v>
      </c>
      <c r="C9" s="14" t="s">
        <v>214</v>
      </c>
      <c r="D9" s="22">
        <v>35000.0</v>
      </c>
      <c r="E9" s="15">
        <f t="shared" si="1"/>
        <v>105000</v>
      </c>
      <c r="F9" s="15">
        <f t="shared" si="2"/>
        <v>116025</v>
      </c>
      <c r="G9" s="3"/>
      <c r="H9" s="3" t="s">
        <v>13</v>
      </c>
      <c r="I9" s="16">
        <v>20000.0</v>
      </c>
      <c r="J9" s="15">
        <f t="shared" si="3"/>
        <v>60000</v>
      </c>
      <c r="K9" s="15">
        <f t="shared" si="4"/>
        <v>56025</v>
      </c>
      <c r="L9" s="4"/>
      <c r="M9" s="17"/>
      <c r="N9" s="18"/>
      <c r="O9" s="19"/>
      <c r="P9" s="18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13">
        <v>2.0</v>
      </c>
      <c r="B10" s="12" t="s">
        <v>18</v>
      </c>
      <c r="C10" s="14" t="s">
        <v>19</v>
      </c>
      <c r="D10" s="22">
        <v>18000.0</v>
      </c>
      <c r="E10" s="15">
        <f t="shared" si="1"/>
        <v>36000</v>
      </c>
      <c r="F10" s="15">
        <f t="shared" si="2"/>
        <v>39780</v>
      </c>
      <c r="G10" s="3"/>
      <c r="H10" s="3" t="s">
        <v>13</v>
      </c>
      <c r="I10" s="16">
        <v>12000.0</v>
      </c>
      <c r="J10" s="15">
        <f t="shared" si="3"/>
        <v>24000</v>
      </c>
      <c r="K10" s="15">
        <f t="shared" si="4"/>
        <v>15780</v>
      </c>
      <c r="L10" s="4"/>
      <c r="M10" s="20"/>
      <c r="N10" s="18"/>
      <c r="O10" s="19"/>
      <c r="P10" s="21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1.0</v>
      </c>
      <c r="B11" s="12" t="s">
        <v>18</v>
      </c>
      <c r="C11" s="14" t="s">
        <v>21</v>
      </c>
      <c r="D11" s="15">
        <v>56000.0</v>
      </c>
      <c r="E11" s="15">
        <f t="shared" si="1"/>
        <v>56000</v>
      </c>
      <c r="F11" s="15">
        <f>E11*1.21</f>
        <v>67760</v>
      </c>
      <c r="G11" s="3"/>
      <c r="H11" s="3" t="s">
        <v>13</v>
      </c>
      <c r="I11" s="16">
        <v>46000.0</v>
      </c>
      <c r="J11" s="15">
        <f t="shared" si="3"/>
        <v>46000</v>
      </c>
      <c r="K11" s="15">
        <f t="shared" si="4"/>
        <v>21760</v>
      </c>
      <c r="L11" s="4"/>
      <c r="M11" s="20"/>
      <c r="N11" s="18"/>
      <c r="O11" s="19"/>
      <c r="P11" s="21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>
        <v>2.0</v>
      </c>
      <c r="B12" s="12" t="s">
        <v>29</v>
      </c>
      <c r="C12" s="14" t="s">
        <v>30</v>
      </c>
      <c r="D12" s="15">
        <v>63000.0</v>
      </c>
      <c r="E12" s="15">
        <f t="shared" si="1"/>
        <v>126000</v>
      </c>
      <c r="F12" s="15">
        <f t="shared" ref="F12:F20" si="5">E12*1.105</f>
        <v>139230</v>
      </c>
      <c r="G12" s="3"/>
      <c r="H12" s="3" t="s">
        <v>13</v>
      </c>
      <c r="I12" s="16">
        <v>22000.0</v>
      </c>
      <c r="J12" s="15">
        <f t="shared" si="3"/>
        <v>44000</v>
      </c>
      <c r="K12" s="15">
        <f t="shared" si="4"/>
        <v>95230</v>
      </c>
      <c r="L12" s="4"/>
      <c r="M12" s="20"/>
      <c r="N12" s="21"/>
      <c r="P12" s="21"/>
      <c r="Q12" s="21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>
        <v>15.0</v>
      </c>
      <c r="B13" s="12" t="s">
        <v>5</v>
      </c>
      <c r="C13" s="14" t="s">
        <v>215</v>
      </c>
      <c r="D13" s="15">
        <v>1300.0</v>
      </c>
      <c r="E13" s="15">
        <f t="shared" si="1"/>
        <v>19500</v>
      </c>
      <c r="F13" s="15">
        <f t="shared" si="5"/>
        <v>21547.5</v>
      </c>
      <c r="G13" s="3"/>
      <c r="H13" s="3" t="s">
        <v>13</v>
      </c>
      <c r="I13" s="16">
        <f>53000/80</f>
        <v>662.5</v>
      </c>
      <c r="J13" s="15">
        <f t="shared" si="3"/>
        <v>9937.5</v>
      </c>
      <c r="K13" s="15">
        <f t="shared" si="4"/>
        <v>11610</v>
      </c>
      <c r="L13" s="4"/>
      <c r="M13" s="20"/>
      <c r="N13" s="21"/>
      <c r="P13" s="21"/>
      <c r="Q13" s="21"/>
      <c r="R13" s="2"/>
      <c r="S13" s="3"/>
      <c r="T13" s="3"/>
      <c r="U13" s="1"/>
      <c r="V13" s="3"/>
      <c r="W13" s="3"/>
      <c r="X13" s="3"/>
      <c r="Y13" s="3"/>
      <c r="Z13" s="3"/>
    </row>
    <row r="14">
      <c r="A14" s="13">
        <v>2.0</v>
      </c>
      <c r="B14" s="12" t="s">
        <v>18</v>
      </c>
      <c r="C14" s="14" t="s">
        <v>39</v>
      </c>
      <c r="D14" s="15">
        <v>22000.0</v>
      </c>
      <c r="E14" s="15">
        <f t="shared" si="1"/>
        <v>44000</v>
      </c>
      <c r="F14" s="15">
        <f t="shared" si="5"/>
        <v>48620</v>
      </c>
      <c r="G14" s="3"/>
      <c r="H14" s="3" t="s">
        <v>13</v>
      </c>
      <c r="I14" s="16">
        <v>18000.0</v>
      </c>
      <c r="J14" s="15">
        <f t="shared" si="3"/>
        <v>36000</v>
      </c>
      <c r="K14" s="15">
        <f t="shared" si="4"/>
        <v>12620</v>
      </c>
      <c r="L14" s="4"/>
      <c r="M14" s="20"/>
      <c r="N14" s="21"/>
      <c r="P14" s="21"/>
      <c r="Q14" s="21"/>
      <c r="R14" s="2"/>
      <c r="S14" s="3"/>
      <c r="T14" s="3"/>
      <c r="U14" s="1"/>
      <c r="V14" s="3"/>
      <c r="W14" s="3"/>
      <c r="X14" s="3"/>
      <c r="Y14" s="3"/>
      <c r="Z14" s="3"/>
    </row>
    <row r="15">
      <c r="A15" s="13">
        <v>19.0</v>
      </c>
      <c r="B15" s="12" t="s">
        <v>33</v>
      </c>
      <c r="C15" s="14" t="s">
        <v>34</v>
      </c>
      <c r="D15" s="15">
        <v>1200.0</v>
      </c>
      <c r="E15" s="15">
        <f t="shared" si="1"/>
        <v>22800</v>
      </c>
      <c r="F15" s="15">
        <f t="shared" si="5"/>
        <v>25194</v>
      </c>
      <c r="G15" s="6"/>
      <c r="H15" s="3" t="s">
        <v>13</v>
      </c>
      <c r="I15" s="16">
        <v>700.0</v>
      </c>
      <c r="J15" s="15">
        <f t="shared" si="3"/>
        <v>13300</v>
      </c>
      <c r="K15" s="15">
        <f t="shared" si="4"/>
        <v>11894</v>
      </c>
      <c r="L15" s="4"/>
      <c r="M15" s="17"/>
      <c r="N15" s="18"/>
      <c r="O15" s="19"/>
      <c r="P15" s="18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>
        <v>1.0</v>
      </c>
      <c r="B16" s="12" t="s">
        <v>18</v>
      </c>
      <c r="C16" s="14" t="s">
        <v>216</v>
      </c>
      <c r="D16" s="15">
        <v>22000.0</v>
      </c>
      <c r="E16" s="15">
        <f t="shared" si="1"/>
        <v>22000</v>
      </c>
      <c r="F16" s="15">
        <f t="shared" si="5"/>
        <v>24310</v>
      </c>
      <c r="G16" s="6"/>
      <c r="H16" s="3" t="s">
        <v>13</v>
      </c>
      <c r="I16" s="16">
        <v>15000.0</v>
      </c>
      <c r="J16" s="15">
        <f t="shared" si="3"/>
        <v>15000</v>
      </c>
      <c r="K16" s="15">
        <f t="shared" si="4"/>
        <v>9310</v>
      </c>
      <c r="L16" s="4"/>
      <c r="M16" s="17"/>
      <c r="N16" s="18"/>
      <c r="O16" s="19"/>
      <c r="P16" s="18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>
        <v>2.0</v>
      </c>
      <c r="B17" s="12" t="s">
        <v>18</v>
      </c>
      <c r="C17" s="14" t="s">
        <v>217</v>
      </c>
      <c r="D17" s="15">
        <v>40000.0</v>
      </c>
      <c r="E17" s="15">
        <f t="shared" si="1"/>
        <v>80000</v>
      </c>
      <c r="F17" s="15">
        <f t="shared" si="5"/>
        <v>88400</v>
      </c>
      <c r="G17" s="6"/>
      <c r="H17" s="3" t="s">
        <v>13</v>
      </c>
      <c r="I17" s="16">
        <v>35000.0</v>
      </c>
      <c r="J17" s="15">
        <f t="shared" si="3"/>
        <v>70000</v>
      </c>
      <c r="K17" s="15">
        <f t="shared" si="4"/>
        <v>18400</v>
      </c>
      <c r="L17" s="4"/>
      <c r="M17" s="17"/>
      <c r="N17" s="18"/>
      <c r="O17" s="19"/>
      <c r="P17" s="18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13">
        <v>1.0</v>
      </c>
      <c r="B18" s="12" t="s">
        <v>29</v>
      </c>
      <c r="C18" s="14" t="s">
        <v>30</v>
      </c>
      <c r="D18" s="15">
        <v>63000.0</v>
      </c>
      <c r="E18" s="15">
        <f t="shared" si="1"/>
        <v>63000</v>
      </c>
      <c r="F18" s="15">
        <f t="shared" si="5"/>
        <v>69615</v>
      </c>
      <c r="G18" s="6" t="s">
        <v>218</v>
      </c>
      <c r="H18" s="3" t="s">
        <v>13</v>
      </c>
      <c r="I18" s="16">
        <v>0.0</v>
      </c>
      <c r="J18" s="15">
        <f t="shared" si="3"/>
        <v>0</v>
      </c>
      <c r="K18" s="15">
        <f t="shared" si="4"/>
        <v>69615</v>
      </c>
      <c r="L18" s="4"/>
      <c r="M18" s="17"/>
      <c r="N18" s="18"/>
      <c r="O18" s="19"/>
      <c r="P18" s="18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>
        <v>1.0</v>
      </c>
      <c r="B19" s="12" t="s">
        <v>18</v>
      </c>
      <c r="C19" s="14" t="s">
        <v>39</v>
      </c>
      <c r="D19" s="15">
        <v>22000.0</v>
      </c>
      <c r="E19" s="15">
        <f t="shared" si="1"/>
        <v>22000</v>
      </c>
      <c r="F19" s="15">
        <f t="shared" si="5"/>
        <v>24310</v>
      </c>
      <c r="G19" s="6" t="s">
        <v>218</v>
      </c>
      <c r="H19" s="3" t="s">
        <v>13</v>
      </c>
      <c r="I19" s="16">
        <v>0.0</v>
      </c>
      <c r="J19" s="15">
        <f t="shared" si="3"/>
        <v>0</v>
      </c>
      <c r="K19" s="15">
        <f t="shared" si="4"/>
        <v>24310</v>
      </c>
      <c r="L19" s="4"/>
      <c r="M19" s="20"/>
      <c r="N19" s="18"/>
      <c r="O19" s="19"/>
      <c r="P19" s="21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1.0</v>
      </c>
      <c r="B20" s="12" t="s">
        <v>18</v>
      </c>
      <c r="C20" s="14" t="s">
        <v>19</v>
      </c>
      <c r="D20" s="22">
        <v>18000.0</v>
      </c>
      <c r="E20" s="15">
        <f t="shared" si="1"/>
        <v>18000</v>
      </c>
      <c r="F20" s="15">
        <f t="shared" si="5"/>
        <v>19890</v>
      </c>
      <c r="G20" s="6" t="s">
        <v>218</v>
      </c>
      <c r="H20" s="3" t="s">
        <v>13</v>
      </c>
      <c r="I20" s="16">
        <v>0.0</v>
      </c>
      <c r="J20" s="15">
        <f t="shared" si="3"/>
        <v>0</v>
      </c>
      <c r="K20" s="15">
        <f t="shared" si="4"/>
        <v>19890</v>
      </c>
      <c r="L20" s="4"/>
      <c r="M20" s="20"/>
      <c r="N20" s="18"/>
      <c r="O20" s="19"/>
      <c r="P20" s="21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>
        <v>0.5</v>
      </c>
      <c r="B21" s="12" t="s">
        <v>18</v>
      </c>
      <c r="C21" s="14" t="s">
        <v>21</v>
      </c>
      <c r="D21" s="15">
        <v>56000.0</v>
      </c>
      <c r="E21" s="15">
        <f t="shared" si="1"/>
        <v>28000</v>
      </c>
      <c r="F21" s="15">
        <f>E21*1.21</f>
        <v>33880</v>
      </c>
      <c r="G21" s="6" t="s">
        <v>218</v>
      </c>
      <c r="H21" s="3" t="s">
        <v>13</v>
      </c>
      <c r="I21" s="16">
        <v>0.0</v>
      </c>
      <c r="J21" s="15">
        <f t="shared" si="3"/>
        <v>0</v>
      </c>
      <c r="K21" s="15">
        <f t="shared" si="4"/>
        <v>33880</v>
      </c>
      <c r="L21" s="4"/>
      <c r="M21" s="20"/>
      <c r="N21" s="18"/>
      <c r="O21" s="19"/>
      <c r="P21" s="21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>
        <v>1.0</v>
      </c>
      <c r="B22" s="12" t="s">
        <v>18</v>
      </c>
      <c r="C22" s="14" t="s">
        <v>214</v>
      </c>
      <c r="D22" s="22">
        <v>35000.0</v>
      </c>
      <c r="E22" s="15">
        <f t="shared" si="1"/>
        <v>35000</v>
      </c>
      <c r="F22" s="15">
        <f t="shared" ref="F22:F24" si="6">E22*1.105</f>
        <v>38675</v>
      </c>
      <c r="G22" s="6" t="s">
        <v>219</v>
      </c>
      <c r="H22" s="3" t="s">
        <v>13</v>
      </c>
      <c r="I22" s="16">
        <v>0.0</v>
      </c>
      <c r="J22" s="15">
        <f t="shared" si="3"/>
        <v>0</v>
      </c>
      <c r="K22" s="15">
        <f t="shared" si="4"/>
        <v>38675</v>
      </c>
      <c r="L22" s="4"/>
      <c r="M22" s="20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>
        <v>1.0</v>
      </c>
      <c r="B23" s="12" t="s">
        <v>18</v>
      </c>
      <c r="C23" s="14" t="s">
        <v>201</v>
      </c>
      <c r="D23" s="22">
        <v>34000.0</v>
      </c>
      <c r="E23" s="15">
        <f t="shared" si="1"/>
        <v>34000</v>
      </c>
      <c r="F23" s="15">
        <f t="shared" si="6"/>
        <v>37570</v>
      </c>
      <c r="G23" s="6" t="s">
        <v>219</v>
      </c>
      <c r="H23" s="3" t="s">
        <v>13</v>
      </c>
      <c r="I23" s="16">
        <v>0.0</v>
      </c>
      <c r="J23" s="15">
        <f t="shared" si="3"/>
        <v>0</v>
      </c>
      <c r="K23" s="15">
        <f t="shared" si="4"/>
        <v>37570</v>
      </c>
      <c r="L23" s="4"/>
      <c r="M23" s="20"/>
      <c r="N23" s="21"/>
      <c r="P23" s="21"/>
      <c r="Q23" s="21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>
        <v>3.0</v>
      </c>
      <c r="B24" s="12" t="s">
        <v>29</v>
      </c>
      <c r="C24" s="14" t="s">
        <v>31</v>
      </c>
      <c r="D24" s="15">
        <v>35000.0</v>
      </c>
      <c r="E24" s="15">
        <f t="shared" si="1"/>
        <v>105000</v>
      </c>
      <c r="F24" s="15">
        <f t="shared" si="6"/>
        <v>116025</v>
      </c>
      <c r="G24" s="6" t="s">
        <v>219</v>
      </c>
      <c r="H24" s="3" t="s">
        <v>13</v>
      </c>
      <c r="I24" s="16">
        <v>0.0</v>
      </c>
      <c r="J24" s="15">
        <f t="shared" si="3"/>
        <v>0</v>
      </c>
      <c r="K24" s="15">
        <f t="shared" si="4"/>
        <v>116025</v>
      </c>
      <c r="L24" s="4"/>
      <c r="M24" s="20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/>
      <c r="B25" s="12"/>
      <c r="C25" s="14"/>
      <c r="D25" s="15"/>
      <c r="E25" s="3"/>
      <c r="F25" s="3"/>
      <c r="G25" s="3"/>
      <c r="H25" s="3"/>
      <c r="I25" s="3"/>
      <c r="J25" s="3"/>
      <c r="K25" s="3"/>
      <c r="L25" s="4"/>
      <c r="N25" s="21"/>
      <c r="P25" s="21"/>
      <c r="Q25" s="21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/>
      <c r="B26" s="12"/>
      <c r="C26" s="14"/>
      <c r="D26" s="15"/>
      <c r="E26" s="15">
        <f t="shared" ref="E26:F26" si="7">SUM(E6:E24)</f>
        <v>1196300</v>
      </c>
      <c r="F26" s="15">
        <f t="shared" si="7"/>
        <v>1330731.5</v>
      </c>
      <c r="G26" s="3"/>
      <c r="H26" s="3"/>
      <c r="I26" s="3"/>
      <c r="J26" s="3"/>
      <c r="K26" s="15">
        <f>SUM(K6:K24)</f>
        <v>746494</v>
      </c>
      <c r="L26" s="23">
        <f>K26/F26</f>
        <v>0.5609651534</v>
      </c>
      <c r="M26" s="2"/>
      <c r="N26" s="21"/>
      <c r="P26" s="21"/>
      <c r="Q26" s="21"/>
      <c r="R26" s="2"/>
      <c r="S26" s="3"/>
      <c r="T26" s="3"/>
      <c r="U26" s="1"/>
      <c r="V26" s="3"/>
      <c r="W26" s="3"/>
      <c r="X26" s="3"/>
      <c r="Y26" s="3"/>
      <c r="Z26" s="3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1"/>
      <c r="P27" s="21"/>
      <c r="Q27" s="21"/>
      <c r="R27" s="2"/>
      <c r="S27" s="3"/>
      <c r="T27" s="3"/>
      <c r="U27" s="1"/>
      <c r="V27" s="3"/>
      <c r="W27" s="3"/>
      <c r="X27" s="3"/>
      <c r="Y27" s="3"/>
      <c r="Z27" s="3"/>
    </row>
    <row r="28">
      <c r="A28" s="24"/>
      <c r="B28" s="24"/>
      <c r="C28" s="24"/>
      <c r="D28" s="32"/>
      <c r="E28" s="7"/>
      <c r="F28" s="33"/>
      <c r="G28" s="25"/>
      <c r="H28" s="25"/>
      <c r="I28" s="16"/>
      <c r="J28" s="16"/>
      <c r="K28" s="16"/>
      <c r="L28" s="34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24" t="s">
        <v>100</v>
      </c>
      <c r="B29" s="24"/>
      <c r="C29" s="24"/>
      <c r="D29" s="32" t="s">
        <v>220</v>
      </c>
      <c r="E29" s="7">
        <v>46057.0</v>
      </c>
      <c r="F29" s="33" t="s">
        <v>13</v>
      </c>
      <c r="G29" s="25"/>
      <c r="H29" s="25"/>
      <c r="I29" s="16"/>
      <c r="J29" s="16"/>
      <c r="K29" s="16"/>
      <c r="L29" s="34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B30" s="25"/>
      <c r="C30" s="35"/>
      <c r="D30" s="25"/>
      <c r="E30" s="25"/>
      <c r="F30" s="25"/>
      <c r="G30" s="25"/>
      <c r="H30" s="25"/>
      <c r="I30" s="16"/>
      <c r="J30" s="16"/>
      <c r="K30" s="16"/>
      <c r="L30" s="34"/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5" t="s">
        <v>4</v>
      </c>
      <c r="B31" s="10" t="s">
        <v>5</v>
      </c>
      <c r="C31" s="11" t="s">
        <v>6</v>
      </c>
      <c r="D31" s="12" t="s">
        <v>7</v>
      </c>
      <c r="E31" s="10" t="s">
        <v>8</v>
      </c>
      <c r="F31" s="12"/>
      <c r="G31" s="25"/>
      <c r="H31" s="25"/>
      <c r="I31" s="12" t="s">
        <v>7</v>
      </c>
      <c r="J31" s="12" t="s">
        <v>8</v>
      </c>
      <c r="K31" s="12" t="s">
        <v>10</v>
      </c>
      <c r="L31" s="34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>
        <v>1.0</v>
      </c>
      <c r="B32" s="12" t="s">
        <v>33</v>
      </c>
      <c r="C32" s="14" t="s">
        <v>31</v>
      </c>
      <c r="D32" s="15">
        <v>2800.0</v>
      </c>
      <c r="E32" s="15">
        <f t="shared" ref="E32:E43" si="8">A32*D32</f>
        <v>2800</v>
      </c>
      <c r="F32" s="16"/>
      <c r="G32" s="25"/>
      <c r="H32" s="37" t="s">
        <v>193</v>
      </c>
      <c r="I32" s="15">
        <v>0.0</v>
      </c>
      <c r="J32" s="16">
        <f t="shared" ref="J32:J43" si="9">I32*A32</f>
        <v>0</v>
      </c>
      <c r="K32" s="16">
        <f t="shared" ref="K32:K43" si="10">E32-J32</f>
        <v>2800</v>
      </c>
      <c r="L32" s="36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1.0</v>
      </c>
      <c r="B33" s="12" t="s">
        <v>33</v>
      </c>
      <c r="C33" s="14" t="s">
        <v>39</v>
      </c>
      <c r="D33" s="15">
        <v>1400.0</v>
      </c>
      <c r="E33" s="15">
        <f t="shared" si="8"/>
        <v>1400</v>
      </c>
      <c r="F33" s="16"/>
      <c r="G33" s="25"/>
      <c r="H33" s="37" t="s">
        <v>193</v>
      </c>
      <c r="I33" s="15">
        <v>0.0</v>
      </c>
      <c r="J33" s="16">
        <f t="shared" si="9"/>
        <v>0</v>
      </c>
      <c r="K33" s="16">
        <f t="shared" si="10"/>
        <v>1400</v>
      </c>
      <c r="L33" s="36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0.5</v>
      </c>
      <c r="B34" s="12" t="s">
        <v>33</v>
      </c>
      <c r="C34" s="14" t="s">
        <v>211</v>
      </c>
      <c r="D34" s="15">
        <v>3500.0</v>
      </c>
      <c r="E34" s="15">
        <f t="shared" si="8"/>
        <v>1750</v>
      </c>
      <c r="F34" s="16"/>
      <c r="G34" s="25"/>
      <c r="H34" s="25"/>
      <c r="I34" s="15">
        <f>50000/18</f>
        <v>2777.777778</v>
      </c>
      <c r="J34" s="16">
        <f t="shared" si="9"/>
        <v>1388.888889</v>
      </c>
      <c r="K34" s="16">
        <f t="shared" si="10"/>
        <v>361.1111111</v>
      </c>
      <c r="L34" s="36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1.5</v>
      </c>
      <c r="B35" s="12" t="s">
        <v>33</v>
      </c>
      <c r="C35" s="14" t="s">
        <v>57</v>
      </c>
      <c r="D35" s="15">
        <v>6000.0</v>
      </c>
      <c r="E35" s="15">
        <f t="shared" si="8"/>
        <v>9000</v>
      </c>
      <c r="F35" s="16"/>
      <c r="G35" s="25"/>
      <c r="H35" s="25"/>
      <c r="I35" s="15">
        <f>20000/5</f>
        <v>4000</v>
      </c>
      <c r="J35" s="16">
        <f t="shared" si="9"/>
        <v>6000</v>
      </c>
      <c r="K35" s="16">
        <f t="shared" si="10"/>
        <v>3000</v>
      </c>
      <c r="L35" s="36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3">
        <v>0.35</v>
      </c>
      <c r="B36" s="12" t="s">
        <v>33</v>
      </c>
      <c r="C36" s="14" t="s">
        <v>201</v>
      </c>
      <c r="D36" s="15">
        <v>4500.0</v>
      </c>
      <c r="E36" s="15">
        <f t="shared" si="8"/>
        <v>1575</v>
      </c>
      <c r="F36" s="16"/>
      <c r="G36" s="25"/>
      <c r="H36" s="37" t="s">
        <v>193</v>
      </c>
      <c r="I36" s="15">
        <v>0.0</v>
      </c>
      <c r="J36" s="16">
        <f t="shared" si="9"/>
        <v>0</v>
      </c>
      <c r="K36" s="16">
        <f t="shared" si="10"/>
        <v>1575</v>
      </c>
      <c r="L36" s="29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0.3</v>
      </c>
      <c r="B37" s="12" t="s">
        <v>33</v>
      </c>
      <c r="C37" s="14" t="s">
        <v>53</v>
      </c>
      <c r="D37" s="15">
        <v>12000.0</v>
      </c>
      <c r="E37" s="15">
        <f t="shared" si="8"/>
        <v>3600</v>
      </c>
      <c r="F37" s="16"/>
      <c r="G37" s="25"/>
      <c r="H37" s="25"/>
      <c r="I37" s="15">
        <f>65000/7</f>
        <v>9285.714286</v>
      </c>
      <c r="J37" s="16">
        <f t="shared" si="9"/>
        <v>2785.714286</v>
      </c>
      <c r="K37" s="16">
        <f t="shared" si="10"/>
        <v>814.2857143</v>
      </c>
      <c r="L37" s="29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13">
        <v>3.0</v>
      </c>
      <c r="B38" s="12" t="s">
        <v>84</v>
      </c>
      <c r="C38" s="14" t="s">
        <v>200</v>
      </c>
      <c r="D38" s="15">
        <v>2500.0</v>
      </c>
      <c r="E38" s="15">
        <f t="shared" si="8"/>
        <v>7500</v>
      </c>
      <c r="F38" s="16"/>
      <c r="G38" s="25"/>
      <c r="H38" s="25"/>
      <c r="I38" s="15">
        <f>22000/12</f>
        <v>1833.333333</v>
      </c>
      <c r="J38" s="16">
        <f t="shared" si="9"/>
        <v>5500</v>
      </c>
      <c r="K38" s="16">
        <f t="shared" si="10"/>
        <v>2000</v>
      </c>
      <c r="L38" s="29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3">
        <v>0.5</v>
      </c>
      <c r="B39" s="12" t="s">
        <v>33</v>
      </c>
      <c r="C39" s="14" t="s">
        <v>221</v>
      </c>
      <c r="D39" s="15">
        <v>4500.0</v>
      </c>
      <c r="E39" s="15">
        <f t="shared" si="8"/>
        <v>2250</v>
      </c>
      <c r="F39" s="16"/>
      <c r="G39" s="25"/>
      <c r="H39" s="37" t="s">
        <v>193</v>
      </c>
      <c r="I39" s="15">
        <v>0.0</v>
      </c>
      <c r="J39" s="16">
        <f t="shared" si="9"/>
        <v>0</v>
      </c>
      <c r="K39" s="16">
        <f t="shared" si="10"/>
        <v>2250</v>
      </c>
      <c r="L39" s="29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3">
        <v>3.0</v>
      </c>
      <c r="B40" s="12" t="s">
        <v>33</v>
      </c>
      <c r="C40" s="14" t="s">
        <v>178</v>
      </c>
      <c r="D40" s="15">
        <v>1500.0</v>
      </c>
      <c r="E40" s="15">
        <f t="shared" si="8"/>
        <v>4500</v>
      </c>
      <c r="F40" s="16"/>
      <c r="G40" s="25"/>
      <c r="H40" s="25"/>
      <c r="I40" s="15">
        <f>13000/15</f>
        <v>866.6666667</v>
      </c>
      <c r="J40" s="16">
        <f t="shared" si="9"/>
        <v>2600</v>
      </c>
      <c r="K40" s="16">
        <f t="shared" si="10"/>
        <v>1900</v>
      </c>
      <c r="L40" s="29" t="s">
        <v>13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3">
        <v>3.0</v>
      </c>
      <c r="B41" s="12" t="s">
        <v>50</v>
      </c>
      <c r="C41" s="14" t="s">
        <v>16</v>
      </c>
      <c r="D41" s="15">
        <v>1000.0</v>
      </c>
      <c r="E41" s="15">
        <f t="shared" si="8"/>
        <v>3000</v>
      </c>
      <c r="F41" s="16"/>
      <c r="G41" s="25"/>
      <c r="H41" s="25"/>
      <c r="I41" s="15">
        <v>500.0</v>
      </c>
      <c r="J41" s="16">
        <f t="shared" si="9"/>
        <v>1500</v>
      </c>
      <c r="K41" s="16">
        <f t="shared" si="10"/>
        <v>1500</v>
      </c>
      <c r="L41" s="29" t="s">
        <v>13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3">
        <v>1.0</v>
      </c>
      <c r="B42" s="12" t="s">
        <v>33</v>
      </c>
      <c r="C42" s="14" t="s">
        <v>48</v>
      </c>
      <c r="D42" s="15">
        <v>3500.0</v>
      </c>
      <c r="E42" s="15">
        <f t="shared" si="8"/>
        <v>3500</v>
      </c>
      <c r="F42" s="16"/>
      <c r="G42" s="25"/>
      <c r="H42" s="37" t="s">
        <v>193</v>
      </c>
      <c r="I42" s="15">
        <v>0.0</v>
      </c>
      <c r="J42" s="16">
        <f t="shared" si="9"/>
        <v>0</v>
      </c>
      <c r="K42" s="16">
        <f t="shared" si="10"/>
        <v>3500</v>
      </c>
      <c r="L42" s="29" t="s">
        <v>13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>
        <v>4.0</v>
      </c>
      <c r="B43" s="12" t="s">
        <v>5</v>
      </c>
      <c r="C43" s="14" t="s">
        <v>87</v>
      </c>
      <c r="D43" s="15">
        <v>1300.0</v>
      </c>
      <c r="E43" s="15">
        <f t="shared" si="8"/>
        <v>5200</v>
      </c>
      <c r="F43" s="16"/>
      <c r="G43" s="25"/>
      <c r="H43" s="25"/>
      <c r="I43" s="15">
        <f>53000/80</f>
        <v>662.5</v>
      </c>
      <c r="J43" s="16">
        <f t="shared" si="9"/>
        <v>2650</v>
      </c>
      <c r="K43" s="16">
        <f t="shared" si="10"/>
        <v>2550</v>
      </c>
      <c r="L43" s="36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/>
      <c r="B44" s="12"/>
      <c r="C44" s="14"/>
      <c r="D44" s="15"/>
      <c r="E44" s="16"/>
      <c r="F44" s="16"/>
      <c r="G44" s="25"/>
      <c r="H44" s="25"/>
      <c r="I44" s="16"/>
      <c r="J44" s="16"/>
      <c r="K44" s="16"/>
      <c r="L44" s="36"/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13"/>
      <c r="B45" s="12"/>
      <c r="C45" s="14"/>
      <c r="D45" s="15"/>
      <c r="E45" s="16">
        <f>SUM(E32:E43)</f>
        <v>46075</v>
      </c>
      <c r="F45" s="16"/>
      <c r="G45" s="25"/>
      <c r="H45" s="25"/>
      <c r="I45" s="16"/>
      <c r="J45" s="16"/>
      <c r="K45" s="16">
        <f>SUM(K32:K42)</f>
        <v>21100.39683</v>
      </c>
      <c r="L45" s="36">
        <f>K45/E45</f>
        <v>0.4579576088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30"/>
      <c r="B46" s="31"/>
      <c r="C46" s="2"/>
      <c r="D46" s="3"/>
      <c r="E46" s="3"/>
      <c r="F46" s="3"/>
      <c r="G46" s="2"/>
      <c r="H46" s="2"/>
      <c r="I46" s="2"/>
      <c r="J46" s="2"/>
      <c r="K46" s="3"/>
      <c r="L46" s="4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21"/>
      <c r="P47" s="21"/>
      <c r="Q47" s="21"/>
      <c r="R47" s="2"/>
      <c r="S47" s="3"/>
      <c r="T47" s="3"/>
      <c r="U47" s="1"/>
      <c r="V47" s="3"/>
      <c r="W47" s="3"/>
      <c r="X47" s="3"/>
      <c r="Y47" s="3"/>
      <c r="Z47" s="3"/>
    </row>
    <row r="48">
      <c r="A48" s="30"/>
      <c r="B48" s="31"/>
      <c r="C48" s="2"/>
      <c r="D48" s="3"/>
      <c r="E48" s="3"/>
      <c r="F48" s="3"/>
      <c r="G48" s="2"/>
      <c r="H48" s="2"/>
      <c r="I48" s="2"/>
      <c r="J48" s="2"/>
      <c r="K48" s="3"/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24" t="s">
        <v>222</v>
      </c>
      <c r="B49" s="24"/>
      <c r="C49" s="24"/>
      <c r="D49" s="32" t="s">
        <v>223</v>
      </c>
      <c r="E49" s="7">
        <v>46057.0</v>
      </c>
      <c r="F49" s="33" t="s">
        <v>13</v>
      </c>
      <c r="G49" s="25"/>
      <c r="H49" s="25"/>
      <c r="I49" s="16"/>
      <c r="J49" s="16"/>
      <c r="K49" s="16"/>
      <c r="L49" s="3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B50" s="25"/>
      <c r="C50" s="35"/>
      <c r="D50" s="25"/>
      <c r="E50" s="25"/>
      <c r="F50" s="25"/>
      <c r="G50" s="25"/>
      <c r="H50" s="25"/>
      <c r="I50" s="16"/>
      <c r="J50" s="16"/>
      <c r="K50" s="16"/>
      <c r="L50" s="3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5" t="s">
        <v>4</v>
      </c>
      <c r="B51" s="10" t="s">
        <v>5</v>
      </c>
      <c r="C51" s="11" t="s">
        <v>6</v>
      </c>
      <c r="D51" s="12" t="s">
        <v>7</v>
      </c>
      <c r="E51" s="10" t="s">
        <v>8</v>
      </c>
      <c r="F51" s="12"/>
      <c r="G51" s="25"/>
      <c r="H51" s="25"/>
      <c r="I51" s="12" t="s">
        <v>7</v>
      </c>
      <c r="J51" s="12" t="s">
        <v>8</v>
      </c>
      <c r="K51" s="12" t="s">
        <v>10</v>
      </c>
      <c r="L51" s="3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13">
        <v>4.0</v>
      </c>
      <c r="B52" s="12" t="s">
        <v>11</v>
      </c>
      <c r="C52" s="14" t="s">
        <v>77</v>
      </c>
      <c r="D52" s="15">
        <v>1500.0</v>
      </c>
      <c r="E52" s="15">
        <f t="shared" ref="E52:E74" si="11">A52*D52</f>
        <v>6000</v>
      </c>
      <c r="F52" s="16"/>
      <c r="G52" s="25"/>
      <c r="H52" s="37" t="s">
        <v>224</v>
      </c>
      <c r="I52" s="16">
        <v>1500.0</v>
      </c>
      <c r="J52" s="16">
        <f t="shared" ref="J52:J74" si="12">I52*A52</f>
        <v>6000</v>
      </c>
      <c r="K52" s="16">
        <f t="shared" ref="K52:K74" si="13">E52-J52</f>
        <v>0</v>
      </c>
      <c r="L52" s="29" t="s">
        <v>13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>
        <v>2.0</v>
      </c>
      <c r="B53" s="12" t="s">
        <v>5</v>
      </c>
      <c r="C53" s="14" t="s">
        <v>104</v>
      </c>
      <c r="D53" s="15">
        <v>2000.0</v>
      </c>
      <c r="E53" s="15">
        <f t="shared" si="11"/>
        <v>4000</v>
      </c>
      <c r="F53" s="16"/>
      <c r="G53" s="25"/>
      <c r="H53" s="25"/>
      <c r="I53" s="16">
        <v>1000.0</v>
      </c>
      <c r="J53" s="16">
        <f t="shared" si="12"/>
        <v>2000</v>
      </c>
      <c r="K53" s="16">
        <f t="shared" si="13"/>
        <v>2000</v>
      </c>
      <c r="L53" s="29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>
        <v>2.0</v>
      </c>
      <c r="B54" s="12" t="s">
        <v>5</v>
      </c>
      <c r="C54" s="14" t="s">
        <v>176</v>
      </c>
      <c r="D54" s="15">
        <v>1200.0</v>
      </c>
      <c r="E54" s="15">
        <f t="shared" si="11"/>
        <v>2400</v>
      </c>
      <c r="F54" s="16"/>
      <c r="G54" s="25"/>
      <c r="H54" s="25"/>
      <c r="I54" s="16">
        <v>560.0</v>
      </c>
      <c r="J54" s="16">
        <f t="shared" si="12"/>
        <v>1120</v>
      </c>
      <c r="K54" s="16">
        <f t="shared" si="13"/>
        <v>1280</v>
      </c>
      <c r="L54" s="29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>
        <v>2.0</v>
      </c>
      <c r="B55" s="12" t="s">
        <v>5</v>
      </c>
      <c r="C55" s="14" t="s">
        <v>95</v>
      </c>
      <c r="D55" s="15">
        <v>2000.0</v>
      </c>
      <c r="E55" s="15">
        <f t="shared" si="11"/>
        <v>4000</v>
      </c>
      <c r="F55" s="16"/>
      <c r="G55" s="25"/>
      <c r="H55" s="37" t="s">
        <v>224</v>
      </c>
      <c r="I55" s="16">
        <v>1500.0</v>
      </c>
      <c r="J55" s="16">
        <f t="shared" si="12"/>
        <v>3000</v>
      </c>
      <c r="K55" s="16">
        <f t="shared" si="13"/>
        <v>1000</v>
      </c>
      <c r="L55" s="29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3">
        <v>1.0</v>
      </c>
      <c r="B56" s="12" t="s">
        <v>33</v>
      </c>
      <c r="C56" s="14" t="s">
        <v>225</v>
      </c>
      <c r="D56" s="15">
        <v>6000.0</v>
      </c>
      <c r="E56" s="15">
        <f t="shared" si="11"/>
        <v>6000</v>
      </c>
      <c r="F56" s="16"/>
      <c r="G56" s="25"/>
      <c r="H56" s="37" t="s">
        <v>224</v>
      </c>
      <c r="I56" s="16">
        <v>5000.0</v>
      </c>
      <c r="J56" s="16">
        <f t="shared" si="12"/>
        <v>5000</v>
      </c>
      <c r="K56" s="16">
        <f t="shared" si="13"/>
        <v>1000</v>
      </c>
      <c r="L56" s="29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3">
        <v>2.0</v>
      </c>
      <c r="B57" s="12" t="s">
        <v>11</v>
      </c>
      <c r="C57" s="14" t="s">
        <v>103</v>
      </c>
      <c r="D57" s="15">
        <v>1800.0</v>
      </c>
      <c r="E57" s="15">
        <f t="shared" si="11"/>
        <v>3600</v>
      </c>
      <c r="F57" s="16"/>
      <c r="G57" s="25"/>
      <c r="H57" s="37" t="s">
        <v>224</v>
      </c>
      <c r="I57" s="16">
        <v>1500.0</v>
      </c>
      <c r="J57" s="16">
        <f t="shared" si="12"/>
        <v>3000</v>
      </c>
      <c r="K57" s="16">
        <f t="shared" si="13"/>
        <v>600</v>
      </c>
      <c r="L57" s="29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>
        <v>1.0</v>
      </c>
      <c r="B58" s="12" t="s">
        <v>33</v>
      </c>
      <c r="C58" s="14" t="s">
        <v>24</v>
      </c>
      <c r="D58" s="15">
        <v>3500.0</v>
      </c>
      <c r="E58" s="15">
        <f t="shared" si="11"/>
        <v>3500</v>
      </c>
      <c r="F58" s="16"/>
      <c r="G58" s="25"/>
      <c r="H58" s="25"/>
      <c r="I58" s="16">
        <f>25000/8</f>
        <v>3125</v>
      </c>
      <c r="J58" s="16">
        <f t="shared" si="12"/>
        <v>3125</v>
      </c>
      <c r="K58" s="16">
        <f t="shared" si="13"/>
        <v>375</v>
      </c>
      <c r="L58" s="29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>
        <v>3.0</v>
      </c>
      <c r="B59" s="12" t="s">
        <v>33</v>
      </c>
      <c r="C59" s="14" t="s">
        <v>48</v>
      </c>
      <c r="D59" s="15">
        <v>3000.0</v>
      </c>
      <c r="E59" s="15">
        <f t="shared" si="11"/>
        <v>9000</v>
      </c>
      <c r="F59" s="16"/>
      <c r="G59" s="25"/>
      <c r="H59" s="37" t="s">
        <v>193</v>
      </c>
      <c r="I59" s="16">
        <v>0.0</v>
      </c>
      <c r="J59" s="16">
        <f t="shared" si="12"/>
        <v>0</v>
      </c>
      <c r="K59" s="16">
        <f t="shared" si="13"/>
        <v>9000</v>
      </c>
      <c r="L59" s="29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2.0</v>
      </c>
      <c r="B60" s="12" t="s">
        <v>5</v>
      </c>
      <c r="C60" s="14" t="s">
        <v>87</v>
      </c>
      <c r="D60" s="15">
        <v>1300.0</v>
      </c>
      <c r="E60" s="15">
        <f t="shared" si="11"/>
        <v>2600</v>
      </c>
      <c r="F60" s="16"/>
      <c r="G60" s="25"/>
      <c r="H60" s="25"/>
      <c r="I60" s="16">
        <f>53000/80</f>
        <v>662.5</v>
      </c>
      <c r="J60" s="16">
        <f t="shared" si="12"/>
        <v>1325</v>
      </c>
      <c r="K60" s="16">
        <f t="shared" si="13"/>
        <v>1275</v>
      </c>
      <c r="L60" s="29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>
        <v>4.0</v>
      </c>
      <c r="B61" s="12" t="s">
        <v>33</v>
      </c>
      <c r="C61" s="14" t="s">
        <v>69</v>
      </c>
      <c r="D61" s="15">
        <v>1800.0</v>
      </c>
      <c r="E61" s="15">
        <f t="shared" si="11"/>
        <v>7200</v>
      </c>
      <c r="F61" s="16"/>
      <c r="G61" s="25"/>
      <c r="H61" s="25"/>
      <c r="I61" s="16">
        <v>1300.0</v>
      </c>
      <c r="J61" s="16">
        <f t="shared" si="12"/>
        <v>5200</v>
      </c>
      <c r="K61" s="16">
        <f t="shared" si="13"/>
        <v>2000</v>
      </c>
      <c r="L61" s="29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>
        <v>7.0</v>
      </c>
      <c r="B62" s="12" t="s">
        <v>33</v>
      </c>
      <c r="C62" s="14" t="s">
        <v>178</v>
      </c>
      <c r="D62" s="15">
        <v>1400.0</v>
      </c>
      <c r="E62" s="15">
        <f t="shared" si="11"/>
        <v>9800</v>
      </c>
      <c r="F62" s="16"/>
      <c r="G62" s="25"/>
      <c r="H62" s="25"/>
      <c r="I62" s="16">
        <f>13000/15</f>
        <v>866.6666667</v>
      </c>
      <c r="J62" s="16">
        <f t="shared" si="12"/>
        <v>6066.666667</v>
      </c>
      <c r="K62" s="16">
        <f t="shared" si="13"/>
        <v>3733.333333</v>
      </c>
      <c r="L62" s="29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3">
        <v>4.0</v>
      </c>
      <c r="B63" s="12" t="s">
        <v>33</v>
      </c>
      <c r="C63" s="14" t="s">
        <v>192</v>
      </c>
      <c r="D63" s="15">
        <v>1500.0</v>
      </c>
      <c r="E63" s="15">
        <f t="shared" si="11"/>
        <v>6000</v>
      </c>
      <c r="F63" s="16"/>
      <c r="G63" s="25"/>
      <c r="H63" s="25"/>
      <c r="I63" s="16">
        <f t="shared" ref="I63:I64" si="14">8000/14</f>
        <v>571.4285714</v>
      </c>
      <c r="J63" s="16">
        <f t="shared" si="12"/>
        <v>2285.714286</v>
      </c>
      <c r="K63" s="16">
        <f t="shared" si="13"/>
        <v>3714.285714</v>
      </c>
      <c r="L63" s="29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3">
        <v>2.0</v>
      </c>
      <c r="B64" s="12" t="s">
        <v>33</v>
      </c>
      <c r="C64" s="14" t="s">
        <v>173</v>
      </c>
      <c r="D64" s="15">
        <v>1500.0</v>
      </c>
      <c r="E64" s="15">
        <f t="shared" si="11"/>
        <v>3000</v>
      </c>
      <c r="F64" s="16"/>
      <c r="G64" s="25"/>
      <c r="H64" s="25"/>
      <c r="I64" s="16">
        <f t="shared" si="14"/>
        <v>571.4285714</v>
      </c>
      <c r="J64" s="16">
        <f t="shared" si="12"/>
        <v>1142.857143</v>
      </c>
      <c r="K64" s="16">
        <f t="shared" si="13"/>
        <v>1857.142857</v>
      </c>
      <c r="L64" s="29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3">
        <v>0.5</v>
      </c>
      <c r="B65" s="12" t="s">
        <v>38</v>
      </c>
      <c r="C65" s="14" t="s">
        <v>67</v>
      </c>
      <c r="D65" s="15">
        <v>12500.0</v>
      </c>
      <c r="E65" s="15">
        <f t="shared" si="11"/>
        <v>6250</v>
      </c>
      <c r="F65" s="16"/>
      <c r="G65" s="25"/>
      <c r="H65" s="25"/>
      <c r="I65" s="16">
        <v>9500.0</v>
      </c>
      <c r="J65" s="16">
        <f t="shared" si="12"/>
        <v>4750</v>
      </c>
      <c r="K65" s="16">
        <f t="shared" si="13"/>
        <v>1500</v>
      </c>
      <c r="L65" s="29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3">
        <v>1.0</v>
      </c>
      <c r="B66" s="12" t="s">
        <v>38</v>
      </c>
      <c r="C66" s="14" t="s">
        <v>226</v>
      </c>
      <c r="D66" s="15">
        <v>15000.0</v>
      </c>
      <c r="E66" s="15">
        <f t="shared" si="11"/>
        <v>15000</v>
      </c>
      <c r="F66" s="16"/>
      <c r="G66" s="25"/>
      <c r="H66" s="25"/>
      <c r="I66" s="16">
        <v>12000.0</v>
      </c>
      <c r="J66" s="16">
        <f t="shared" si="12"/>
        <v>12000</v>
      </c>
      <c r="K66" s="16">
        <f t="shared" si="13"/>
        <v>3000</v>
      </c>
      <c r="L66" s="29" t="s">
        <v>13</v>
      </c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3">
        <v>0.5</v>
      </c>
      <c r="B67" s="12" t="s">
        <v>29</v>
      </c>
      <c r="C67" s="14" t="s">
        <v>31</v>
      </c>
      <c r="D67" s="15">
        <v>35000.0</v>
      </c>
      <c r="E67" s="15">
        <f t="shared" si="11"/>
        <v>17500</v>
      </c>
      <c r="F67" s="16"/>
      <c r="G67" s="25"/>
      <c r="H67" s="25"/>
      <c r="I67" s="16">
        <v>25000.0</v>
      </c>
      <c r="J67" s="16">
        <f t="shared" si="12"/>
        <v>12500</v>
      </c>
      <c r="K67" s="16">
        <f t="shared" si="13"/>
        <v>5000</v>
      </c>
      <c r="L67" s="29" t="s">
        <v>13</v>
      </c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3">
        <v>4.0</v>
      </c>
      <c r="B68" s="12" t="s">
        <v>33</v>
      </c>
      <c r="C68" s="14" t="s">
        <v>213</v>
      </c>
      <c r="D68" s="15">
        <v>4000.0</v>
      </c>
      <c r="E68" s="15">
        <f t="shared" si="11"/>
        <v>16000</v>
      </c>
      <c r="F68" s="16"/>
      <c r="G68" s="25"/>
      <c r="H68" s="37" t="s">
        <v>193</v>
      </c>
      <c r="I68" s="16">
        <v>0.0</v>
      </c>
      <c r="J68" s="16">
        <f t="shared" si="12"/>
        <v>0</v>
      </c>
      <c r="K68" s="16">
        <f t="shared" si="13"/>
        <v>16000</v>
      </c>
      <c r="L68" s="29" t="s">
        <v>13</v>
      </c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3">
        <v>4.0</v>
      </c>
      <c r="B69" s="12" t="s">
        <v>33</v>
      </c>
      <c r="C69" s="14" t="s">
        <v>201</v>
      </c>
      <c r="D69" s="15">
        <v>4000.0</v>
      </c>
      <c r="E69" s="15">
        <f t="shared" si="11"/>
        <v>16000</v>
      </c>
      <c r="F69" s="16"/>
      <c r="G69" s="25"/>
      <c r="H69" s="37" t="s">
        <v>193</v>
      </c>
      <c r="I69" s="16">
        <v>0.0</v>
      </c>
      <c r="J69" s="16">
        <f t="shared" si="12"/>
        <v>0</v>
      </c>
      <c r="K69" s="16">
        <f t="shared" si="13"/>
        <v>16000</v>
      </c>
      <c r="L69" s="29" t="s">
        <v>13</v>
      </c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3">
        <v>1.0</v>
      </c>
      <c r="B70" s="12" t="s">
        <v>33</v>
      </c>
      <c r="C70" s="14" t="s">
        <v>72</v>
      </c>
      <c r="D70" s="15">
        <v>3200.0</v>
      </c>
      <c r="E70" s="15">
        <f t="shared" si="11"/>
        <v>3200</v>
      </c>
      <c r="F70" s="16"/>
      <c r="G70" s="25"/>
      <c r="H70" s="25"/>
      <c r="I70" s="16">
        <f>38000/15</f>
        <v>2533.333333</v>
      </c>
      <c r="J70" s="16">
        <f t="shared" si="12"/>
        <v>2533.333333</v>
      </c>
      <c r="K70" s="16">
        <f t="shared" si="13"/>
        <v>666.6666667</v>
      </c>
      <c r="L70" s="29" t="s">
        <v>13</v>
      </c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3">
        <v>1.0</v>
      </c>
      <c r="B71" s="12" t="s">
        <v>33</v>
      </c>
      <c r="C71" s="14" t="s">
        <v>39</v>
      </c>
      <c r="D71" s="15">
        <v>1400.0</v>
      </c>
      <c r="E71" s="15">
        <f t="shared" si="11"/>
        <v>1400</v>
      </c>
      <c r="F71" s="16"/>
      <c r="G71" s="25"/>
      <c r="H71" s="37" t="s">
        <v>193</v>
      </c>
      <c r="I71" s="16">
        <v>0.0</v>
      </c>
      <c r="J71" s="16">
        <f t="shared" si="12"/>
        <v>0</v>
      </c>
      <c r="K71" s="16">
        <f t="shared" si="13"/>
        <v>1400</v>
      </c>
      <c r="L71" s="29" t="s">
        <v>13</v>
      </c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>
        <v>2.0</v>
      </c>
      <c r="B72" s="12" t="s">
        <v>5</v>
      </c>
      <c r="C72" s="14" t="s">
        <v>216</v>
      </c>
      <c r="D72" s="15">
        <v>5000.0</v>
      </c>
      <c r="E72" s="15">
        <f t="shared" si="11"/>
        <v>10000</v>
      </c>
      <c r="F72" s="16"/>
      <c r="G72" s="25"/>
      <c r="H72" s="37" t="s">
        <v>193</v>
      </c>
      <c r="I72" s="16">
        <v>0.0</v>
      </c>
      <c r="J72" s="16">
        <f t="shared" si="12"/>
        <v>0</v>
      </c>
      <c r="K72" s="16">
        <f t="shared" si="13"/>
        <v>10000</v>
      </c>
      <c r="L72" s="29" t="s">
        <v>13</v>
      </c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>
        <v>8.8</v>
      </c>
      <c r="B73" s="12" t="s">
        <v>33</v>
      </c>
      <c r="C73" s="14" t="s">
        <v>34</v>
      </c>
      <c r="D73" s="15">
        <v>1000.0</v>
      </c>
      <c r="E73" s="15">
        <f t="shared" si="11"/>
        <v>8800</v>
      </c>
      <c r="F73" s="16"/>
      <c r="G73" s="25"/>
      <c r="H73" s="25"/>
      <c r="I73" s="16">
        <v>700.0</v>
      </c>
      <c r="J73" s="16">
        <f t="shared" si="12"/>
        <v>6160</v>
      </c>
      <c r="K73" s="16">
        <f t="shared" si="13"/>
        <v>2640</v>
      </c>
      <c r="L73" s="29" t="s">
        <v>13</v>
      </c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13">
        <v>1.0</v>
      </c>
      <c r="B74" s="12" t="s">
        <v>33</v>
      </c>
      <c r="C74" s="14" t="s">
        <v>221</v>
      </c>
      <c r="D74" s="15">
        <v>4000.0</v>
      </c>
      <c r="E74" s="15">
        <f t="shared" si="11"/>
        <v>4000</v>
      </c>
      <c r="F74" s="16"/>
      <c r="G74" s="25"/>
      <c r="H74" s="37" t="s">
        <v>193</v>
      </c>
      <c r="I74" s="16">
        <v>0.0</v>
      </c>
      <c r="J74" s="16">
        <f t="shared" si="12"/>
        <v>0</v>
      </c>
      <c r="K74" s="16">
        <f t="shared" si="13"/>
        <v>4000</v>
      </c>
      <c r="L74" s="29" t="s">
        <v>13</v>
      </c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3"/>
      <c r="B75" s="12"/>
      <c r="C75" s="14"/>
      <c r="D75" s="15"/>
      <c r="E75" s="16"/>
      <c r="F75" s="16"/>
      <c r="H75" s="25"/>
      <c r="I75" s="16"/>
      <c r="J75" s="16"/>
      <c r="K75" s="16"/>
      <c r="L75" s="36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3"/>
      <c r="B76" s="12"/>
      <c r="C76" s="14"/>
      <c r="D76" s="15"/>
      <c r="E76" s="16">
        <f>SUM(E52:E75)</f>
        <v>165250</v>
      </c>
      <c r="F76" s="16"/>
      <c r="G76" s="25"/>
      <c r="H76" s="25"/>
      <c r="I76" s="16"/>
      <c r="J76" s="16"/>
      <c r="K76" s="16">
        <f>SUM(K52:K74)</f>
        <v>88041.42857</v>
      </c>
      <c r="L76" s="36">
        <f>K76/E76</f>
        <v>0.5327771774</v>
      </c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13"/>
      <c r="B77" s="12"/>
      <c r="C77" s="14"/>
      <c r="D77" s="15"/>
      <c r="E77" s="3"/>
      <c r="F77" s="3"/>
      <c r="G77" s="2"/>
      <c r="H77" s="2"/>
      <c r="I77" s="2"/>
      <c r="J77" s="2"/>
      <c r="K77" s="3"/>
      <c r="L77" s="4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/>
      <c r="B78" s="12"/>
      <c r="C78" s="14"/>
      <c r="D78" s="15"/>
      <c r="E78" s="3"/>
      <c r="F78" s="3"/>
      <c r="G78" s="2"/>
      <c r="H78" s="2"/>
      <c r="I78" s="2"/>
      <c r="J78" s="2"/>
      <c r="K78" s="3"/>
      <c r="L78" s="4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24"/>
      <c r="B79" s="24"/>
      <c r="C79" s="24"/>
      <c r="D79" s="32"/>
      <c r="E79" s="7"/>
      <c r="F79" s="33"/>
      <c r="G79" s="25"/>
      <c r="H79" s="25"/>
      <c r="I79" s="16"/>
      <c r="J79" s="16"/>
      <c r="K79" s="16"/>
      <c r="L79" s="34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24" t="s">
        <v>206</v>
      </c>
      <c r="B80" s="24"/>
      <c r="C80" s="24"/>
      <c r="D80" s="32" t="s">
        <v>227</v>
      </c>
      <c r="E80" s="7">
        <v>46057.0</v>
      </c>
      <c r="F80" s="33" t="s">
        <v>13</v>
      </c>
      <c r="G80" s="25"/>
      <c r="H80" s="25"/>
      <c r="I80" s="16"/>
      <c r="J80" s="16"/>
      <c r="K80" s="16"/>
      <c r="L80" s="34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B81" s="25"/>
      <c r="C81" s="35"/>
      <c r="D81" s="25"/>
      <c r="E81" s="25"/>
      <c r="F81" s="25"/>
      <c r="G81" s="25"/>
      <c r="H81" s="25"/>
      <c r="I81" s="16"/>
      <c r="J81" s="16"/>
      <c r="K81" s="16"/>
      <c r="L81" s="34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5" t="s">
        <v>4</v>
      </c>
      <c r="B82" s="10" t="s">
        <v>5</v>
      </c>
      <c r="C82" s="11" t="s">
        <v>6</v>
      </c>
      <c r="D82" s="12" t="s">
        <v>7</v>
      </c>
      <c r="E82" s="10" t="s">
        <v>8</v>
      </c>
      <c r="F82" s="12"/>
      <c r="G82" s="25"/>
      <c r="H82" s="25"/>
      <c r="I82" s="12" t="s">
        <v>7</v>
      </c>
      <c r="J82" s="12" t="s">
        <v>8</v>
      </c>
      <c r="K82" s="12" t="s">
        <v>10</v>
      </c>
      <c r="L82" s="3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3">
        <v>1.0</v>
      </c>
      <c r="B83" s="12" t="s">
        <v>18</v>
      </c>
      <c r="C83" s="14" t="s">
        <v>102</v>
      </c>
      <c r="D83" s="15">
        <v>14000.0</v>
      </c>
      <c r="E83" s="15">
        <f t="shared" ref="E83:E84" si="15">A83*D83</f>
        <v>14000</v>
      </c>
      <c r="F83" s="16"/>
      <c r="G83" s="25"/>
      <c r="H83" s="25"/>
      <c r="I83" s="16">
        <v>10000.0</v>
      </c>
      <c r="J83" s="16">
        <f t="shared" ref="J83:J84" si="16">I83*A83</f>
        <v>10000</v>
      </c>
      <c r="K83" s="16">
        <f t="shared" ref="K83:K84" si="17">E83-J83</f>
        <v>4000</v>
      </c>
      <c r="L83" s="36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>
        <v>1.0</v>
      </c>
      <c r="B84" s="12" t="s">
        <v>18</v>
      </c>
      <c r="C84" s="14" t="s">
        <v>113</v>
      </c>
      <c r="D84" s="15">
        <v>10000.0</v>
      </c>
      <c r="E84" s="15">
        <f t="shared" si="15"/>
        <v>10000</v>
      </c>
      <c r="F84" s="16"/>
      <c r="G84" s="25"/>
      <c r="H84" s="25"/>
      <c r="I84" s="16">
        <v>6000.0</v>
      </c>
      <c r="J84" s="16">
        <f t="shared" si="16"/>
        <v>6000</v>
      </c>
      <c r="K84" s="16">
        <f t="shared" si="17"/>
        <v>4000</v>
      </c>
      <c r="L84" s="36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3"/>
      <c r="B85" s="12"/>
      <c r="C85" s="14"/>
      <c r="D85" s="15"/>
      <c r="E85" s="16"/>
      <c r="F85" s="16"/>
      <c r="H85" s="25"/>
      <c r="I85" s="16"/>
      <c r="J85" s="16"/>
      <c r="K85" s="16"/>
      <c r="L85" s="36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/>
      <c r="B86" s="12"/>
      <c r="C86" s="14"/>
      <c r="D86" s="15"/>
      <c r="E86" s="16">
        <f>SUM(E83:E85)</f>
        <v>24000</v>
      </c>
      <c r="F86" s="16"/>
      <c r="G86" s="25"/>
      <c r="H86" s="25"/>
      <c r="I86" s="16"/>
      <c r="J86" s="16"/>
      <c r="K86" s="16">
        <f>SUM(K83:K84)</f>
        <v>8000</v>
      </c>
      <c r="L86" s="36">
        <f>K86/E86</f>
        <v>0.3333333333</v>
      </c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/>
      <c r="B87" s="12"/>
      <c r="C87" s="14"/>
      <c r="D87" s="15"/>
      <c r="E87" s="3"/>
      <c r="F87" s="3"/>
      <c r="G87" s="2"/>
      <c r="H87" s="2"/>
      <c r="I87" s="2"/>
      <c r="J87" s="2"/>
      <c r="K87" s="3"/>
      <c r="L87" s="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/>
      <c r="B88" s="12"/>
      <c r="C88" s="14"/>
      <c r="D88" s="15"/>
      <c r="E88" s="3"/>
      <c r="F88" s="3"/>
      <c r="G88" s="2"/>
      <c r="H88" s="2"/>
      <c r="I88" s="2"/>
      <c r="J88" s="2"/>
      <c r="K88" s="3"/>
      <c r="L88" s="4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24"/>
      <c r="B89" s="24"/>
      <c r="C89" s="24"/>
      <c r="D89" s="32"/>
      <c r="E89" s="7"/>
      <c r="F89" s="33"/>
      <c r="G89" s="25"/>
      <c r="H89" s="25"/>
      <c r="I89" s="16"/>
      <c r="J89" s="16"/>
      <c r="K89" s="16"/>
      <c r="L89" s="34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5" t="s">
        <v>228</v>
      </c>
      <c r="B90" s="5"/>
      <c r="C90" s="5"/>
      <c r="D90" s="6"/>
      <c r="E90" s="6" t="s">
        <v>170</v>
      </c>
      <c r="F90" s="7">
        <v>46057.0</v>
      </c>
      <c r="G90" s="6" t="s">
        <v>13</v>
      </c>
      <c r="H90" s="3"/>
      <c r="I90" s="8" t="s">
        <v>3</v>
      </c>
      <c r="L90" s="4"/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"/>
      <c r="B91" s="3"/>
      <c r="C91" s="9"/>
      <c r="D91" s="3"/>
      <c r="E91" s="3"/>
      <c r="F91" s="3"/>
      <c r="G91" s="3"/>
      <c r="H91" s="3"/>
      <c r="I91" s="3"/>
      <c r="J91" s="3"/>
      <c r="K91" s="3"/>
      <c r="L91" s="4"/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5" t="s">
        <v>4</v>
      </c>
      <c r="B92" s="10" t="s">
        <v>5</v>
      </c>
      <c r="C92" s="11" t="s">
        <v>6</v>
      </c>
      <c r="D92" s="12" t="s">
        <v>7</v>
      </c>
      <c r="E92" s="10" t="s">
        <v>8</v>
      </c>
      <c r="F92" s="10" t="s">
        <v>9</v>
      </c>
      <c r="G92" s="3"/>
      <c r="H92" s="3"/>
      <c r="I92" s="10" t="s">
        <v>7</v>
      </c>
      <c r="J92" s="10" t="s">
        <v>8</v>
      </c>
      <c r="K92" s="10" t="s">
        <v>10</v>
      </c>
      <c r="L92" s="4"/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3">
        <v>2.0</v>
      </c>
      <c r="B93" s="12" t="s">
        <v>33</v>
      </c>
      <c r="C93" s="14" t="s">
        <v>31</v>
      </c>
      <c r="D93" s="15">
        <v>3000.0</v>
      </c>
      <c r="E93" s="15">
        <f t="shared" ref="E93:E98" si="18">A93*D93</f>
        <v>6000</v>
      </c>
      <c r="F93" s="15">
        <f t="shared" ref="F93:F98" si="19">E93*1.105</f>
        <v>6630</v>
      </c>
      <c r="G93" s="3"/>
      <c r="H93" s="6" t="s">
        <v>193</v>
      </c>
      <c r="I93" s="16">
        <v>0.0</v>
      </c>
      <c r="J93" s="15">
        <f t="shared" ref="J93:J98" si="20">I93*A93</f>
        <v>0</v>
      </c>
      <c r="K93" s="15">
        <f t="shared" ref="K93:K98" si="21">F93-J93</f>
        <v>6630</v>
      </c>
      <c r="L93" s="4"/>
      <c r="M93" s="17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13">
        <v>2.0</v>
      </c>
      <c r="B94" s="12" t="s">
        <v>33</v>
      </c>
      <c r="C94" s="14" t="s">
        <v>57</v>
      </c>
      <c r="D94" s="15">
        <v>6500.0</v>
      </c>
      <c r="E94" s="15">
        <f t="shared" si="18"/>
        <v>13000</v>
      </c>
      <c r="F94" s="15">
        <f t="shared" si="19"/>
        <v>14365</v>
      </c>
      <c r="G94" s="3"/>
      <c r="H94" s="3" t="s">
        <v>13</v>
      </c>
      <c r="I94" s="16">
        <f>25000/5</f>
        <v>5000</v>
      </c>
      <c r="J94" s="15">
        <f t="shared" si="20"/>
        <v>10000</v>
      </c>
      <c r="K94" s="15">
        <f t="shared" si="21"/>
        <v>4365</v>
      </c>
      <c r="L94" s="4"/>
      <c r="M94" s="20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3">
        <v>0.5</v>
      </c>
      <c r="B95" s="12" t="s">
        <v>33</v>
      </c>
      <c r="C95" s="14" t="s">
        <v>63</v>
      </c>
      <c r="D95" s="15">
        <v>3500.0</v>
      </c>
      <c r="E95" s="15">
        <f t="shared" si="18"/>
        <v>1750</v>
      </c>
      <c r="F95" s="15">
        <f t="shared" si="19"/>
        <v>1933.75</v>
      </c>
      <c r="G95" s="3"/>
      <c r="H95" s="3" t="s">
        <v>13</v>
      </c>
      <c r="I95" s="16">
        <v>3000.0</v>
      </c>
      <c r="J95" s="15">
        <f t="shared" si="20"/>
        <v>1500</v>
      </c>
      <c r="K95" s="15">
        <f t="shared" si="21"/>
        <v>433.75</v>
      </c>
      <c r="L95" s="4"/>
      <c r="M95" s="20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13">
        <v>0.5</v>
      </c>
      <c r="B96" s="12" t="s">
        <v>33</v>
      </c>
      <c r="C96" s="14" t="s">
        <v>113</v>
      </c>
      <c r="D96" s="15">
        <v>3500.0</v>
      </c>
      <c r="E96" s="15">
        <f t="shared" si="18"/>
        <v>1750</v>
      </c>
      <c r="F96" s="15">
        <f t="shared" si="19"/>
        <v>1933.75</v>
      </c>
      <c r="G96" s="3"/>
      <c r="H96" s="6" t="s">
        <v>193</v>
      </c>
      <c r="I96" s="16">
        <v>0.0</v>
      </c>
      <c r="J96" s="15">
        <f t="shared" si="20"/>
        <v>0</v>
      </c>
      <c r="K96" s="15">
        <f t="shared" si="21"/>
        <v>1933.75</v>
      </c>
      <c r="L96" s="4"/>
      <c r="M96" s="20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13">
        <v>1.0</v>
      </c>
      <c r="B97" s="12" t="s">
        <v>33</v>
      </c>
      <c r="C97" s="14" t="s">
        <v>20</v>
      </c>
      <c r="D97" s="15">
        <v>3500.0</v>
      </c>
      <c r="E97" s="15">
        <f t="shared" si="18"/>
        <v>3500</v>
      </c>
      <c r="F97" s="15">
        <f t="shared" si="19"/>
        <v>3867.5</v>
      </c>
      <c r="G97" s="3"/>
      <c r="H97" s="3" t="s">
        <v>13</v>
      </c>
      <c r="I97" s="16">
        <f>15000/6</f>
        <v>2500</v>
      </c>
      <c r="J97" s="15">
        <f t="shared" si="20"/>
        <v>2500</v>
      </c>
      <c r="K97" s="15">
        <f t="shared" si="21"/>
        <v>1367.5</v>
      </c>
      <c r="L97" s="4"/>
      <c r="M97" s="17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3">
        <v>1.0</v>
      </c>
      <c r="B98" s="12" t="s">
        <v>50</v>
      </c>
      <c r="C98" s="14" t="s">
        <v>205</v>
      </c>
      <c r="D98" s="15">
        <v>3000.0</v>
      </c>
      <c r="E98" s="15">
        <f t="shared" si="18"/>
        <v>3000</v>
      </c>
      <c r="F98" s="15">
        <f t="shared" si="19"/>
        <v>3315</v>
      </c>
      <c r="G98" s="3"/>
      <c r="H98" s="3" t="s">
        <v>13</v>
      </c>
      <c r="I98" s="16">
        <v>2000.0</v>
      </c>
      <c r="J98" s="15">
        <f t="shared" si="20"/>
        <v>2000</v>
      </c>
      <c r="K98" s="15">
        <f t="shared" si="21"/>
        <v>1315</v>
      </c>
      <c r="L98" s="4"/>
      <c r="M98" s="20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3"/>
      <c r="B99" s="12"/>
      <c r="C99" s="14"/>
      <c r="D99" s="15"/>
      <c r="E99" s="3"/>
      <c r="F99" s="3"/>
      <c r="G99" s="3"/>
      <c r="H99" s="3"/>
      <c r="I99" s="3"/>
      <c r="J99" s="3"/>
      <c r="K99" s="3"/>
      <c r="L99" s="4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/>
      <c r="B100" s="12"/>
      <c r="C100" s="14"/>
      <c r="D100" s="15"/>
      <c r="E100" s="15">
        <f t="shared" ref="E100:F100" si="22">SUM(E93:E98)</f>
        <v>29000</v>
      </c>
      <c r="F100" s="15">
        <f t="shared" si="22"/>
        <v>32045</v>
      </c>
      <c r="G100" s="3"/>
      <c r="H100" s="3"/>
      <c r="I100" s="3"/>
      <c r="J100" s="3"/>
      <c r="K100" s="15">
        <f>SUM(K93:K98)</f>
        <v>16045</v>
      </c>
      <c r="L100" s="23">
        <f>K100/F100</f>
        <v>0.5007021376</v>
      </c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13"/>
      <c r="B101" s="12"/>
      <c r="C101" s="14"/>
      <c r="D101" s="15"/>
      <c r="E101" s="15"/>
      <c r="F101" s="16"/>
      <c r="G101" s="25"/>
      <c r="H101" s="37"/>
      <c r="I101" s="15"/>
      <c r="J101" s="16"/>
      <c r="K101" s="16"/>
      <c r="L101" s="29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13"/>
      <c r="B102" s="12"/>
      <c r="C102" s="14"/>
      <c r="D102" s="15"/>
      <c r="E102" s="15"/>
      <c r="F102" s="16"/>
      <c r="G102" s="25"/>
      <c r="H102" s="25"/>
      <c r="I102" s="15"/>
      <c r="J102" s="16"/>
      <c r="K102" s="16"/>
      <c r="L102" s="29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30"/>
      <c r="B103" s="31"/>
      <c r="C103" s="2"/>
      <c r="D103" s="3"/>
      <c r="E103" s="3"/>
      <c r="F103" s="3"/>
      <c r="G103" s="2"/>
      <c r="H103" s="2"/>
      <c r="I103" s="2"/>
      <c r="J103" s="2"/>
      <c r="K103" s="3"/>
      <c r="L103" s="4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30" t="s">
        <v>120</v>
      </c>
      <c r="B104" s="31">
        <f>F100+E86+E76+E45+F26</f>
        <v>1598101.5</v>
      </c>
      <c r="C104" s="2"/>
      <c r="D104" s="3"/>
      <c r="E104" s="3"/>
      <c r="F104" s="3"/>
      <c r="G104" s="2"/>
      <c r="H104" s="2"/>
      <c r="I104" s="2"/>
      <c r="J104" s="2"/>
      <c r="K104" s="3"/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"/>
      <c r="B105" s="2"/>
      <c r="C105" s="2"/>
      <c r="D105" s="3"/>
      <c r="E105" s="3"/>
      <c r="F105" s="3"/>
      <c r="G105" s="2"/>
      <c r="H105" s="2"/>
      <c r="I105" s="2"/>
      <c r="J105" s="2"/>
      <c r="K105" s="3"/>
      <c r="L105" s="4"/>
      <c r="M105" s="2"/>
      <c r="N105" s="2"/>
      <c r="O105" s="2"/>
      <c r="P105" s="2"/>
      <c r="Q105" s="3"/>
      <c r="R105" s="9"/>
      <c r="S105" s="3"/>
      <c r="T105" s="3"/>
      <c r="U105" s="1"/>
      <c r="V105" s="3"/>
      <c r="W105" s="3"/>
      <c r="X105" s="3"/>
      <c r="Y105" s="3"/>
      <c r="Z105" s="3"/>
    </row>
    <row r="106">
      <c r="A106" s="30" t="s">
        <v>121</v>
      </c>
      <c r="B106" s="31">
        <f>K100+K86+K76+K45+K26</f>
        <v>879680.8254</v>
      </c>
      <c r="C106" s="2"/>
      <c r="D106" s="3"/>
      <c r="E106" s="3"/>
      <c r="F106" s="3"/>
      <c r="G106" s="2"/>
      <c r="H106" s="2"/>
      <c r="I106" s="2"/>
      <c r="J106" s="2"/>
      <c r="K106" s="3"/>
      <c r="L106" s="4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"/>
      <c r="B107" s="2"/>
      <c r="C107" s="2"/>
      <c r="D107" s="3"/>
      <c r="E107" s="3"/>
      <c r="F107" s="3"/>
      <c r="G107" s="2"/>
      <c r="H107" s="2"/>
      <c r="I107" s="2"/>
      <c r="J107" s="2"/>
      <c r="K107" s="3"/>
      <c r="L107" s="4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39" t="s">
        <v>122</v>
      </c>
      <c r="B108" s="40">
        <v>0.0</v>
      </c>
      <c r="C108" s="2"/>
      <c r="D108" s="3"/>
      <c r="E108" s="3"/>
      <c r="F108" s="3"/>
      <c r="G108" s="2"/>
      <c r="H108" s="2"/>
      <c r="I108" s="2"/>
      <c r="J108" s="2"/>
      <c r="K108" s="3"/>
      <c r="L108" s="4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1"/>
      <c r="B109" s="2"/>
      <c r="C109" s="2"/>
      <c r="D109" s="3"/>
      <c r="E109" s="3"/>
      <c r="F109" s="3"/>
      <c r="G109" s="2"/>
      <c r="H109" s="2"/>
      <c r="I109" s="2"/>
      <c r="J109" s="2"/>
      <c r="K109" s="3"/>
      <c r="L109" s="4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30" t="s">
        <v>123</v>
      </c>
      <c r="B110" s="41">
        <f>B106/B104</f>
        <v>0.5504536635</v>
      </c>
      <c r="C110" s="2"/>
      <c r="D110" s="3"/>
      <c r="E110" s="3"/>
      <c r="F110" s="3"/>
      <c r="G110" s="2"/>
      <c r="H110" s="2"/>
      <c r="I110" s="2"/>
      <c r="J110" s="2"/>
      <c r="K110" s="3"/>
      <c r="L110" s="4"/>
      <c r="M110" s="2"/>
      <c r="N110" s="2"/>
      <c r="O110" s="2"/>
      <c r="P110" s="2"/>
      <c r="Q110" s="2"/>
      <c r="R110" s="2"/>
      <c r="S110" s="3"/>
      <c r="T110" s="3"/>
      <c r="U110" s="1"/>
      <c r="V110" s="3"/>
      <c r="W110" s="3"/>
      <c r="X110" s="2"/>
      <c r="Y110" s="2"/>
      <c r="Z110" s="2"/>
    </row>
    <row r="111">
      <c r="A111" s="1"/>
      <c r="B111" s="2"/>
      <c r="C111" s="2"/>
      <c r="D111" s="3"/>
      <c r="E111" s="3"/>
      <c r="F111" s="3"/>
      <c r="G111" s="2"/>
      <c r="H111" s="2"/>
      <c r="I111" s="2"/>
      <c r="J111" s="2"/>
      <c r="K111" s="3"/>
      <c r="L111" s="4"/>
      <c r="M111" s="2"/>
      <c r="N111" s="2"/>
      <c r="O111" s="2"/>
      <c r="P111" s="2"/>
      <c r="Q111" s="3"/>
      <c r="R111" s="9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42" t="s">
        <v>124</v>
      </c>
      <c r="C112" s="43">
        <v>100.0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9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"/>
      <c r="B114" s="2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"/>
      <c r="B115" s="1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X116" s="3"/>
      <c r="Y116" s="3"/>
      <c r="Z116" s="3"/>
    </row>
    <row r="117" ht="15.75" customHeight="1">
      <c r="A117" s="45"/>
      <c r="B117" s="46" t="s">
        <v>125</v>
      </c>
      <c r="C117" s="47" t="s">
        <v>126</v>
      </c>
      <c r="D117" s="48" t="s">
        <v>127</v>
      </c>
      <c r="E117" s="48" t="s">
        <v>128</v>
      </c>
      <c r="F117" s="48" t="s">
        <v>129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9"/>
      <c r="X117" s="3"/>
      <c r="Y117" s="3"/>
      <c r="Z117" s="3"/>
    </row>
    <row r="118" ht="15.75" customHeight="1">
      <c r="A118" s="49"/>
      <c r="B118" s="50">
        <v>2528350.0</v>
      </c>
      <c r="C118" s="51">
        <v>308459.29</v>
      </c>
      <c r="D118" s="51">
        <f>2277828.28-500000-1000000+491000</f>
        <v>1268828.28</v>
      </c>
      <c r="E118" s="51"/>
      <c r="F118" s="51">
        <f>8500000+1101582.8</f>
        <v>9601582.8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"/>
      <c r="B119" s="52"/>
      <c r="C119" s="52"/>
      <c r="D119" s="52"/>
      <c r="E119" s="5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46" t="s">
        <v>130</v>
      </c>
      <c r="B120" s="53"/>
      <c r="C120" s="53"/>
      <c r="D120" s="53"/>
      <c r="E120" s="53"/>
      <c r="F120" s="5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131</v>
      </c>
      <c r="B121" s="55">
        <v>319800.0</v>
      </c>
      <c r="C121" s="55">
        <v>0.0</v>
      </c>
      <c r="D121" s="55">
        <v>0.0</v>
      </c>
      <c r="E121" s="55">
        <v>0.0</v>
      </c>
      <c r="F121" s="55">
        <v>0.0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132</v>
      </c>
      <c r="B122" s="55">
        <v>0.0</v>
      </c>
      <c r="C122" s="55">
        <v>3625.2</v>
      </c>
      <c r="D122" s="55">
        <v>0.0</v>
      </c>
      <c r="E122" s="55">
        <v>0.0</v>
      </c>
      <c r="F122" s="55">
        <v>0.0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3" t="s">
        <v>133</v>
      </c>
      <c r="B123" s="55">
        <v>0.0</v>
      </c>
      <c r="C123" s="55">
        <v>0.0</v>
      </c>
      <c r="D123" s="55">
        <v>1101582.8</v>
      </c>
      <c r="E123" s="55">
        <v>0.0</v>
      </c>
      <c r="F123" s="55">
        <v>0.0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134</v>
      </c>
      <c r="B124" s="55">
        <v>0.0</v>
      </c>
      <c r="C124" s="55">
        <v>0.0</v>
      </c>
      <c r="D124" s="55">
        <v>0.0</v>
      </c>
      <c r="E124" s="55">
        <v>0.0</v>
      </c>
      <c r="F124" s="55">
        <v>0.0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135</v>
      </c>
      <c r="B125" s="55">
        <v>0.0</v>
      </c>
      <c r="C125" s="55">
        <v>0.0</v>
      </c>
      <c r="D125" s="55">
        <v>0.0</v>
      </c>
      <c r="E125" s="55">
        <v>0.0</v>
      </c>
      <c r="F125" s="55">
        <v>0.0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136</v>
      </c>
      <c r="B126" s="55">
        <v>0.0</v>
      </c>
      <c r="C126" s="56">
        <f>C121*0.6%+C124*0.6%</f>
        <v>0</v>
      </c>
      <c r="D126" s="55">
        <f>SUM(D121:D123)*0.6%</f>
        <v>6609.4968</v>
      </c>
      <c r="E126" s="55">
        <v>0.0</v>
      </c>
      <c r="F126" s="55">
        <v>0.0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"/>
      <c r="B127" s="52"/>
      <c r="C127" s="52"/>
      <c r="D127" s="52"/>
      <c r="E127" s="5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57" t="s">
        <v>8</v>
      </c>
      <c r="B128" s="58">
        <f>SUM(B118:B126)</f>
        <v>2848150</v>
      </c>
      <c r="C128" s="58">
        <f>C118+C121+C124+C125-C126+C122</f>
        <v>312084.49</v>
      </c>
      <c r="D128" s="59">
        <f>D118+D121+D124+D125-D126+D123</f>
        <v>2363801.583</v>
      </c>
      <c r="E128" s="58">
        <f>E118+E121+E124+E125-E126</f>
        <v>0</v>
      </c>
      <c r="F128" s="60">
        <f>F118+F121+F124+F125-F126-D123</f>
        <v>8500000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"/>
      <c r="B129" s="1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46" t="s">
        <v>137</v>
      </c>
      <c r="B130" s="53"/>
      <c r="C130" s="53"/>
      <c r="D130" s="53"/>
      <c r="E130" s="53"/>
      <c r="F130" s="5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138</v>
      </c>
      <c r="B131" s="61">
        <v>10000.0</v>
      </c>
      <c r="C131" s="61">
        <v>0.0</v>
      </c>
      <c r="D131" s="61">
        <v>0.0</v>
      </c>
      <c r="E131" s="61">
        <v>0.0</v>
      </c>
      <c r="F131" s="3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139</v>
      </c>
      <c r="B132" s="55">
        <v>0.0</v>
      </c>
      <c r="C132" s="55">
        <v>0.0</v>
      </c>
      <c r="D132" s="55">
        <v>0.0</v>
      </c>
      <c r="E132" s="55">
        <v>0.0</v>
      </c>
      <c r="F132" s="3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140</v>
      </c>
      <c r="B133" s="61">
        <v>0.0</v>
      </c>
      <c r="C133" s="61">
        <v>0.0</v>
      </c>
      <c r="D133" s="55">
        <v>500000.0</v>
      </c>
      <c r="E133" s="61">
        <v>0.0</v>
      </c>
      <c r="F133" s="3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141</v>
      </c>
      <c r="B134" s="61">
        <v>0.0</v>
      </c>
      <c r="C134" s="61">
        <v>0.0</v>
      </c>
      <c r="D134" s="61">
        <v>0.0</v>
      </c>
      <c r="E134" s="61">
        <v>0.0</v>
      </c>
      <c r="F134" s="3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3" t="s">
        <v>142</v>
      </c>
      <c r="B135" s="61">
        <v>0.0</v>
      </c>
      <c r="C135" s="61">
        <v>395000.0</v>
      </c>
      <c r="D135" s="61">
        <v>0.0</v>
      </c>
      <c r="E135" s="61">
        <v>0.0</v>
      </c>
      <c r="F135" s="3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13" t="s">
        <v>143</v>
      </c>
      <c r="B136" s="61">
        <v>40000.0</v>
      </c>
      <c r="C136" s="61">
        <v>0.0</v>
      </c>
      <c r="D136" s="61">
        <v>0.0</v>
      </c>
      <c r="E136" s="61">
        <v>0.0</v>
      </c>
      <c r="F136" s="35"/>
      <c r="G136" s="2"/>
      <c r="H136" s="6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3" t="s">
        <v>144</v>
      </c>
      <c r="B137" s="55">
        <v>0.0</v>
      </c>
      <c r="C137" s="55">
        <v>0.0</v>
      </c>
      <c r="D137" s="55">
        <v>0.0</v>
      </c>
      <c r="E137" s="55">
        <v>0.0</v>
      </c>
      <c r="F137" s="3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13" t="s">
        <v>145</v>
      </c>
      <c r="B138" s="55">
        <v>0.0</v>
      </c>
      <c r="C138" s="55">
        <v>0.0</v>
      </c>
      <c r="D138" s="55">
        <v>0.0</v>
      </c>
      <c r="E138" s="55">
        <v>0.0</v>
      </c>
      <c r="F138" s="35"/>
      <c r="G138" s="2"/>
      <c r="H138" s="6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13" t="s">
        <v>146</v>
      </c>
      <c r="B139" s="55">
        <v>0.0</v>
      </c>
      <c r="C139" s="55">
        <v>0.0</v>
      </c>
      <c r="D139" s="55">
        <v>0.0</v>
      </c>
      <c r="E139" s="55">
        <v>0.0</v>
      </c>
      <c r="F139" s="35"/>
      <c r="G139" s="2"/>
      <c r="H139" s="62"/>
      <c r="I139" s="2"/>
      <c r="J139" s="2"/>
      <c r="K139" s="2"/>
      <c r="L139" s="2"/>
      <c r="M139" s="2"/>
      <c r="N139" s="2"/>
      <c r="O139" s="2"/>
      <c r="P139" s="2"/>
      <c r="Q139" s="3"/>
      <c r="R139" s="9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13" t="s">
        <v>147</v>
      </c>
      <c r="B140" s="61">
        <v>0.0</v>
      </c>
      <c r="C140" s="61">
        <v>0.0</v>
      </c>
      <c r="D140" s="61">
        <v>0.0</v>
      </c>
      <c r="E140" s="61">
        <v>0.0</v>
      </c>
      <c r="F140" s="35"/>
      <c r="G140" s="2"/>
      <c r="H140" s="62"/>
      <c r="I140" s="2"/>
      <c r="J140" s="2"/>
      <c r="K140" s="2"/>
      <c r="L140" s="2"/>
      <c r="M140" s="2"/>
      <c r="N140" s="2"/>
      <c r="O140" s="2"/>
      <c r="P140" s="2"/>
      <c r="Q140" s="3"/>
      <c r="R140" s="9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13" t="s">
        <v>148</v>
      </c>
      <c r="B141" s="61">
        <v>0.0</v>
      </c>
      <c r="C141" s="61">
        <v>50000.0</v>
      </c>
      <c r="D141" s="61">
        <v>0.0</v>
      </c>
      <c r="E141" s="61">
        <v>0.0</v>
      </c>
      <c r="F141" s="35"/>
      <c r="G141" s="2"/>
      <c r="H141" s="62"/>
      <c r="I141" s="2"/>
      <c r="J141" s="2"/>
      <c r="K141" s="2"/>
      <c r="L141" s="2"/>
      <c r="M141" s="2"/>
      <c r="N141" s="2"/>
      <c r="O141" s="2"/>
      <c r="P141" s="2"/>
      <c r="Q141" s="3"/>
      <c r="R141" s="9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13" t="s">
        <v>149</v>
      </c>
      <c r="B142" s="56">
        <v>0.0</v>
      </c>
      <c r="C142" s="56">
        <v>50000.0</v>
      </c>
      <c r="D142" s="55">
        <v>0.0</v>
      </c>
      <c r="E142" s="55">
        <v>0.0</v>
      </c>
      <c r="F142" s="3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13" t="s">
        <v>150</v>
      </c>
      <c r="B143" s="56">
        <v>0.0</v>
      </c>
      <c r="C143" s="56">
        <v>0.0</v>
      </c>
      <c r="D143" s="55">
        <v>0.0</v>
      </c>
      <c r="E143" s="55">
        <v>0.0</v>
      </c>
      <c r="F143" s="35"/>
      <c r="G143" s="2"/>
      <c r="H143" s="6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13" t="s">
        <v>151</v>
      </c>
      <c r="B144" s="56">
        <v>0.0</v>
      </c>
      <c r="C144" s="56">
        <v>0.0</v>
      </c>
      <c r="D144" s="55">
        <v>0.0</v>
      </c>
      <c r="E144" s="55">
        <v>0.0</v>
      </c>
      <c r="F144" s="3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13" t="s">
        <v>152</v>
      </c>
      <c r="B145" s="56">
        <v>0.0</v>
      </c>
      <c r="C145" s="56">
        <v>0.0</v>
      </c>
      <c r="D145" s="55">
        <v>0.0</v>
      </c>
      <c r="E145" s="55">
        <v>0.0</v>
      </c>
      <c r="F145" s="3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9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13" t="s">
        <v>153</v>
      </c>
      <c r="B146" s="56">
        <v>0.0</v>
      </c>
      <c r="C146" s="56">
        <v>0.0</v>
      </c>
      <c r="D146" s="55">
        <v>0.0</v>
      </c>
      <c r="E146" s="55">
        <v>0.0</v>
      </c>
      <c r="F146" s="3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9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13" t="s">
        <v>154</v>
      </c>
      <c r="B147" s="56">
        <v>0.0</v>
      </c>
      <c r="C147" s="56">
        <v>0.0</v>
      </c>
      <c r="D147" s="55">
        <v>0.0</v>
      </c>
      <c r="E147" s="55">
        <v>0.0</v>
      </c>
      <c r="F147" s="3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13" t="s">
        <v>155</v>
      </c>
      <c r="B148" s="55">
        <v>20000.0</v>
      </c>
      <c r="C148" s="55">
        <v>0.0</v>
      </c>
      <c r="D148" s="55">
        <v>0.0</v>
      </c>
      <c r="E148" s="55">
        <v>0.0</v>
      </c>
      <c r="F148" s="3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13" t="s">
        <v>156</v>
      </c>
      <c r="B149" s="55">
        <v>0.0</v>
      </c>
      <c r="C149" s="55">
        <v>0.0</v>
      </c>
      <c r="D149" s="55">
        <v>12167.06</v>
      </c>
      <c r="E149" s="55">
        <v>0.0</v>
      </c>
      <c r="F149" s="3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13" t="s">
        <v>157</v>
      </c>
      <c r="B150" s="55">
        <v>0.0</v>
      </c>
      <c r="C150" s="55">
        <v>0.0</v>
      </c>
      <c r="D150" s="55">
        <v>0.0</v>
      </c>
      <c r="E150" s="55">
        <v>0.0</v>
      </c>
      <c r="F150" s="3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13" t="s">
        <v>158</v>
      </c>
      <c r="B151" s="56">
        <v>0.0</v>
      </c>
      <c r="C151" s="56">
        <v>0.0</v>
      </c>
      <c r="D151" s="55">
        <f>SUM(D121:D123)*2%</f>
        <v>22031.656</v>
      </c>
      <c r="E151" s="55">
        <v>0.0</v>
      </c>
      <c r="F151" s="3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13" t="s">
        <v>159</v>
      </c>
      <c r="B152" s="55">
        <v>0.0</v>
      </c>
      <c r="C152" s="55">
        <v>0.0</v>
      </c>
      <c r="D152" s="55">
        <v>0.0</v>
      </c>
      <c r="E152" s="55">
        <v>0.0</v>
      </c>
      <c r="F152" s="3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13" t="s">
        <v>160</v>
      </c>
      <c r="B153" s="55">
        <v>0.0</v>
      </c>
      <c r="C153" s="55">
        <v>0.0</v>
      </c>
      <c r="D153" s="55">
        <v>0.0</v>
      </c>
      <c r="E153" s="55">
        <v>0.0</v>
      </c>
      <c r="F153" s="3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13" t="s">
        <v>161</v>
      </c>
      <c r="B154" s="55">
        <v>0.0</v>
      </c>
      <c r="C154" s="55">
        <v>0.0</v>
      </c>
      <c r="D154" s="55">
        <v>0.0</v>
      </c>
      <c r="E154" s="55">
        <v>0.0</v>
      </c>
      <c r="F154" s="3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13" t="s">
        <v>162</v>
      </c>
      <c r="B155" s="55">
        <v>0.0</v>
      </c>
      <c r="C155" s="55">
        <v>0.0</v>
      </c>
      <c r="D155" s="55">
        <v>0.0</v>
      </c>
      <c r="E155" s="55">
        <v>0.0</v>
      </c>
      <c r="F155" s="3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63"/>
      <c r="B156" s="55"/>
      <c r="C156" s="55"/>
      <c r="D156" s="55"/>
      <c r="E156" s="55"/>
      <c r="F156" s="3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13" t="s">
        <v>163</v>
      </c>
      <c r="B157" s="56">
        <v>0.0</v>
      </c>
      <c r="C157" s="56">
        <f>SUM(C131:C154)*0.6%</f>
        <v>2970</v>
      </c>
      <c r="D157" s="56">
        <f>SUM(D131:D154)*0.6%+(D158*0.6%)</f>
        <v>5737.192296</v>
      </c>
      <c r="E157" s="56">
        <f>(E135*0.6%)+(E136*0.6%)+(E137*0.6%)+(E140*0.6%)+(E141*0.6%)</f>
        <v>0</v>
      </c>
      <c r="F157" s="3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164</v>
      </c>
      <c r="B158" s="56">
        <v>0.0</v>
      </c>
      <c r="C158" s="56">
        <f t="shared" ref="C158:D158" si="23">272000+150000</f>
        <v>422000</v>
      </c>
      <c r="D158" s="56">
        <f t="shared" si="23"/>
        <v>422000</v>
      </c>
      <c r="E158" s="56">
        <f>SUM(E132:E156)*0.6%+(E159*0.6%)</f>
        <v>0</v>
      </c>
      <c r="F158" s="6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63"/>
      <c r="B159" s="63"/>
      <c r="C159" s="35"/>
      <c r="D159" s="2"/>
      <c r="E159" s="35"/>
      <c r="F159" s="3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65" t="s">
        <v>165</v>
      </c>
      <c r="B160" s="66">
        <f>SUM(B131:B159)</f>
        <v>70000</v>
      </c>
      <c r="C160" s="66">
        <f>SUM(C131:C157)</f>
        <v>497970</v>
      </c>
      <c r="D160" s="66">
        <f>SUM(D131:D158)</f>
        <v>961935.9083</v>
      </c>
      <c r="E160" s="66">
        <f>E142+E146+E157-E158</f>
        <v>0</v>
      </c>
      <c r="F160" s="67" t="str">
        <f>F135</f>
        <v/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63"/>
      <c r="B161" s="63"/>
      <c r="C161" s="35"/>
      <c r="D161" s="35"/>
      <c r="E161" s="35"/>
      <c r="F161" s="3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65" t="s">
        <v>166</v>
      </c>
      <c r="B162" s="68">
        <f>B128-B160</f>
        <v>2778150</v>
      </c>
      <c r="C162" s="69">
        <f>C128-C160+C158</f>
        <v>236114.49</v>
      </c>
      <c r="D162" s="69">
        <f t="shared" ref="D162:F162" si="24">D128-D160</f>
        <v>1401865.675</v>
      </c>
      <c r="E162" s="70">
        <f t="shared" si="24"/>
        <v>0</v>
      </c>
      <c r="F162" s="70">
        <f t="shared" si="24"/>
        <v>8500000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71" t="s">
        <v>167</v>
      </c>
      <c r="B164" s="72">
        <v>249800.0</v>
      </c>
      <c r="C164" s="52"/>
      <c r="D164" s="52"/>
      <c r="E164" s="52"/>
      <c r="F164" s="5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9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71" t="s">
        <v>168</v>
      </c>
      <c r="B165" s="72">
        <v>2528350.0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52" t="s">
        <v>13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52">
        <f>SUM(B164:B165)</f>
        <v>2778150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9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9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9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9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9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9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9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9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9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9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9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9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9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9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9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"/>
      <c r="R239" s="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3"/>
      <c r="T241" s="3"/>
      <c r="U241" s="9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9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9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9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9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9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9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9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9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9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3"/>
      <c r="T283" s="3"/>
      <c r="U283" s="9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9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9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9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5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5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5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5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5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5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5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5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5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5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5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5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5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5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5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5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9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5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5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52"/>
      <c r="R328" s="52"/>
      <c r="S328" s="3"/>
      <c r="T328" s="3"/>
      <c r="U328" s="9"/>
      <c r="V328" s="3"/>
      <c r="W328" s="3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9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9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5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5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5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5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5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5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5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9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9"/>
      <c r="T374" s="3"/>
      <c r="U374" s="2"/>
      <c r="V374" s="3"/>
      <c r="W374" s="3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9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9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9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9"/>
      <c r="T391" s="3"/>
      <c r="U391" s="2"/>
      <c r="V391" s="3"/>
      <c r="W391" s="3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9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9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9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9"/>
      <c r="T402" s="3"/>
      <c r="U402" s="2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9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9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3"/>
      <c r="T418" s="3"/>
      <c r="U418" s="9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9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9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3"/>
      <c r="T432" s="9"/>
      <c r="U432" s="2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9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9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9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9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3"/>
      <c r="T444" s="9"/>
      <c r="U444" s="2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9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9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3"/>
      <c r="R459" s="2"/>
      <c r="S459" s="2"/>
      <c r="T459" s="3"/>
      <c r="U459" s="2"/>
      <c r="V459" s="2"/>
      <c r="W459" s="2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3"/>
      <c r="T460" s="3"/>
      <c r="U460" s="3"/>
      <c r="V460" s="2"/>
      <c r="W460" s="2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44"/>
      <c r="R462" s="44"/>
      <c r="S462" s="44"/>
      <c r="T462" s="44"/>
      <c r="U462" s="44"/>
      <c r="V462" s="44"/>
      <c r="W462" s="44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3"/>
      <c r="T463" s="3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"/>
      <c r="R464" s="2"/>
      <c r="S464" s="3"/>
      <c r="T464" s="3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4"/>
      <c r="R466" s="75"/>
      <c r="S466" s="76"/>
      <c r="T466" s="76"/>
      <c r="U466" s="76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7"/>
      <c r="R467" s="77"/>
      <c r="S467" s="77"/>
      <c r="T467" s="77"/>
      <c r="U467" s="77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2"/>
      <c r="R468" s="52"/>
      <c r="S468" s="52"/>
      <c r="T468" s="5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52"/>
      <c r="R470" s="52"/>
      <c r="S470" s="52"/>
      <c r="T470" s="52"/>
      <c r="U470" s="5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52"/>
      <c r="R471" s="52"/>
      <c r="S471" s="52"/>
      <c r="T471" s="5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2"/>
      <c r="R472" s="52"/>
      <c r="S472" s="52"/>
      <c r="T472" s="5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2"/>
      <c r="R473" s="52"/>
      <c r="S473" s="52"/>
      <c r="T473" s="5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2"/>
      <c r="R474" s="52"/>
      <c r="S474" s="52"/>
      <c r="T474" s="5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8"/>
      <c r="R475" s="78"/>
      <c r="S475" s="78"/>
      <c r="T475" s="78"/>
      <c r="U475" s="79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"/>
      <c r="R476" s="2"/>
      <c r="S476" s="3"/>
      <c r="T476" s="3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62"/>
      <c r="R478" s="62"/>
      <c r="S478" s="62"/>
      <c r="T478" s="6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62"/>
      <c r="R479" s="62"/>
      <c r="S479" s="62"/>
      <c r="T479" s="6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62"/>
      <c r="R480" s="62"/>
      <c r="S480" s="62"/>
      <c r="T480" s="6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62"/>
      <c r="R481" s="62"/>
      <c r="S481" s="62"/>
      <c r="T481" s="6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62"/>
      <c r="R482" s="62"/>
      <c r="S482" s="62"/>
      <c r="T482" s="62"/>
      <c r="U482" s="2"/>
      <c r="V482" s="2"/>
      <c r="W482" s="6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62"/>
      <c r="R483" s="62"/>
      <c r="S483" s="62"/>
      <c r="T483" s="6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62"/>
      <c r="R484" s="62"/>
      <c r="S484" s="62"/>
      <c r="T484" s="62"/>
      <c r="U484" s="2"/>
      <c r="V484" s="2"/>
      <c r="W484" s="6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62"/>
      <c r="R485" s="62"/>
      <c r="S485" s="62"/>
      <c r="T485" s="62"/>
      <c r="U485" s="2"/>
      <c r="V485" s="2"/>
      <c r="W485" s="6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52"/>
      <c r="R486" s="52"/>
      <c r="S486" s="52"/>
      <c r="T486" s="5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52"/>
      <c r="R487" s="52"/>
      <c r="S487" s="52"/>
      <c r="T487" s="52"/>
      <c r="U487" s="2"/>
      <c r="V487" s="2"/>
      <c r="W487" s="6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52"/>
      <c r="R488" s="52"/>
      <c r="S488" s="52"/>
      <c r="T488" s="5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52"/>
      <c r="R489" s="52"/>
      <c r="S489" s="52"/>
      <c r="T489" s="5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52"/>
      <c r="R490" s="52"/>
      <c r="S490" s="52"/>
      <c r="T490" s="5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52"/>
      <c r="R491" s="52"/>
      <c r="S491" s="52"/>
      <c r="T491" s="5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52"/>
      <c r="R492" s="52"/>
      <c r="S492" s="52"/>
      <c r="T492" s="5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52"/>
      <c r="R493" s="52"/>
      <c r="S493" s="52"/>
      <c r="T493" s="5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2"/>
      <c r="R494" s="52"/>
      <c r="S494" s="52"/>
      <c r="T494" s="5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"/>
      <c r="R495" s="52"/>
      <c r="S495" s="52"/>
      <c r="T495" s="5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8"/>
      <c r="R497" s="78"/>
      <c r="S497" s="78"/>
      <c r="T497" s="78"/>
      <c r="U497" s="79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7"/>
      <c r="R499" s="78"/>
      <c r="S499" s="78"/>
      <c r="T499" s="80"/>
      <c r="U499" s="80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52"/>
      <c r="R501" s="52"/>
      <c r="S501" s="52"/>
      <c r="T501" s="52"/>
      <c r="U501" s="5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5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</sheetData>
  <mergeCells count="9">
    <mergeCell ref="U170:W170"/>
    <mergeCell ref="U205:W205"/>
    <mergeCell ref="I3:K3"/>
    <mergeCell ref="I90:K90"/>
    <mergeCell ref="A112:B112"/>
    <mergeCell ref="U116:W116"/>
    <mergeCell ref="A117:A118"/>
    <mergeCell ref="A120:F120"/>
    <mergeCell ref="A130:F130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21"/>
      <c r="P2" s="21"/>
      <c r="Q2" s="21"/>
      <c r="R2" s="2"/>
      <c r="S2" s="3"/>
      <c r="T2" s="3"/>
      <c r="U2" s="1"/>
      <c r="V2" s="3"/>
      <c r="W2" s="3"/>
      <c r="X2" s="3"/>
      <c r="Y2" s="3"/>
      <c r="Z2" s="3"/>
    </row>
    <row r="3">
      <c r="A3" s="24"/>
      <c r="B3" s="24"/>
      <c r="C3" s="24"/>
      <c r="D3" s="32"/>
      <c r="E3" s="7"/>
      <c r="F3" s="33"/>
      <c r="G3" s="25"/>
      <c r="H3" s="25"/>
      <c r="I3" s="16"/>
      <c r="J3" s="16"/>
      <c r="K3" s="16"/>
      <c r="L3" s="34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24" t="s">
        <v>100</v>
      </c>
      <c r="B4" s="24"/>
      <c r="C4" s="24"/>
      <c r="D4" s="81" t="s">
        <v>229</v>
      </c>
      <c r="E4" s="82">
        <v>46058.0</v>
      </c>
      <c r="F4" s="33" t="s">
        <v>13</v>
      </c>
      <c r="G4" s="25"/>
      <c r="H4" s="25"/>
      <c r="I4" s="16"/>
      <c r="J4" s="16"/>
      <c r="K4" s="16"/>
      <c r="L4" s="34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B5" s="25"/>
      <c r="C5" s="35"/>
      <c r="D5" s="25"/>
      <c r="E5" s="25"/>
      <c r="F5" s="25"/>
      <c r="G5" s="25"/>
      <c r="H5" s="25"/>
      <c r="I5" s="16"/>
      <c r="J5" s="16"/>
      <c r="K5" s="16"/>
      <c r="L5" s="34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5" t="s">
        <v>4</v>
      </c>
      <c r="B6" s="10" t="s">
        <v>5</v>
      </c>
      <c r="C6" s="11" t="s">
        <v>6</v>
      </c>
      <c r="D6" s="12" t="s">
        <v>7</v>
      </c>
      <c r="E6" s="10" t="s">
        <v>8</v>
      </c>
      <c r="F6" s="12"/>
      <c r="G6" s="25"/>
      <c r="H6" s="25"/>
      <c r="I6" s="12" t="s">
        <v>7</v>
      </c>
      <c r="J6" s="12" t="s">
        <v>8</v>
      </c>
      <c r="K6" s="12" t="s">
        <v>10</v>
      </c>
      <c r="L6" s="34"/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1.5</v>
      </c>
      <c r="B7" s="84" t="s">
        <v>18</v>
      </c>
      <c r="C7" s="85" t="s">
        <v>65</v>
      </c>
      <c r="D7" s="22">
        <v>10000.0</v>
      </c>
      <c r="E7" s="15">
        <f t="shared" ref="E7:E11" si="1">A7*D7</f>
        <v>15000</v>
      </c>
      <c r="F7" s="16"/>
      <c r="G7" s="25"/>
      <c r="H7" s="37"/>
      <c r="I7" s="22">
        <v>8000.0</v>
      </c>
      <c r="J7" s="16">
        <f t="shared" ref="J7:J11" si="2">I7*A7</f>
        <v>12000</v>
      </c>
      <c r="K7" s="16">
        <f t="shared" ref="K7:K11" si="3">E7-J7</f>
        <v>3000</v>
      </c>
      <c r="L7" s="36"/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13">
        <v>1.0</v>
      </c>
      <c r="B8" s="12" t="s">
        <v>33</v>
      </c>
      <c r="C8" s="85" t="s">
        <v>48</v>
      </c>
      <c r="D8" s="22">
        <v>3500.0</v>
      </c>
      <c r="E8" s="15">
        <f t="shared" si="1"/>
        <v>3500</v>
      </c>
      <c r="F8" s="16"/>
      <c r="G8" s="25"/>
      <c r="H8" s="37"/>
      <c r="I8" s="22">
        <v>3500.0</v>
      </c>
      <c r="J8" s="16">
        <f t="shared" si="2"/>
        <v>3500</v>
      </c>
      <c r="K8" s="16">
        <f t="shared" si="3"/>
        <v>0</v>
      </c>
      <c r="L8" s="36"/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4.0</v>
      </c>
      <c r="B9" s="12" t="s">
        <v>33</v>
      </c>
      <c r="C9" s="14" t="s">
        <v>178</v>
      </c>
      <c r="D9" s="15">
        <v>1500.0</v>
      </c>
      <c r="E9" s="15">
        <f t="shared" si="1"/>
        <v>6000</v>
      </c>
      <c r="F9" s="16"/>
      <c r="G9" s="25"/>
      <c r="H9" s="25"/>
      <c r="I9" s="22">
        <v>1500.0</v>
      </c>
      <c r="J9" s="16">
        <f t="shared" si="2"/>
        <v>6000</v>
      </c>
      <c r="K9" s="16">
        <f t="shared" si="3"/>
        <v>0</v>
      </c>
      <c r="L9" s="36"/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50</v>
      </c>
      <c r="C10" s="85" t="s">
        <v>103</v>
      </c>
      <c r="D10" s="22">
        <v>2000.0</v>
      </c>
      <c r="E10" s="15">
        <f t="shared" si="1"/>
        <v>2000</v>
      </c>
      <c r="F10" s="16"/>
      <c r="G10" s="25"/>
      <c r="H10" s="25"/>
      <c r="I10" s="22">
        <v>2000.0</v>
      </c>
      <c r="J10" s="16">
        <f t="shared" si="2"/>
        <v>2000</v>
      </c>
      <c r="K10" s="16">
        <f t="shared" si="3"/>
        <v>0</v>
      </c>
      <c r="L10" s="36"/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13">
        <v>4.0</v>
      </c>
      <c r="B11" s="12" t="s">
        <v>5</v>
      </c>
      <c r="C11" s="14" t="s">
        <v>87</v>
      </c>
      <c r="D11" s="15">
        <v>1300.0</v>
      </c>
      <c r="E11" s="15">
        <f t="shared" si="1"/>
        <v>5200</v>
      </c>
      <c r="F11" s="16"/>
      <c r="G11" s="25"/>
      <c r="H11" s="37"/>
      <c r="I11" s="22">
        <v>1300.0</v>
      </c>
      <c r="J11" s="16">
        <f t="shared" si="2"/>
        <v>5200</v>
      </c>
      <c r="K11" s="16">
        <f t="shared" si="3"/>
        <v>0</v>
      </c>
      <c r="L11" s="29"/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3"/>
      <c r="B12" s="12"/>
      <c r="C12" s="14"/>
      <c r="D12" s="15"/>
      <c r="E12" s="16"/>
      <c r="F12" s="16"/>
      <c r="G12" s="25"/>
      <c r="H12" s="25"/>
      <c r="I12" s="16"/>
      <c r="J12" s="16"/>
      <c r="K12" s="16"/>
      <c r="L12" s="36"/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3"/>
      <c r="B13" s="12"/>
      <c r="C13" s="14"/>
      <c r="D13" s="15"/>
      <c r="E13" s="16">
        <f>SUM(E7:E11)</f>
        <v>31700</v>
      </c>
      <c r="F13" s="16"/>
      <c r="G13" s="25"/>
      <c r="H13" s="25"/>
      <c r="I13" s="16"/>
      <c r="J13" s="16"/>
      <c r="K13" s="16">
        <f>SUM(K7:K11)</f>
        <v>3000</v>
      </c>
      <c r="L13" s="36">
        <f>K13/E13</f>
        <v>0.09463722397</v>
      </c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30"/>
      <c r="B14" s="31"/>
      <c r="C14" s="2"/>
      <c r="D14" s="3"/>
      <c r="E14" s="3"/>
      <c r="F14" s="3"/>
      <c r="G14" s="2"/>
      <c r="H14" s="2"/>
      <c r="I14" s="2"/>
      <c r="J14" s="2"/>
      <c r="K14" s="3"/>
      <c r="L14" s="4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24"/>
      <c r="B15" s="24"/>
      <c r="C15" s="24"/>
      <c r="D15" s="32"/>
      <c r="E15" s="7"/>
      <c r="F15" s="33"/>
      <c r="G15" s="25"/>
      <c r="H15" s="25"/>
      <c r="I15" s="16"/>
      <c r="J15" s="16"/>
      <c r="K15" s="16"/>
      <c r="L15" s="34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5" t="s">
        <v>42</v>
      </c>
      <c r="B16" s="5" t="s">
        <v>43</v>
      </c>
      <c r="C16" s="5"/>
      <c r="D16" s="6"/>
      <c r="E16" s="86" t="s">
        <v>170</v>
      </c>
      <c r="F16" s="82">
        <v>46058.0</v>
      </c>
      <c r="G16" s="6"/>
      <c r="H16" s="3"/>
      <c r="I16" s="8" t="s">
        <v>3</v>
      </c>
      <c r="L16" s="4"/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"/>
      <c r="B17" s="3"/>
      <c r="C17" s="9"/>
      <c r="D17" s="3"/>
      <c r="E17" s="3"/>
      <c r="F17" s="3"/>
      <c r="G17" s="3"/>
      <c r="H17" s="3"/>
      <c r="I17" s="3"/>
      <c r="J17" s="3"/>
      <c r="K17" s="3"/>
      <c r="L17" s="4"/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5" t="s">
        <v>4</v>
      </c>
      <c r="B18" s="10" t="s">
        <v>5</v>
      </c>
      <c r="C18" s="11" t="s">
        <v>6</v>
      </c>
      <c r="D18" s="12" t="s">
        <v>7</v>
      </c>
      <c r="E18" s="10" t="s">
        <v>8</v>
      </c>
      <c r="F18" s="10" t="s">
        <v>9</v>
      </c>
      <c r="G18" s="3"/>
      <c r="H18" s="3"/>
      <c r="I18" s="10" t="s">
        <v>7</v>
      </c>
      <c r="J18" s="10" t="s">
        <v>8</v>
      </c>
      <c r="K18" s="10" t="s">
        <v>10</v>
      </c>
      <c r="L18" s="4"/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1.0</v>
      </c>
      <c r="B19" s="84" t="s">
        <v>38</v>
      </c>
      <c r="C19" s="85" t="s">
        <v>67</v>
      </c>
      <c r="D19" s="22">
        <v>13000.0</v>
      </c>
      <c r="E19" s="15">
        <f t="shared" ref="E19:E22" si="4">A19*D19</f>
        <v>13000</v>
      </c>
      <c r="F19" s="15">
        <f t="shared" ref="F19:F22" si="5">E19*1.105</f>
        <v>14365</v>
      </c>
      <c r="G19" s="3"/>
      <c r="H19" s="3" t="s">
        <v>13</v>
      </c>
      <c r="I19" s="87">
        <v>0.0</v>
      </c>
      <c r="J19" s="15">
        <f t="shared" ref="J19:J22" si="6">I19*A19</f>
        <v>0</v>
      </c>
      <c r="K19" s="15">
        <f t="shared" ref="K19:K22" si="7">F19-J19</f>
        <v>14365</v>
      </c>
      <c r="L19" s="23"/>
      <c r="M19" s="17"/>
      <c r="N19" s="18"/>
      <c r="O19" s="19"/>
      <c r="P19" s="18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>
        <v>1.0</v>
      </c>
      <c r="B20" s="84" t="s">
        <v>18</v>
      </c>
      <c r="C20" s="85" t="s">
        <v>48</v>
      </c>
      <c r="D20" s="22">
        <v>16000.0</v>
      </c>
      <c r="E20" s="15">
        <f t="shared" si="4"/>
        <v>16000</v>
      </c>
      <c r="F20" s="15">
        <f t="shared" si="5"/>
        <v>17680</v>
      </c>
      <c r="G20" s="3"/>
      <c r="H20" s="3" t="s">
        <v>13</v>
      </c>
      <c r="I20" s="22">
        <v>0.0</v>
      </c>
      <c r="J20" s="15">
        <f t="shared" si="6"/>
        <v>0</v>
      </c>
      <c r="K20" s="15">
        <f t="shared" si="7"/>
        <v>17680</v>
      </c>
      <c r="L20" s="23"/>
      <c r="M20" s="20"/>
      <c r="N20" s="21"/>
      <c r="P20" s="21"/>
      <c r="Q20" s="21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2.0</v>
      </c>
      <c r="B21" s="84" t="s">
        <v>33</v>
      </c>
      <c r="C21" s="85" t="s">
        <v>22</v>
      </c>
      <c r="D21" s="22">
        <v>1500.0</v>
      </c>
      <c r="E21" s="15">
        <f t="shared" si="4"/>
        <v>3000</v>
      </c>
      <c r="F21" s="15">
        <f t="shared" si="5"/>
        <v>3315</v>
      </c>
      <c r="G21" s="3"/>
      <c r="H21" s="3" t="s">
        <v>13</v>
      </c>
      <c r="I21" s="22">
        <v>0.0</v>
      </c>
      <c r="J21" s="15">
        <f t="shared" si="6"/>
        <v>0</v>
      </c>
      <c r="K21" s="15">
        <f t="shared" si="7"/>
        <v>3315</v>
      </c>
      <c r="L21" s="23"/>
      <c r="M21" s="20"/>
      <c r="N21" s="21"/>
      <c r="P21" s="21"/>
      <c r="Q21" s="21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2.0</v>
      </c>
      <c r="B22" s="12" t="s">
        <v>33</v>
      </c>
      <c r="C22" s="14" t="s">
        <v>24</v>
      </c>
      <c r="D22" s="15">
        <v>3500.0</v>
      </c>
      <c r="E22" s="15">
        <f t="shared" si="4"/>
        <v>7000</v>
      </c>
      <c r="F22" s="15">
        <f t="shared" si="5"/>
        <v>7735</v>
      </c>
      <c r="G22" s="3"/>
      <c r="H22" s="3"/>
      <c r="I22" s="22">
        <v>0.0</v>
      </c>
      <c r="J22" s="15">
        <f t="shared" si="6"/>
        <v>0</v>
      </c>
      <c r="K22" s="15">
        <f t="shared" si="7"/>
        <v>7735</v>
      </c>
      <c r="L22" s="23"/>
      <c r="M22" s="20"/>
      <c r="N22" s="21"/>
      <c r="P22" s="21"/>
      <c r="Q22" s="21"/>
      <c r="R22" s="2"/>
      <c r="S22" s="3"/>
      <c r="T22" s="3"/>
      <c r="U22" s="1"/>
      <c r="V22" s="3"/>
      <c r="W22" s="3"/>
      <c r="X22" s="3"/>
      <c r="Y22" s="3"/>
      <c r="Z22" s="3"/>
    </row>
    <row r="23">
      <c r="A23" s="13"/>
      <c r="B23" s="12"/>
      <c r="C23" s="14"/>
      <c r="D23" s="15"/>
      <c r="E23" s="3"/>
      <c r="F23" s="3"/>
      <c r="G23" s="3"/>
      <c r="H23" s="3"/>
      <c r="I23" s="3"/>
      <c r="J23" s="3"/>
      <c r="K23" s="3"/>
      <c r="L23" s="4"/>
      <c r="N23" s="21"/>
      <c r="P23" s="21"/>
      <c r="Q23" s="21"/>
      <c r="R23" s="2"/>
      <c r="S23" s="3"/>
      <c r="T23" s="3"/>
      <c r="U23" s="1"/>
      <c r="V23" s="3"/>
      <c r="W23" s="3"/>
      <c r="X23" s="3"/>
      <c r="Y23" s="3"/>
      <c r="Z23" s="3"/>
    </row>
    <row r="24">
      <c r="A24" s="13"/>
      <c r="B24" s="12"/>
      <c r="C24" s="14"/>
      <c r="D24" s="15"/>
      <c r="E24" s="15">
        <f t="shared" ref="E24:F24" si="8">SUM(E19:E22)</f>
        <v>39000</v>
      </c>
      <c r="F24" s="15">
        <f t="shared" si="8"/>
        <v>43095</v>
      </c>
      <c r="G24" s="3"/>
      <c r="H24" s="3"/>
      <c r="I24" s="3"/>
      <c r="J24" s="3"/>
      <c r="K24" s="15">
        <f>SUM(K19:K22)</f>
        <v>43095</v>
      </c>
      <c r="L24" s="23">
        <f>K24/F24</f>
        <v>1</v>
      </c>
      <c r="M24" s="2"/>
      <c r="N24" s="21"/>
      <c r="P24" s="21"/>
      <c r="Q24" s="21"/>
      <c r="R24" s="2"/>
      <c r="S24" s="3"/>
      <c r="T24" s="3"/>
      <c r="U24" s="1"/>
      <c r="V24" s="3"/>
      <c r="W24" s="3"/>
      <c r="X24" s="3"/>
      <c r="Y24" s="3"/>
      <c r="Z24" s="3"/>
    </row>
    <row r="25">
      <c r="A25" s="30"/>
      <c r="B25" s="31"/>
      <c r="C25" s="2"/>
      <c r="D25" s="3"/>
      <c r="E25" s="3"/>
      <c r="F25" s="3"/>
      <c r="G25" s="2"/>
      <c r="H25" s="2"/>
      <c r="I25" s="2"/>
      <c r="J25" s="2"/>
      <c r="K25" s="3"/>
      <c r="L25" s="4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30" t="s">
        <v>120</v>
      </c>
      <c r="B26" s="31">
        <f>F24+E13</f>
        <v>74795</v>
      </c>
      <c r="C26" s="2"/>
      <c r="D26" s="3"/>
      <c r="E26" s="3"/>
      <c r="F26" s="3"/>
      <c r="G26" s="2"/>
      <c r="H26" s="2"/>
      <c r="I26" s="2"/>
      <c r="J26" s="2"/>
      <c r="K26" s="3"/>
      <c r="L26" s="4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"/>
      <c r="B27" s="2"/>
      <c r="C27" s="2"/>
      <c r="D27" s="3"/>
      <c r="E27" s="3"/>
      <c r="F27" s="3"/>
      <c r="G27" s="2"/>
      <c r="H27" s="2"/>
      <c r="I27" s="2"/>
      <c r="J27" s="2"/>
      <c r="K27" s="3"/>
      <c r="L27" s="4"/>
      <c r="M27" s="2"/>
      <c r="N27" s="2"/>
      <c r="O27" s="2"/>
      <c r="P27" s="2"/>
      <c r="Q27" s="3"/>
      <c r="R27" s="9"/>
      <c r="S27" s="3"/>
      <c r="T27" s="3"/>
      <c r="U27" s="1"/>
      <c r="V27" s="3"/>
      <c r="W27" s="3"/>
      <c r="X27" s="3"/>
      <c r="Y27" s="3"/>
      <c r="Z27" s="3"/>
    </row>
    <row r="28">
      <c r="A28" s="30" t="s">
        <v>121</v>
      </c>
      <c r="B28" s="31">
        <f>K24+K13</f>
        <v>46095</v>
      </c>
      <c r="C28" s="2"/>
      <c r="D28" s="3"/>
      <c r="E28" s="3"/>
      <c r="F28" s="3"/>
      <c r="G28" s="2"/>
      <c r="H28" s="2"/>
      <c r="I28" s="2"/>
      <c r="J28" s="2"/>
      <c r="K28" s="3"/>
      <c r="L28" s="4"/>
      <c r="M28" s="2"/>
      <c r="N28" s="2"/>
      <c r="O28" s="2"/>
      <c r="P28" s="2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"/>
      <c r="B29" s="2"/>
      <c r="C29" s="2"/>
      <c r="D29" s="3"/>
      <c r="E29" s="3"/>
      <c r="F29" s="3"/>
      <c r="G29" s="2"/>
      <c r="H29" s="2"/>
      <c r="I29" s="2"/>
      <c r="J29" s="2"/>
      <c r="K29" s="3"/>
      <c r="L29" s="4"/>
      <c r="M29" s="2"/>
      <c r="N29" s="2"/>
      <c r="O29" s="2"/>
      <c r="P29" s="2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39" t="s">
        <v>122</v>
      </c>
      <c r="B30" s="40">
        <v>0.0</v>
      </c>
      <c r="C30" s="2"/>
      <c r="D30" s="3"/>
      <c r="E30" s="3"/>
      <c r="F30" s="3"/>
      <c r="G30" s="2"/>
      <c r="H30" s="2"/>
      <c r="I30" s="2"/>
      <c r="J30" s="2"/>
      <c r="K30" s="3"/>
      <c r="L30" s="4"/>
      <c r="M30" s="2"/>
      <c r="N30" s="2"/>
      <c r="O30" s="2"/>
      <c r="P30" s="2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"/>
      <c r="B31" s="2"/>
      <c r="C31" s="2"/>
      <c r="D31" s="3"/>
      <c r="E31" s="3"/>
      <c r="F31" s="3"/>
      <c r="G31" s="2"/>
      <c r="H31" s="2"/>
      <c r="I31" s="2"/>
      <c r="J31" s="2"/>
      <c r="K31" s="3"/>
      <c r="L31" s="4"/>
      <c r="M31" s="2"/>
      <c r="N31" s="2"/>
      <c r="O31" s="2"/>
      <c r="P31" s="2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30" t="s">
        <v>123</v>
      </c>
      <c r="B32" s="41">
        <f>B28/B26</f>
        <v>0.616284511</v>
      </c>
      <c r="C32" s="2"/>
      <c r="D32" s="3"/>
      <c r="E32" s="3"/>
      <c r="F32" s="3"/>
      <c r="G32" s="2"/>
      <c r="H32" s="2"/>
      <c r="I32" s="2"/>
      <c r="J32" s="2"/>
      <c r="K32" s="3"/>
      <c r="L32" s="4"/>
      <c r="M32" s="2"/>
      <c r="N32" s="2"/>
      <c r="O32" s="2"/>
      <c r="P32" s="2"/>
      <c r="Q32" s="2"/>
      <c r="R32" s="2"/>
      <c r="S32" s="3"/>
      <c r="T32" s="3"/>
      <c r="U32" s="1"/>
      <c r="V32" s="3"/>
      <c r="W32" s="3"/>
      <c r="X32" s="2"/>
      <c r="Y32" s="2"/>
      <c r="Z32" s="2"/>
    </row>
    <row r="33">
      <c r="A33" s="1"/>
      <c r="B33" s="2"/>
      <c r="C33" s="2"/>
      <c r="D33" s="3"/>
      <c r="E33" s="3"/>
      <c r="F33" s="3"/>
      <c r="G33" s="2"/>
      <c r="H33" s="2"/>
      <c r="I33" s="2"/>
      <c r="J33" s="2"/>
      <c r="K33" s="3"/>
      <c r="L33" s="4"/>
      <c r="M33" s="2"/>
      <c r="N33" s="2"/>
      <c r="O33" s="2"/>
      <c r="P33" s="2"/>
      <c r="Q33" s="3"/>
      <c r="R33" s="9"/>
      <c r="S33" s="3"/>
      <c r="T33" s="3"/>
      <c r="U33" s="1"/>
      <c r="V33" s="3"/>
      <c r="W33" s="3"/>
      <c r="X33" s="3"/>
      <c r="Y33" s="3"/>
      <c r="Z33" s="3"/>
    </row>
    <row r="34" ht="15.75" customHeight="1">
      <c r="A34" s="42" t="s">
        <v>124</v>
      </c>
      <c r="C34" s="43">
        <v>100.0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/>
      <c r="R34" s="9"/>
      <c r="S34" s="3"/>
      <c r="T34" s="3"/>
      <c r="U34" s="1"/>
      <c r="V34" s="3"/>
      <c r="W34" s="3"/>
      <c r="X34" s="3"/>
      <c r="Y34" s="3"/>
      <c r="Z34" s="3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2"/>
      <c r="M35" s="2"/>
      <c r="N35" s="2"/>
      <c r="O35" s="2"/>
      <c r="P35" s="2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 ht="15.75" customHeight="1">
      <c r="A36" s="1"/>
      <c r="B36" s="2"/>
      <c r="C36" s="2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 ht="15.75" customHeight="1">
      <c r="A37" s="1"/>
      <c r="B37" s="1"/>
      <c r="C37" s="2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/>
      <c r="R38" s="2"/>
      <c r="S38" s="3"/>
      <c r="T38" s="3"/>
      <c r="U38" s="1"/>
      <c r="X38" s="3"/>
      <c r="Y38" s="3"/>
      <c r="Z38" s="3"/>
    </row>
    <row r="39" ht="15.75" customHeight="1">
      <c r="A39" s="45"/>
      <c r="B39" s="46" t="s">
        <v>125</v>
      </c>
      <c r="C39" s="47" t="s">
        <v>126</v>
      </c>
      <c r="D39" s="48" t="s">
        <v>127</v>
      </c>
      <c r="E39" s="48" t="s">
        <v>128</v>
      </c>
      <c r="F39" s="48" t="s">
        <v>129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  <c r="R39" s="2"/>
      <c r="S39" s="3"/>
      <c r="T39" s="3"/>
      <c r="U39" s="1"/>
      <c r="V39" s="3"/>
      <c r="W39" s="9"/>
      <c r="X39" s="3"/>
      <c r="Y39" s="3"/>
      <c r="Z39" s="3"/>
    </row>
    <row r="40" ht="15.75" customHeight="1">
      <c r="A40" s="49"/>
      <c r="B40" s="50">
        <v>2528350.0</v>
      </c>
      <c r="C40" s="51">
        <v>308459.29</v>
      </c>
      <c r="D40" s="51">
        <f>2277828.28-500000-1000000+491000</f>
        <v>1268828.28</v>
      </c>
      <c r="E40" s="51"/>
      <c r="F40" s="51">
        <f>8500000+1101582.8</f>
        <v>9601582.8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 ht="15.75" customHeight="1">
      <c r="A41" s="1"/>
      <c r="B41" s="52"/>
      <c r="C41" s="52"/>
      <c r="D41" s="52"/>
      <c r="E41" s="5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 ht="15.75" customHeight="1">
      <c r="A42" s="46" t="s">
        <v>130</v>
      </c>
      <c r="B42" s="53"/>
      <c r="C42" s="53"/>
      <c r="D42" s="53"/>
      <c r="E42" s="53"/>
      <c r="F42" s="54"/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 ht="15.75" customHeight="1">
      <c r="A43" s="13" t="s">
        <v>131</v>
      </c>
      <c r="B43" s="55">
        <v>319800.0</v>
      </c>
      <c r="C43" s="55">
        <v>0.0</v>
      </c>
      <c r="D43" s="55">
        <v>0.0</v>
      </c>
      <c r="E43" s="55">
        <v>0.0</v>
      </c>
      <c r="F43" s="55">
        <v>0.0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 ht="15.75" customHeight="1">
      <c r="A44" s="13" t="s">
        <v>132</v>
      </c>
      <c r="B44" s="55">
        <v>0.0</v>
      </c>
      <c r="C44" s="55">
        <v>3625.2</v>
      </c>
      <c r="D44" s="55">
        <v>0.0</v>
      </c>
      <c r="E44" s="55">
        <v>0.0</v>
      </c>
      <c r="F44" s="55">
        <v>0.0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 ht="15.75" customHeight="1">
      <c r="A45" s="13" t="s">
        <v>133</v>
      </c>
      <c r="B45" s="55">
        <v>0.0</v>
      </c>
      <c r="C45" s="55">
        <v>0.0</v>
      </c>
      <c r="D45" s="55">
        <v>1101582.8</v>
      </c>
      <c r="E45" s="55">
        <v>0.0</v>
      </c>
      <c r="F45" s="55">
        <v>0.0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 ht="15.75" customHeight="1">
      <c r="A46" s="13" t="s">
        <v>134</v>
      </c>
      <c r="B46" s="55">
        <v>0.0</v>
      </c>
      <c r="C46" s="55">
        <v>0.0</v>
      </c>
      <c r="D46" s="55">
        <v>0.0</v>
      </c>
      <c r="E46" s="55">
        <v>0.0</v>
      </c>
      <c r="F46" s="55">
        <v>0.0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 ht="15.75" customHeight="1">
      <c r="A47" s="13" t="s">
        <v>135</v>
      </c>
      <c r="B47" s="55">
        <v>0.0</v>
      </c>
      <c r="C47" s="55">
        <v>0.0</v>
      </c>
      <c r="D47" s="55">
        <v>0.0</v>
      </c>
      <c r="E47" s="55">
        <v>0.0</v>
      </c>
      <c r="F47" s="55">
        <v>0.0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 ht="15.75" customHeight="1">
      <c r="A48" s="13" t="s">
        <v>136</v>
      </c>
      <c r="B48" s="55">
        <v>0.0</v>
      </c>
      <c r="C48" s="56">
        <f>C43*0.6%+C46*0.6%</f>
        <v>0</v>
      </c>
      <c r="D48" s="55">
        <f>SUM(D43:D45)*0.6%</f>
        <v>6609.4968</v>
      </c>
      <c r="E48" s="55">
        <v>0.0</v>
      </c>
      <c r="F48" s="55">
        <v>0.0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 ht="15.75" customHeight="1">
      <c r="A49" s="1"/>
      <c r="B49" s="52"/>
      <c r="C49" s="52"/>
      <c r="D49" s="52"/>
      <c r="E49" s="5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 ht="15.75" customHeight="1">
      <c r="A50" s="57" t="s">
        <v>8</v>
      </c>
      <c r="B50" s="58">
        <f>SUM(B40:B48)</f>
        <v>2848150</v>
      </c>
      <c r="C50" s="58">
        <f>C40+C43+C46+C47-C48+C44</f>
        <v>312084.49</v>
      </c>
      <c r="D50" s="59">
        <f>D40+D43+D46+D47-D48+D45</f>
        <v>2363801.583</v>
      </c>
      <c r="E50" s="58">
        <f>E40+E43+E46+E47-E48</f>
        <v>0</v>
      </c>
      <c r="F50" s="60">
        <f>F40+F43+F46+F47-F48-D45</f>
        <v>8500000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 ht="15.75" customHeight="1">
      <c r="A51" s="1"/>
      <c r="B51" s="1"/>
      <c r="C51" s="2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 ht="15.75" customHeight="1">
      <c r="A52" s="46" t="s">
        <v>137</v>
      </c>
      <c r="B52" s="53"/>
      <c r="C52" s="53"/>
      <c r="D52" s="53"/>
      <c r="E52" s="53"/>
      <c r="F52" s="54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 ht="15.75" customHeight="1">
      <c r="A53" s="13" t="s">
        <v>138</v>
      </c>
      <c r="B53" s="61">
        <v>10000.0</v>
      </c>
      <c r="C53" s="61">
        <v>0.0</v>
      </c>
      <c r="D53" s="61">
        <v>0.0</v>
      </c>
      <c r="E53" s="61">
        <v>0.0</v>
      </c>
      <c r="F53" s="35"/>
      <c r="G53" s="2"/>
      <c r="H53" s="2"/>
      <c r="I53" s="2"/>
      <c r="J53" s="2"/>
      <c r="K53" s="2"/>
      <c r="L53" s="2"/>
      <c r="M53" s="2"/>
      <c r="N53" s="2"/>
      <c r="O53" s="2"/>
      <c r="P53" s="2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 ht="15.75" customHeight="1">
      <c r="A54" s="13" t="s">
        <v>139</v>
      </c>
      <c r="B54" s="55">
        <v>0.0</v>
      </c>
      <c r="C54" s="55">
        <v>0.0</v>
      </c>
      <c r="D54" s="55">
        <v>0.0</v>
      </c>
      <c r="E54" s="55">
        <v>0.0</v>
      </c>
      <c r="F54" s="35"/>
      <c r="G54" s="2"/>
      <c r="H54" s="2"/>
      <c r="I54" s="2"/>
      <c r="J54" s="2"/>
      <c r="K54" s="2"/>
      <c r="L54" s="2"/>
      <c r="M54" s="2"/>
      <c r="N54" s="2"/>
      <c r="O54" s="2"/>
      <c r="P54" s="2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 ht="15.75" customHeight="1">
      <c r="A55" s="13" t="s">
        <v>140</v>
      </c>
      <c r="B55" s="61">
        <v>0.0</v>
      </c>
      <c r="C55" s="61">
        <v>0.0</v>
      </c>
      <c r="D55" s="55">
        <v>500000.0</v>
      </c>
      <c r="E55" s="61">
        <v>0.0</v>
      </c>
      <c r="F55" s="35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 ht="15.75" customHeight="1">
      <c r="A56" s="13" t="s">
        <v>141</v>
      </c>
      <c r="B56" s="61">
        <v>0.0</v>
      </c>
      <c r="C56" s="61">
        <v>0.0</v>
      </c>
      <c r="D56" s="61">
        <v>0.0</v>
      </c>
      <c r="E56" s="61">
        <v>0.0</v>
      </c>
      <c r="F56" s="35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 ht="15.75" customHeight="1">
      <c r="A57" s="13" t="s">
        <v>142</v>
      </c>
      <c r="B57" s="61">
        <v>0.0</v>
      </c>
      <c r="C57" s="61">
        <v>395000.0</v>
      </c>
      <c r="D57" s="61">
        <v>0.0</v>
      </c>
      <c r="E57" s="61">
        <v>0.0</v>
      </c>
      <c r="F57" s="35"/>
      <c r="G57" s="2"/>
      <c r="H57" s="2"/>
      <c r="I57" s="2"/>
      <c r="J57" s="2"/>
      <c r="K57" s="2"/>
      <c r="L57" s="2"/>
      <c r="M57" s="2"/>
      <c r="N57" s="2"/>
      <c r="O57" s="2"/>
      <c r="P57" s="2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 ht="15.75" customHeight="1">
      <c r="A58" s="13" t="s">
        <v>143</v>
      </c>
      <c r="B58" s="61">
        <v>40000.0</v>
      </c>
      <c r="C58" s="61">
        <v>0.0</v>
      </c>
      <c r="D58" s="61">
        <v>0.0</v>
      </c>
      <c r="E58" s="61">
        <v>0.0</v>
      </c>
      <c r="F58" s="35"/>
      <c r="G58" s="2"/>
      <c r="H58" s="62"/>
      <c r="I58" s="2"/>
      <c r="J58" s="2"/>
      <c r="K58" s="2"/>
      <c r="L58" s="2"/>
      <c r="M58" s="2"/>
      <c r="N58" s="2"/>
      <c r="O58" s="2"/>
      <c r="P58" s="2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 ht="15.75" customHeight="1">
      <c r="A59" s="13" t="s">
        <v>144</v>
      </c>
      <c r="B59" s="55">
        <v>0.0</v>
      </c>
      <c r="C59" s="55">
        <v>0.0</v>
      </c>
      <c r="D59" s="55">
        <v>0.0</v>
      </c>
      <c r="E59" s="55">
        <v>0.0</v>
      </c>
      <c r="F59" s="35"/>
      <c r="G59" s="2"/>
      <c r="H59" s="2"/>
      <c r="I59" s="2"/>
      <c r="J59" s="2"/>
      <c r="K59" s="2"/>
      <c r="L59" s="2"/>
      <c r="M59" s="2"/>
      <c r="N59" s="2"/>
      <c r="O59" s="2"/>
      <c r="P59" s="2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 ht="15.75" customHeight="1">
      <c r="A60" s="13" t="s">
        <v>145</v>
      </c>
      <c r="B60" s="55">
        <v>0.0</v>
      </c>
      <c r="C60" s="55">
        <v>0.0</v>
      </c>
      <c r="D60" s="55">
        <v>0.0</v>
      </c>
      <c r="E60" s="55">
        <v>0.0</v>
      </c>
      <c r="F60" s="35"/>
      <c r="G60" s="2"/>
      <c r="H60" s="62"/>
      <c r="I60" s="2"/>
      <c r="J60" s="2"/>
      <c r="K60" s="2"/>
      <c r="L60" s="2"/>
      <c r="M60" s="2"/>
      <c r="N60" s="2"/>
      <c r="O60" s="2"/>
      <c r="P60" s="2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 ht="15.75" customHeight="1">
      <c r="A61" s="13" t="s">
        <v>146</v>
      </c>
      <c r="B61" s="55">
        <v>0.0</v>
      </c>
      <c r="C61" s="55">
        <v>0.0</v>
      </c>
      <c r="D61" s="55">
        <v>0.0</v>
      </c>
      <c r="E61" s="55">
        <v>0.0</v>
      </c>
      <c r="F61" s="35"/>
      <c r="G61" s="2"/>
      <c r="H61" s="62"/>
      <c r="I61" s="2"/>
      <c r="J61" s="2"/>
      <c r="K61" s="2"/>
      <c r="L61" s="2"/>
      <c r="M61" s="2"/>
      <c r="N61" s="2"/>
      <c r="O61" s="2"/>
      <c r="P61" s="2"/>
      <c r="Q61" s="3"/>
      <c r="R61" s="9"/>
      <c r="S61" s="3"/>
      <c r="T61" s="3"/>
      <c r="U61" s="1"/>
      <c r="V61" s="3"/>
      <c r="W61" s="3"/>
      <c r="X61" s="3"/>
      <c r="Y61" s="3"/>
      <c r="Z61" s="3"/>
    </row>
    <row r="62" ht="15.75" customHeight="1">
      <c r="A62" s="13" t="s">
        <v>147</v>
      </c>
      <c r="B62" s="61">
        <v>0.0</v>
      </c>
      <c r="C62" s="61">
        <v>0.0</v>
      </c>
      <c r="D62" s="61">
        <v>0.0</v>
      </c>
      <c r="E62" s="61">
        <v>0.0</v>
      </c>
      <c r="F62" s="35"/>
      <c r="G62" s="2"/>
      <c r="H62" s="62"/>
      <c r="I62" s="2"/>
      <c r="J62" s="2"/>
      <c r="K62" s="2"/>
      <c r="L62" s="2"/>
      <c r="M62" s="2"/>
      <c r="N62" s="2"/>
      <c r="O62" s="2"/>
      <c r="P62" s="2"/>
      <c r="Q62" s="3"/>
      <c r="R62" s="9"/>
      <c r="S62" s="3"/>
      <c r="T62" s="3"/>
      <c r="U62" s="1"/>
      <c r="V62" s="3"/>
      <c r="W62" s="3"/>
      <c r="X62" s="3"/>
      <c r="Y62" s="3"/>
      <c r="Z62" s="3"/>
    </row>
    <row r="63" ht="15.75" customHeight="1">
      <c r="A63" s="13" t="s">
        <v>148</v>
      </c>
      <c r="B63" s="61">
        <v>0.0</v>
      </c>
      <c r="C63" s="61">
        <v>50000.0</v>
      </c>
      <c r="D63" s="61">
        <v>0.0</v>
      </c>
      <c r="E63" s="61">
        <v>0.0</v>
      </c>
      <c r="F63" s="35"/>
      <c r="G63" s="2"/>
      <c r="H63" s="62"/>
      <c r="I63" s="2"/>
      <c r="J63" s="2"/>
      <c r="K63" s="2"/>
      <c r="L63" s="2"/>
      <c r="M63" s="2"/>
      <c r="N63" s="2"/>
      <c r="O63" s="2"/>
      <c r="P63" s="2"/>
      <c r="Q63" s="3"/>
      <c r="R63" s="9"/>
      <c r="S63" s="3"/>
      <c r="T63" s="3"/>
      <c r="U63" s="1"/>
      <c r="V63" s="3"/>
      <c r="W63" s="3"/>
      <c r="X63" s="3"/>
      <c r="Y63" s="3"/>
      <c r="Z63" s="3"/>
    </row>
    <row r="64" ht="15.75" customHeight="1">
      <c r="A64" s="13" t="s">
        <v>149</v>
      </c>
      <c r="B64" s="56">
        <v>0.0</v>
      </c>
      <c r="C64" s="56">
        <v>50000.0</v>
      </c>
      <c r="D64" s="55">
        <v>0.0</v>
      </c>
      <c r="E64" s="55">
        <v>0.0</v>
      </c>
      <c r="F64" s="35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 ht="15.75" customHeight="1">
      <c r="A65" s="13" t="s">
        <v>150</v>
      </c>
      <c r="B65" s="56">
        <v>0.0</v>
      </c>
      <c r="C65" s="56">
        <v>0.0</v>
      </c>
      <c r="D65" s="55">
        <v>0.0</v>
      </c>
      <c r="E65" s="55">
        <v>0.0</v>
      </c>
      <c r="F65" s="35"/>
      <c r="G65" s="2"/>
      <c r="H65" s="62"/>
      <c r="I65" s="2"/>
      <c r="J65" s="2"/>
      <c r="K65" s="2"/>
      <c r="L65" s="2"/>
      <c r="M65" s="2"/>
      <c r="N65" s="2"/>
      <c r="O65" s="2"/>
      <c r="P65" s="2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 ht="15.75" customHeight="1">
      <c r="A66" s="13" t="s">
        <v>151</v>
      </c>
      <c r="B66" s="56">
        <v>0.0</v>
      </c>
      <c r="C66" s="56">
        <v>0.0</v>
      </c>
      <c r="D66" s="55">
        <v>0.0</v>
      </c>
      <c r="E66" s="55">
        <v>0.0</v>
      </c>
      <c r="F66" s="35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 ht="15.75" customHeight="1">
      <c r="A67" s="13" t="s">
        <v>152</v>
      </c>
      <c r="B67" s="56">
        <v>0.0</v>
      </c>
      <c r="C67" s="56">
        <v>0.0</v>
      </c>
      <c r="D67" s="55">
        <v>0.0</v>
      </c>
      <c r="E67" s="55">
        <v>0.0</v>
      </c>
      <c r="F67" s="35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9"/>
      <c r="S67" s="3"/>
      <c r="T67" s="3"/>
      <c r="U67" s="1"/>
      <c r="V67" s="3"/>
      <c r="W67" s="3"/>
      <c r="X67" s="3"/>
      <c r="Y67" s="3"/>
      <c r="Z67" s="3"/>
    </row>
    <row r="68" ht="15.75" customHeight="1">
      <c r="A68" s="13" t="s">
        <v>153</v>
      </c>
      <c r="B68" s="56">
        <v>0.0</v>
      </c>
      <c r="C68" s="56">
        <v>0.0</v>
      </c>
      <c r="D68" s="55">
        <v>0.0</v>
      </c>
      <c r="E68" s="55">
        <v>0.0</v>
      </c>
      <c r="F68" s="35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9"/>
      <c r="S68" s="3"/>
      <c r="T68" s="3"/>
      <c r="U68" s="1"/>
      <c r="V68" s="3"/>
      <c r="W68" s="3"/>
      <c r="X68" s="3"/>
      <c r="Y68" s="3"/>
      <c r="Z68" s="3"/>
    </row>
    <row r="69" ht="15.75" customHeight="1">
      <c r="A69" s="13" t="s">
        <v>154</v>
      </c>
      <c r="B69" s="56">
        <v>0.0</v>
      </c>
      <c r="C69" s="56">
        <v>0.0</v>
      </c>
      <c r="D69" s="55">
        <v>0.0</v>
      </c>
      <c r="E69" s="55">
        <v>0.0</v>
      </c>
      <c r="F69" s="35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13" t="s">
        <v>155</v>
      </c>
      <c r="B70" s="55">
        <v>20000.0</v>
      </c>
      <c r="C70" s="55">
        <v>0.0</v>
      </c>
      <c r="D70" s="55">
        <v>0.0</v>
      </c>
      <c r="E70" s="55">
        <v>0.0</v>
      </c>
      <c r="F70" s="35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13" t="s">
        <v>156</v>
      </c>
      <c r="B71" s="55">
        <v>0.0</v>
      </c>
      <c r="C71" s="55">
        <v>0.0</v>
      </c>
      <c r="D71" s="55">
        <v>12167.06</v>
      </c>
      <c r="E71" s="55">
        <v>0.0</v>
      </c>
      <c r="F71" s="35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13" t="s">
        <v>157</v>
      </c>
      <c r="B72" s="55">
        <v>0.0</v>
      </c>
      <c r="C72" s="55">
        <v>0.0</v>
      </c>
      <c r="D72" s="55">
        <v>0.0</v>
      </c>
      <c r="E72" s="55">
        <v>0.0</v>
      </c>
      <c r="F72" s="35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 ht="15.75" customHeight="1">
      <c r="A73" s="13" t="s">
        <v>158</v>
      </c>
      <c r="B73" s="56">
        <v>0.0</v>
      </c>
      <c r="C73" s="56">
        <v>0.0</v>
      </c>
      <c r="D73" s="55">
        <f>SUM(D43:D45)*2%</f>
        <v>22031.656</v>
      </c>
      <c r="E73" s="55">
        <v>0.0</v>
      </c>
      <c r="F73" s="35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 ht="15.75" customHeight="1">
      <c r="A74" s="13" t="s">
        <v>159</v>
      </c>
      <c r="B74" s="55">
        <v>0.0</v>
      </c>
      <c r="C74" s="55">
        <v>0.0</v>
      </c>
      <c r="D74" s="55">
        <v>0.0</v>
      </c>
      <c r="E74" s="55">
        <v>0.0</v>
      </c>
      <c r="F74" s="35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 ht="15.75" customHeight="1">
      <c r="A75" s="13" t="s">
        <v>160</v>
      </c>
      <c r="B75" s="55">
        <v>0.0</v>
      </c>
      <c r="C75" s="55">
        <v>0.0</v>
      </c>
      <c r="D75" s="55">
        <v>0.0</v>
      </c>
      <c r="E75" s="55">
        <v>0.0</v>
      </c>
      <c r="F75" s="35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 ht="15.75" customHeight="1">
      <c r="A76" s="13" t="s">
        <v>161</v>
      </c>
      <c r="B76" s="55">
        <v>0.0</v>
      </c>
      <c r="C76" s="55">
        <v>0.0</v>
      </c>
      <c r="D76" s="55">
        <v>0.0</v>
      </c>
      <c r="E76" s="55">
        <v>0.0</v>
      </c>
      <c r="F76" s="35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 ht="15.75" customHeight="1">
      <c r="A77" s="13" t="s">
        <v>162</v>
      </c>
      <c r="B77" s="55">
        <v>0.0</v>
      </c>
      <c r="C77" s="55">
        <v>0.0</v>
      </c>
      <c r="D77" s="55">
        <v>0.0</v>
      </c>
      <c r="E77" s="55">
        <v>0.0</v>
      </c>
      <c r="F77" s="35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 ht="15.75" customHeight="1">
      <c r="A78" s="63"/>
      <c r="B78" s="55"/>
      <c r="C78" s="55"/>
      <c r="D78" s="55"/>
      <c r="E78" s="55"/>
      <c r="F78" s="35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 ht="15.75" customHeight="1">
      <c r="A79" s="13" t="s">
        <v>163</v>
      </c>
      <c r="B79" s="56">
        <v>0.0</v>
      </c>
      <c r="C79" s="56">
        <f>SUM(C53:C76)*0.6%</f>
        <v>2970</v>
      </c>
      <c r="D79" s="56">
        <f>SUM(D53:D76)*0.6%+(D80*0.6%)</f>
        <v>5737.192296</v>
      </c>
      <c r="E79" s="56">
        <f>(E57*0.6%)+(E58*0.6%)+(E59*0.6%)+(E62*0.6%)+(E63*0.6%)</f>
        <v>0</v>
      </c>
      <c r="F79" s="35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 ht="15.75" customHeight="1">
      <c r="A80" s="13" t="s">
        <v>164</v>
      </c>
      <c r="B80" s="56">
        <v>0.0</v>
      </c>
      <c r="C80" s="56">
        <f t="shared" ref="C80:D80" si="9">272000+150000</f>
        <v>422000</v>
      </c>
      <c r="D80" s="56">
        <f t="shared" si="9"/>
        <v>422000</v>
      </c>
      <c r="E80" s="56">
        <f>SUM(E54:E78)*0.6%+(E81*0.6%)</f>
        <v>0</v>
      </c>
      <c r="F80" s="64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 ht="15.75" customHeight="1">
      <c r="A81" s="63"/>
      <c r="B81" s="63"/>
      <c r="C81" s="35"/>
      <c r="D81" s="2"/>
      <c r="E81" s="35"/>
      <c r="F81" s="35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 ht="15.75" customHeight="1">
      <c r="A82" s="65" t="s">
        <v>165</v>
      </c>
      <c r="B82" s="66">
        <f>SUM(B53:B81)</f>
        <v>70000</v>
      </c>
      <c r="C82" s="66">
        <f>SUM(C53:C79)</f>
        <v>497970</v>
      </c>
      <c r="D82" s="66">
        <f>SUM(D53:D80)</f>
        <v>961935.9083</v>
      </c>
      <c r="E82" s="66">
        <f>E64+E68+E79-E80</f>
        <v>0</v>
      </c>
      <c r="F82" s="67" t="str">
        <f>F57</f>
        <v/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 ht="15.75" customHeight="1">
      <c r="A83" s="63"/>
      <c r="B83" s="63"/>
      <c r="C83" s="35"/>
      <c r="D83" s="35"/>
      <c r="E83" s="35"/>
      <c r="F83" s="35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65" t="s">
        <v>166</v>
      </c>
      <c r="B84" s="68">
        <f>B50-B82</f>
        <v>2778150</v>
      </c>
      <c r="C84" s="69">
        <f>C50-C82+C80</f>
        <v>236114.49</v>
      </c>
      <c r="D84" s="69">
        <f t="shared" ref="D84:F84" si="10">D50-D82</f>
        <v>1401865.675</v>
      </c>
      <c r="E84" s="70">
        <f t="shared" si="10"/>
        <v>0</v>
      </c>
      <c r="F84" s="70">
        <f t="shared" si="10"/>
        <v>8500000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 ht="15.75" customHeight="1">
      <c r="A86" s="71" t="s">
        <v>167</v>
      </c>
      <c r="B86" s="72">
        <v>249800.0</v>
      </c>
      <c r="C86" s="52"/>
      <c r="D86" s="52"/>
      <c r="E86" s="52"/>
      <c r="F86" s="52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9"/>
      <c r="S86" s="3"/>
      <c r="T86" s="3"/>
      <c r="U86" s="1"/>
      <c r="V86" s="3"/>
      <c r="W86" s="3"/>
      <c r="X86" s="3"/>
      <c r="Y86" s="3"/>
      <c r="Z86" s="3"/>
    </row>
    <row r="87" ht="15.75" customHeight="1">
      <c r="A87" s="71" t="s">
        <v>168</v>
      </c>
      <c r="B87" s="72">
        <v>2528350.0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2"/>
      <c r="B88" s="52" t="s">
        <v>13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 ht="15.75" customHeight="1">
      <c r="A89" s="2"/>
      <c r="B89" s="52">
        <f>SUM(B86:B87)</f>
        <v>2778150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9"/>
      <c r="S90" s="3"/>
      <c r="T90" s="3"/>
      <c r="U90" s="1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9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3"/>
      <c r="T92" s="3"/>
      <c r="U92" s="1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9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9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9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9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9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9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9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9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9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9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9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9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9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9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9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"/>
      <c r="R161" s="2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"/>
      <c r="R162" s="2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3"/>
      <c r="T163" s="3"/>
      <c r="U163" s="9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9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9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9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9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9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9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3"/>
      <c r="T205" s="3"/>
      <c r="U205" s="9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9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9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9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5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5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5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5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5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5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5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5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52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5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5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5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5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5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5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5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9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5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5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52"/>
      <c r="R250" s="52"/>
      <c r="S250" s="3"/>
      <c r="T250" s="3"/>
      <c r="U250" s="9"/>
      <c r="V250" s="3"/>
      <c r="W250" s="3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9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9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5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5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5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5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5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5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5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9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9"/>
      <c r="T296" s="3"/>
      <c r="U296" s="2"/>
      <c r="V296" s="3"/>
      <c r="W296" s="3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9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9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9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9"/>
      <c r="T313" s="3"/>
      <c r="U313" s="2"/>
      <c r="V313" s="3"/>
      <c r="W313" s="3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9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9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9"/>
      <c r="T324" s="3"/>
      <c r="U324" s="2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9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9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3"/>
      <c r="T340" s="3"/>
      <c r="U340" s="9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9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9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3"/>
      <c r="T354" s="9"/>
      <c r="U354" s="2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9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9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9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3"/>
      <c r="T366" s="9"/>
      <c r="U366" s="2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9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9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3"/>
      <c r="R381" s="2"/>
      <c r="S381" s="2"/>
      <c r="T381" s="3"/>
      <c r="U381" s="2"/>
      <c r="V381" s="2"/>
      <c r="W381" s="2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3"/>
      <c r="T382" s="3"/>
      <c r="U382" s="3"/>
      <c r="V382" s="2"/>
      <c r="W382" s="2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44"/>
      <c r="R384" s="44"/>
      <c r="S384" s="44"/>
      <c r="T384" s="44"/>
      <c r="U384" s="44"/>
      <c r="V384" s="44"/>
      <c r="W384" s="44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3"/>
      <c r="T385" s="3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"/>
      <c r="R386" s="2"/>
      <c r="S386" s="3"/>
      <c r="T386" s="3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4"/>
      <c r="R388" s="75"/>
      <c r="S388" s="76"/>
      <c r="T388" s="76"/>
      <c r="U388" s="76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7"/>
      <c r="R389" s="77"/>
      <c r="S389" s="77"/>
      <c r="T389" s="77"/>
      <c r="U389" s="77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52"/>
      <c r="R390" s="52"/>
      <c r="S390" s="52"/>
      <c r="T390" s="5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52"/>
      <c r="R392" s="52"/>
      <c r="S392" s="52"/>
      <c r="T392" s="52"/>
      <c r="U392" s="5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52"/>
      <c r="R393" s="52"/>
      <c r="S393" s="52"/>
      <c r="T393" s="5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52"/>
      <c r="R394" s="52"/>
      <c r="S394" s="52"/>
      <c r="T394" s="5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52"/>
      <c r="R395" s="52"/>
      <c r="S395" s="52"/>
      <c r="T395" s="5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52"/>
      <c r="R396" s="52"/>
      <c r="S396" s="52"/>
      <c r="T396" s="5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8"/>
      <c r="R397" s="78"/>
      <c r="S397" s="78"/>
      <c r="T397" s="78"/>
      <c r="U397" s="79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"/>
      <c r="R398" s="2"/>
      <c r="S398" s="3"/>
      <c r="T398" s="3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62"/>
      <c r="R400" s="62"/>
      <c r="S400" s="62"/>
      <c r="T400" s="6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62"/>
      <c r="R401" s="62"/>
      <c r="S401" s="62"/>
      <c r="T401" s="6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62"/>
      <c r="R402" s="62"/>
      <c r="S402" s="62"/>
      <c r="T402" s="6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62"/>
      <c r="R403" s="62"/>
      <c r="S403" s="62"/>
      <c r="T403" s="6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62"/>
      <c r="R404" s="62"/>
      <c r="S404" s="62"/>
      <c r="T404" s="62"/>
      <c r="U404" s="2"/>
      <c r="V404" s="2"/>
      <c r="W404" s="6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62"/>
      <c r="R405" s="62"/>
      <c r="S405" s="62"/>
      <c r="T405" s="6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62"/>
      <c r="R406" s="62"/>
      <c r="S406" s="62"/>
      <c r="T406" s="62"/>
      <c r="U406" s="2"/>
      <c r="V406" s="2"/>
      <c r="W406" s="6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62"/>
      <c r="R407" s="62"/>
      <c r="S407" s="62"/>
      <c r="T407" s="62"/>
      <c r="U407" s="2"/>
      <c r="V407" s="2"/>
      <c r="W407" s="6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52"/>
      <c r="R408" s="52"/>
      <c r="S408" s="52"/>
      <c r="T408" s="5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52"/>
      <c r="R409" s="52"/>
      <c r="S409" s="52"/>
      <c r="T409" s="52"/>
      <c r="U409" s="2"/>
      <c r="V409" s="2"/>
      <c r="W409" s="6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52"/>
      <c r="R410" s="52"/>
      <c r="S410" s="52"/>
      <c r="T410" s="5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52"/>
      <c r="R411" s="52"/>
      <c r="S411" s="52"/>
      <c r="T411" s="5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52"/>
      <c r="R412" s="52"/>
      <c r="S412" s="52"/>
      <c r="T412" s="5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52"/>
      <c r="R413" s="52"/>
      <c r="S413" s="52"/>
      <c r="T413" s="5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52"/>
      <c r="R414" s="52"/>
      <c r="S414" s="52"/>
      <c r="T414" s="5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52"/>
      <c r="R415" s="52"/>
      <c r="S415" s="52"/>
      <c r="T415" s="5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52"/>
      <c r="R416" s="52"/>
      <c r="S416" s="52"/>
      <c r="T416" s="5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"/>
      <c r="R417" s="52"/>
      <c r="S417" s="52"/>
      <c r="T417" s="5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8"/>
      <c r="R419" s="78"/>
      <c r="S419" s="78"/>
      <c r="T419" s="78"/>
      <c r="U419" s="79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7"/>
      <c r="R421" s="78"/>
      <c r="S421" s="78"/>
      <c r="T421" s="80"/>
      <c r="U421" s="80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52"/>
      <c r="R423" s="52"/>
      <c r="S423" s="52"/>
      <c r="T423" s="52"/>
      <c r="U423" s="5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5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</sheetData>
  <mergeCells count="8">
    <mergeCell ref="I16:K16"/>
    <mergeCell ref="A34:B34"/>
    <mergeCell ref="U38:W38"/>
    <mergeCell ref="A39:A40"/>
    <mergeCell ref="A42:F42"/>
    <mergeCell ref="A52:F52"/>
    <mergeCell ref="U92:W92"/>
    <mergeCell ref="U127:W127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3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5" t="s">
        <v>230</v>
      </c>
      <c r="D2" s="6"/>
      <c r="E2" s="86" t="s">
        <v>44</v>
      </c>
      <c r="F2" s="82">
        <v>46059.0</v>
      </c>
      <c r="G2" s="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11" t="s">
        <v>6</v>
      </c>
      <c r="D4" s="12" t="s">
        <v>7</v>
      </c>
      <c r="E4" s="10" t="s">
        <v>8</v>
      </c>
      <c r="F4" s="10" t="s">
        <v>9</v>
      </c>
      <c r="G4" s="3"/>
      <c r="H4" s="3"/>
      <c r="I4" s="10" t="s">
        <v>7</v>
      </c>
      <c r="J4" s="10" t="s">
        <v>8</v>
      </c>
      <c r="K4" s="10" t="s">
        <v>10</v>
      </c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1.0</v>
      </c>
      <c r="B5" s="84" t="s">
        <v>38</v>
      </c>
      <c r="C5" s="85" t="s">
        <v>46</v>
      </c>
      <c r="D5" s="22">
        <v>20000.0</v>
      </c>
      <c r="E5" s="15">
        <f t="shared" ref="E5:E24" si="1">A5*D5</f>
        <v>20000</v>
      </c>
      <c r="F5" s="15">
        <f t="shared" ref="F5:F13" si="2">E5*1.105</f>
        <v>22100</v>
      </c>
      <c r="G5" s="3"/>
      <c r="H5" s="3"/>
      <c r="I5" s="87">
        <v>17500.0</v>
      </c>
      <c r="J5" s="15">
        <f t="shared" ref="J5:J24" si="3">I5*A5</f>
        <v>17500</v>
      </c>
      <c r="K5" s="15">
        <f t="shared" ref="K5:K24" si="4">F5-J5</f>
        <v>4600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10.0</v>
      </c>
      <c r="B6" s="84" t="s">
        <v>33</v>
      </c>
      <c r="C6" s="85" t="s">
        <v>180</v>
      </c>
      <c r="D6" s="22">
        <v>1400.0</v>
      </c>
      <c r="E6" s="15">
        <f t="shared" si="1"/>
        <v>14000</v>
      </c>
      <c r="F6" s="15">
        <f t="shared" si="2"/>
        <v>15470</v>
      </c>
      <c r="G6" s="3"/>
      <c r="H6" s="3"/>
      <c r="I6" s="87">
        <f>9000/11</f>
        <v>818.1818182</v>
      </c>
      <c r="J6" s="15">
        <f t="shared" si="3"/>
        <v>8181.818182</v>
      </c>
      <c r="K6" s="15">
        <f t="shared" si="4"/>
        <v>7288.181818</v>
      </c>
      <c r="L6" s="4"/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12.0</v>
      </c>
      <c r="B7" s="84" t="s">
        <v>33</v>
      </c>
      <c r="C7" s="85" t="s">
        <v>45</v>
      </c>
      <c r="D7" s="22">
        <v>1000.0</v>
      </c>
      <c r="E7" s="15">
        <f t="shared" si="1"/>
        <v>12000</v>
      </c>
      <c r="F7" s="15">
        <f t="shared" si="2"/>
        <v>13260</v>
      </c>
      <c r="G7" s="3"/>
      <c r="H7" s="3"/>
      <c r="I7" s="87">
        <f>8000/13</f>
        <v>615.3846154</v>
      </c>
      <c r="J7" s="15">
        <f t="shared" si="3"/>
        <v>7384.615385</v>
      </c>
      <c r="K7" s="15">
        <f t="shared" si="4"/>
        <v>5875.384615</v>
      </c>
      <c r="L7" s="4"/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4.0</v>
      </c>
      <c r="B8" s="84" t="s">
        <v>33</v>
      </c>
      <c r="C8" s="85" t="s">
        <v>174</v>
      </c>
      <c r="D8" s="22">
        <v>1600.0</v>
      </c>
      <c r="E8" s="15">
        <f t="shared" si="1"/>
        <v>6400</v>
      </c>
      <c r="F8" s="15">
        <f t="shared" si="2"/>
        <v>7072</v>
      </c>
      <c r="G8" s="3"/>
      <c r="H8" s="3"/>
      <c r="I8" s="87">
        <f>1000</f>
        <v>1000</v>
      </c>
      <c r="J8" s="15">
        <f t="shared" si="3"/>
        <v>4000</v>
      </c>
      <c r="K8" s="15">
        <f t="shared" si="4"/>
        <v>3072</v>
      </c>
      <c r="L8" s="4"/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2.0</v>
      </c>
      <c r="B9" s="84" t="s">
        <v>33</v>
      </c>
      <c r="C9" s="85" t="s">
        <v>24</v>
      </c>
      <c r="D9" s="22">
        <v>3500.0</v>
      </c>
      <c r="E9" s="15">
        <f t="shared" si="1"/>
        <v>7000</v>
      </c>
      <c r="F9" s="15">
        <f t="shared" si="2"/>
        <v>7735</v>
      </c>
      <c r="G9" s="3"/>
      <c r="H9" s="3"/>
      <c r="I9" s="87">
        <f>25000/8</f>
        <v>3125</v>
      </c>
      <c r="J9" s="15">
        <f t="shared" si="3"/>
        <v>6250</v>
      </c>
      <c r="K9" s="15">
        <f t="shared" si="4"/>
        <v>1485</v>
      </c>
      <c r="L9" s="4"/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33</v>
      </c>
      <c r="C10" s="85" t="s">
        <v>25</v>
      </c>
      <c r="D10" s="22">
        <v>2300.0</v>
      </c>
      <c r="E10" s="15">
        <f t="shared" si="1"/>
        <v>2300</v>
      </c>
      <c r="F10" s="15">
        <f t="shared" si="2"/>
        <v>2541.5</v>
      </c>
      <c r="G10" s="3"/>
      <c r="H10" s="3"/>
      <c r="I10" s="87">
        <f>12000/7</f>
        <v>1714.285714</v>
      </c>
      <c r="J10" s="15">
        <f t="shared" si="3"/>
        <v>1714.285714</v>
      </c>
      <c r="K10" s="15">
        <f t="shared" si="4"/>
        <v>827.2142857</v>
      </c>
      <c r="L10" s="4"/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1.0</v>
      </c>
      <c r="B11" s="84" t="s">
        <v>33</v>
      </c>
      <c r="C11" s="85" t="s">
        <v>26</v>
      </c>
      <c r="D11" s="22">
        <v>3000.0</v>
      </c>
      <c r="E11" s="15">
        <f t="shared" si="1"/>
        <v>3000</v>
      </c>
      <c r="F11" s="15">
        <f t="shared" si="2"/>
        <v>3315</v>
      </c>
      <c r="G11" s="3"/>
      <c r="H11" s="3"/>
      <c r="I11" s="87">
        <f>20000/8</f>
        <v>2500</v>
      </c>
      <c r="J11" s="15">
        <f t="shared" si="3"/>
        <v>2500</v>
      </c>
      <c r="K11" s="15">
        <f t="shared" si="4"/>
        <v>815</v>
      </c>
      <c r="L11" s="4"/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10.0</v>
      </c>
      <c r="B12" s="84" t="s">
        <v>33</v>
      </c>
      <c r="C12" s="85" t="s">
        <v>47</v>
      </c>
      <c r="D12" s="22">
        <v>1500.0</v>
      </c>
      <c r="E12" s="15">
        <f t="shared" si="1"/>
        <v>15000</v>
      </c>
      <c r="F12" s="15">
        <f t="shared" si="2"/>
        <v>16575</v>
      </c>
      <c r="G12" s="3"/>
      <c r="H12" s="3"/>
      <c r="I12" s="87">
        <f>8000/8</f>
        <v>1000</v>
      </c>
      <c r="J12" s="15">
        <f t="shared" si="3"/>
        <v>10000</v>
      </c>
      <c r="K12" s="15">
        <f t="shared" si="4"/>
        <v>6575</v>
      </c>
      <c r="L12" s="4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1.0</v>
      </c>
      <c r="B13" s="84" t="s">
        <v>33</v>
      </c>
      <c r="C13" s="85" t="s">
        <v>23</v>
      </c>
      <c r="D13" s="22">
        <v>1600.0</v>
      </c>
      <c r="E13" s="15">
        <f t="shared" si="1"/>
        <v>1600</v>
      </c>
      <c r="F13" s="15">
        <f t="shared" si="2"/>
        <v>1768</v>
      </c>
      <c r="G13" s="3"/>
      <c r="H13" s="3"/>
      <c r="I13" s="87">
        <f>1000</f>
        <v>1000</v>
      </c>
      <c r="J13" s="15">
        <f t="shared" si="3"/>
        <v>1000</v>
      </c>
      <c r="K13" s="15">
        <f t="shared" si="4"/>
        <v>768</v>
      </c>
      <c r="L13" s="4"/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2.0</v>
      </c>
      <c r="B14" s="84" t="s">
        <v>231</v>
      </c>
      <c r="C14" s="85" t="s">
        <v>21</v>
      </c>
      <c r="D14" s="22">
        <v>4500.0</v>
      </c>
      <c r="E14" s="15">
        <f t="shared" si="1"/>
        <v>9000</v>
      </c>
      <c r="F14" s="15">
        <f>E14*1.21</f>
        <v>10890</v>
      </c>
      <c r="G14" s="3"/>
      <c r="H14" s="3"/>
      <c r="I14" s="87">
        <f>52000/12</f>
        <v>4333.333333</v>
      </c>
      <c r="J14" s="15">
        <f t="shared" si="3"/>
        <v>8666.666667</v>
      </c>
      <c r="K14" s="15">
        <f t="shared" si="4"/>
        <v>2223.333333</v>
      </c>
      <c r="L14" s="4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3.0</v>
      </c>
      <c r="B15" s="84" t="s">
        <v>33</v>
      </c>
      <c r="C15" s="85" t="s">
        <v>31</v>
      </c>
      <c r="D15" s="22">
        <v>2500.0</v>
      </c>
      <c r="E15" s="15">
        <f t="shared" si="1"/>
        <v>7500</v>
      </c>
      <c r="F15" s="15">
        <f t="shared" ref="F15:F24" si="5">E15*1.105</f>
        <v>8287.5</v>
      </c>
      <c r="G15" s="3"/>
      <c r="H15" s="3"/>
      <c r="I15" s="87">
        <f>25000/17</f>
        <v>1470.588235</v>
      </c>
      <c r="J15" s="15">
        <f t="shared" si="3"/>
        <v>4411.764706</v>
      </c>
      <c r="K15" s="15">
        <f t="shared" si="4"/>
        <v>3875.735294</v>
      </c>
      <c r="L15" s="4"/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5.0</v>
      </c>
      <c r="B16" s="84" t="s">
        <v>33</v>
      </c>
      <c r="C16" s="85" t="s">
        <v>78</v>
      </c>
      <c r="D16" s="22">
        <v>4500.0</v>
      </c>
      <c r="E16" s="15">
        <f t="shared" si="1"/>
        <v>22500</v>
      </c>
      <c r="F16" s="15">
        <f t="shared" si="5"/>
        <v>24862.5</v>
      </c>
      <c r="G16" s="3"/>
      <c r="H16" s="3"/>
      <c r="I16" s="87">
        <f>65000/18</f>
        <v>3611.111111</v>
      </c>
      <c r="J16" s="15">
        <f t="shared" si="3"/>
        <v>18055.55556</v>
      </c>
      <c r="K16" s="15">
        <f t="shared" si="4"/>
        <v>6806.944444</v>
      </c>
      <c r="L16" s="4"/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5.0</v>
      </c>
      <c r="B17" s="84" t="s">
        <v>33</v>
      </c>
      <c r="C17" s="85" t="s">
        <v>232</v>
      </c>
      <c r="D17" s="22">
        <v>3500.0</v>
      </c>
      <c r="E17" s="15">
        <f t="shared" si="1"/>
        <v>17500</v>
      </c>
      <c r="F17" s="15">
        <f t="shared" si="5"/>
        <v>19337.5</v>
      </c>
      <c r="G17" s="3"/>
      <c r="H17" s="3"/>
      <c r="I17" s="87">
        <f>40000/18</f>
        <v>2222.222222</v>
      </c>
      <c r="J17" s="15">
        <f t="shared" si="3"/>
        <v>11111.11111</v>
      </c>
      <c r="K17" s="15">
        <f t="shared" si="4"/>
        <v>8226.388889</v>
      </c>
      <c r="L17" s="4"/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8.0</v>
      </c>
      <c r="B18" s="84" t="s">
        <v>33</v>
      </c>
      <c r="C18" s="85" t="s">
        <v>39</v>
      </c>
      <c r="D18" s="22">
        <v>1400.0</v>
      </c>
      <c r="E18" s="15">
        <f t="shared" si="1"/>
        <v>11200</v>
      </c>
      <c r="F18" s="15">
        <f t="shared" si="5"/>
        <v>12376</v>
      </c>
      <c r="G18" s="3"/>
      <c r="H18" s="3"/>
      <c r="I18" s="87">
        <f>18000/16</f>
        <v>1125</v>
      </c>
      <c r="J18" s="15">
        <f t="shared" si="3"/>
        <v>9000</v>
      </c>
      <c r="K18" s="15">
        <f t="shared" si="4"/>
        <v>3376</v>
      </c>
      <c r="L18" s="4"/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0.2</v>
      </c>
      <c r="B19" s="84" t="s">
        <v>33</v>
      </c>
      <c r="C19" s="85" t="s">
        <v>68</v>
      </c>
      <c r="D19" s="22">
        <v>3500.0</v>
      </c>
      <c r="E19" s="15">
        <f t="shared" si="1"/>
        <v>700</v>
      </c>
      <c r="F19" s="15">
        <f t="shared" si="5"/>
        <v>773.5</v>
      </c>
      <c r="G19" s="3"/>
      <c r="H19" s="3"/>
      <c r="I19" s="87">
        <v>1500.0</v>
      </c>
      <c r="J19" s="15">
        <f t="shared" si="3"/>
        <v>300</v>
      </c>
      <c r="K19" s="15">
        <f t="shared" si="4"/>
        <v>473.5</v>
      </c>
      <c r="L19" s="4"/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1.0</v>
      </c>
      <c r="B20" s="84" t="s">
        <v>5</v>
      </c>
      <c r="C20" s="85" t="s">
        <v>99</v>
      </c>
      <c r="D20" s="22">
        <v>1500.0</v>
      </c>
      <c r="E20" s="15">
        <f t="shared" si="1"/>
        <v>1500</v>
      </c>
      <c r="F20" s="15">
        <f t="shared" si="5"/>
        <v>1657.5</v>
      </c>
      <c r="G20" s="3"/>
      <c r="H20" s="3"/>
      <c r="I20" s="87">
        <f>13000/12</f>
        <v>1083.333333</v>
      </c>
      <c r="J20" s="15">
        <f t="shared" si="3"/>
        <v>1083.333333</v>
      </c>
      <c r="K20" s="15">
        <f t="shared" si="4"/>
        <v>574.1666667</v>
      </c>
      <c r="L20" s="4"/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1.0</v>
      </c>
      <c r="B21" s="84" t="s">
        <v>5</v>
      </c>
      <c r="C21" s="85" t="s">
        <v>98</v>
      </c>
      <c r="D21" s="22">
        <v>1500.0</v>
      </c>
      <c r="E21" s="15">
        <f t="shared" si="1"/>
        <v>1500</v>
      </c>
      <c r="F21" s="15">
        <f t="shared" si="5"/>
        <v>1657.5</v>
      </c>
      <c r="G21" s="3"/>
      <c r="H21" s="3"/>
      <c r="I21" s="87">
        <v>1083.33</v>
      </c>
      <c r="J21" s="15">
        <f t="shared" si="3"/>
        <v>1083.33</v>
      </c>
      <c r="K21" s="15">
        <f t="shared" si="4"/>
        <v>574.17</v>
      </c>
      <c r="L21" s="4"/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5.0</v>
      </c>
      <c r="B22" s="84" t="s">
        <v>33</v>
      </c>
      <c r="C22" s="85" t="s">
        <v>64</v>
      </c>
      <c r="D22" s="22">
        <v>1800.0</v>
      </c>
      <c r="E22" s="15">
        <f t="shared" si="1"/>
        <v>9000</v>
      </c>
      <c r="F22" s="15">
        <f t="shared" si="5"/>
        <v>9945</v>
      </c>
      <c r="G22" s="3"/>
      <c r="H22" s="3"/>
      <c r="I22" s="87">
        <f>20000/15</f>
        <v>1333.333333</v>
      </c>
      <c r="J22" s="15">
        <f t="shared" si="3"/>
        <v>6666.666667</v>
      </c>
      <c r="K22" s="15">
        <f t="shared" si="4"/>
        <v>3278.333333</v>
      </c>
      <c r="L22" s="4"/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1.0</v>
      </c>
      <c r="B23" s="84" t="s">
        <v>33</v>
      </c>
      <c r="C23" s="85" t="s">
        <v>233</v>
      </c>
      <c r="D23" s="22">
        <v>3000.0</v>
      </c>
      <c r="E23" s="15">
        <f t="shared" si="1"/>
        <v>3000</v>
      </c>
      <c r="F23" s="15">
        <f t="shared" si="5"/>
        <v>3315</v>
      </c>
      <c r="G23" s="3"/>
      <c r="H23" s="3"/>
      <c r="I23" s="87">
        <f>10000/5</f>
        <v>2000</v>
      </c>
      <c r="J23" s="15">
        <f t="shared" si="3"/>
        <v>2000</v>
      </c>
      <c r="K23" s="15">
        <f t="shared" si="4"/>
        <v>1315</v>
      </c>
      <c r="L23" s="4"/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12.0</v>
      </c>
      <c r="B24" s="84" t="s">
        <v>11</v>
      </c>
      <c r="C24" s="85" t="s">
        <v>65</v>
      </c>
      <c r="D24" s="22">
        <v>350.0</v>
      </c>
      <c r="E24" s="15">
        <f t="shared" si="1"/>
        <v>4200</v>
      </c>
      <c r="F24" s="15">
        <f t="shared" si="5"/>
        <v>4641</v>
      </c>
      <c r="G24" s="3"/>
      <c r="H24" s="3"/>
      <c r="I24" s="87">
        <f>6000/24</f>
        <v>250</v>
      </c>
      <c r="J24" s="15">
        <f t="shared" si="3"/>
        <v>3000</v>
      </c>
      <c r="K24" s="15">
        <f t="shared" si="4"/>
        <v>1641</v>
      </c>
      <c r="L24" s="4"/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3"/>
      <c r="B25" s="12"/>
      <c r="C25" s="14"/>
      <c r="D25" s="15"/>
      <c r="E25" s="3"/>
      <c r="F25" s="3"/>
      <c r="G25" s="3"/>
      <c r="H25" s="3"/>
      <c r="I25" s="3"/>
      <c r="J25" s="3"/>
      <c r="K25" s="3"/>
      <c r="L25" s="4"/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3"/>
      <c r="B26" s="12"/>
      <c r="C26" s="14"/>
      <c r="D26" s="15"/>
      <c r="E26" s="15">
        <f t="shared" ref="E26:F26" si="6">SUM(E5:E24)</f>
        <v>168900</v>
      </c>
      <c r="F26" s="15">
        <f t="shared" si="6"/>
        <v>187579.5</v>
      </c>
      <c r="G26" s="3"/>
      <c r="H26" s="3"/>
      <c r="I26" s="3"/>
      <c r="J26" s="3"/>
      <c r="K26" s="15">
        <f>SUM(K5:K24)</f>
        <v>63670.35268</v>
      </c>
      <c r="L26" s="23">
        <f>K26/F26</f>
        <v>0.3394312954</v>
      </c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5"/>
      <c r="B27" s="5"/>
      <c r="C27" s="5"/>
      <c r="D27" s="6"/>
      <c r="E27" s="86"/>
      <c r="F27" s="82"/>
      <c r="G27" s="6"/>
      <c r="H27" s="3"/>
      <c r="I27" s="8"/>
      <c r="J27" s="8"/>
      <c r="K27" s="8"/>
      <c r="L27" s="4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5" t="s">
        <v>234</v>
      </c>
      <c r="D28" s="6"/>
      <c r="E28" s="86" t="s">
        <v>44</v>
      </c>
      <c r="F28" s="82">
        <v>46059.0</v>
      </c>
      <c r="G28" s="6"/>
      <c r="H28" s="3"/>
      <c r="I28" s="8" t="s">
        <v>3</v>
      </c>
      <c r="L28" s="4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"/>
      <c r="B29" s="3"/>
      <c r="C29" s="9"/>
      <c r="D29" s="3"/>
      <c r="E29" s="3"/>
      <c r="F29" s="3"/>
      <c r="G29" s="3"/>
      <c r="H29" s="3"/>
      <c r="I29" s="3"/>
      <c r="J29" s="3"/>
      <c r="K29" s="3"/>
      <c r="L29" s="4"/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5" t="s">
        <v>4</v>
      </c>
      <c r="B30" s="10" t="s">
        <v>5</v>
      </c>
      <c r="C30" s="11" t="s">
        <v>6</v>
      </c>
      <c r="D30" s="12" t="s">
        <v>7</v>
      </c>
      <c r="E30" s="10" t="s">
        <v>8</v>
      </c>
      <c r="F30" s="10" t="s">
        <v>9</v>
      </c>
      <c r="G30" s="3"/>
      <c r="H30" s="3"/>
      <c r="I30" s="10" t="s">
        <v>7</v>
      </c>
      <c r="J30" s="10" t="s">
        <v>8</v>
      </c>
      <c r="K30" s="10" t="s">
        <v>10</v>
      </c>
      <c r="L30" s="4"/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>
        <v>3.0</v>
      </c>
      <c r="B31" s="84" t="s">
        <v>33</v>
      </c>
      <c r="C31" s="85" t="s">
        <v>31</v>
      </c>
      <c r="D31" s="22">
        <v>2500.0</v>
      </c>
      <c r="E31" s="15">
        <f t="shared" ref="E31:E57" si="7">A31*D31</f>
        <v>7500</v>
      </c>
      <c r="F31" s="15">
        <f t="shared" ref="F31:F56" si="8">E31*1.105</f>
        <v>8287.5</v>
      </c>
      <c r="G31" s="3"/>
      <c r="H31" s="3"/>
      <c r="I31" s="87">
        <f>25000/17</f>
        <v>1470.588235</v>
      </c>
      <c r="J31" s="15">
        <f t="shared" ref="J31:J57" si="9">I31*A31</f>
        <v>4411.764706</v>
      </c>
      <c r="K31" s="15">
        <f t="shared" ref="K31:K57" si="10">F31-J31</f>
        <v>3875.735294</v>
      </c>
      <c r="L31" s="4"/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1.0</v>
      </c>
      <c r="B32" s="84" t="s">
        <v>5</v>
      </c>
      <c r="C32" s="85" t="s">
        <v>176</v>
      </c>
      <c r="D32" s="22">
        <v>900.0</v>
      </c>
      <c r="E32" s="15">
        <f t="shared" si="7"/>
        <v>900</v>
      </c>
      <c r="F32" s="15">
        <f t="shared" si="8"/>
        <v>994.5</v>
      </c>
      <c r="G32" s="86"/>
      <c r="H32" s="3"/>
      <c r="I32" s="87">
        <f>23000/50</f>
        <v>460</v>
      </c>
      <c r="J32" s="15">
        <f t="shared" si="9"/>
        <v>460</v>
      </c>
      <c r="K32" s="15">
        <f t="shared" si="10"/>
        <v>534.5</v>
      </c>
      <c r="L32" s="4"/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83">
        <v>1.0</v>
      </c>
      <c r="B33" s="84" t="s">
        <v>38</v>
      </c>
      <c r="C33" s="85" t="s">
        <v>180</v>
      </c>
      <c r="D33" s="22">
        <v>14000.0</v>
      </c>
      <c r="E33" s="15">
        <f t="shared" si="7"/>
        <v>14000</v>
      </c>
      <c r="F33" s="15">
        <f t="shared" si="8"/>
        <v>15470</v>
      </c>
      <c r="G33" s="3"/>
      <c r="H33" s="3"/>
      <c r="I33" s="87">
        <v>9000.0</v>
      </c>
      <c r="J33" s="15">
        <f t="shared" si="9"/>
        <v>9000</v>
      </c>
      <c r="K33" s="15">
        <f t="shared" si="10"/>
        <v>6470</v>
      </c>
      <c r="L33" s="4"/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83">
        <v>2.0</v>
      </c>
      <c r="B34" s="84" t="s">
        <v>38</v>
      </c>
      <c r="C34" s="85" t="s">
        <v>45</v>
      </c>
      <c r="D34" s="22">
        <v>13000.0</v>
      </c>
      <c r="E34" s="15">
        <f t="shared" si="7"/>
        <v>26000</v>
      </c>
      <c r="F34" s="15">
        <f t="shared" si="8"/>
        <v>28730</v>
      </c>
      <c r="G34" s="3"/>
      <c r="H34" s="3"/>
      <c r="I34" s="87">
        <v>8000.0</v>
      </c>
      <c r="J34" s="15">
        <f t="shared" si="9"/>
        <v>16000</v>
      </c>
      <c r="K34" s="15">
        <f t="shared" si="10"/>
        <v>12730</v>
      </c>
      <c r="L34" s="4"/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83">
        <v>3.0</v>
      </c>
      <c r="B35" s="84" t="s">
        <v>33</v>
      </c>
      <c r="C35" s="85" t="s">
        <v>67</v>
      </c>
      <c r="D35" s="22">
        <v>800.0</v>
      </c>
      <c r="E35" s="15">
        <f t="shared" si="7"/>
        <v>2400</v>
      </c>
      <c r="F35" s="15">
        <f t="shared" si="8"/>
        <v>2652</v>
      </c>
      <c r="G35" s="3"/>
      <c r="H35" s="3"/>
      <c r="I35" s="87">
        <f>9500/18</f>
        <v>527.7777778</v>
      </c>
      <c r="J35" s="15">
        <f t="shared" si="9"/>
        <v>1583.333333</v>
      </c>
      <c r="K35" s="15">
        <f t="shared" si="10"/>
        <v>1068.666667</v>
      </c>
      <c r="L35" s="4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3">
        <v>6.0</v>
      </c>
      <c r="B36" s="84" t="s">
        <v>33</v>
      </c>
      <c r="C36" s="85" t="s">
        <v>174</v>
      </c>
      <c r="D36" s="22">
        <v>1600.0</v>
      </c>
      <c r="E36" s="15">
        <f t="shared" si="7"/>
        <v>9600</v>
      </c>
      <c r="F36" s="15">
        <f t="shared" si="8"/>
        <v>10608</v>
      </c>
      <c r="G36" s="3"/>
      <c r="H36" s="3"/>
      <c r="I36" s="87">
        <v>1000.0</v>
      </c>
      <c r="J36" s="15">
        <f t="shared" si="9"/>
        <v>6000</v>
      </c>
      <c r="K36" s="15">
        <f t="shared" si="10"/>
        <v>4608</v>
      </c>
      <c r="L36" s="4"/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>
        <v>1.0</v>
      </c>
      <c r="B37" s="84" t="s">
        <v>50</v>
      </c>
      <c r="C37" s="85" t="s">
        <v>171</v>
      </c>
      <c r="D37" s="22">
        <v>3000.0</v>
      </c>
      <c r="E37" s="15">
        <f t="shared" si="7"/>
        <v>3000</v>
      </c>
      <c r="F37" s="15">
        <f t="shared" si="8"/>
        <v>3315</v>
      </c>
      <c r="G37" s="3"/>
      <c r="H37" s="3"/>
      <c r="I37" s="87">
        <v>2000.0</v>
      </c>
      <c r="J37" s="15">
        <f t="shared" si="9"/>
        <v>2000</v>
      </c>
      <c r="K37" s="15">
        <f t="shared" si="10"/>
        <v>1315</v>
      </c>
      <c r="L37" s="4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1.0</v>
      </c>
      <c r="B38" s="84" t="s">
        <v>50</v>
      </c>
      <c r="C38" s="85" t="s">
        <v>235</v>
      </c>
      <c r="D38" s="22">
        <v>3000.0</v>
      </c>
      <c r="E38" s="15">
        <f t="shared" si="7"/>
        <v>3000</v>
      </c>
      <c r="F38" s="15">
        <f t="shared" si="8"/>
        <v>3315</v>
      </c>
      <c r="G38" s="3"/>
      <c r="H38" s="3"/>
      <c r="I38" s="87">
        <v>2000.0</v>
      </c>
      <c r="J38" s="15">
        <f t="shared" si="9"/>
        <v>2000</v>
      </c>
      <c r="K38" s="15">
        <f t="shared" si="10"/>
        <v>1315</v>
      </c>
      <c r="L38" s="4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2.0</v>
      </c>
      <c r="B39" s="84" t="s">
        <v>50</v>
      </c>
      <c r="C39" s="85" t="s">
        <v>236</v>
      </c>
      <c r="D39" s="22">
        <v>5500.0</v>
      </c>
      <c r="E39" s="15">
        <f t="shared" si="7"/>
        <v>11000</v>
      </c>
      <c r="F39" s="15">
        <f t="shared" si="8"/>
        <v>12155</v>
      </c>
      <c r="G39" s="3"/>
      <c r="H39" s="3"/>
      <c r="I39" s="87">
        <v>3200.0</v>
      </c>
      <c r="J39" s="15">
        <f t="shared" si="9"/>
        <v>6400</v>
      </c>
      <c r="K39" s="15">
        <f t="shared" si="10"/>
        <v>5755</v>
      </c>
      <c r="L39" s="4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1.0</v>
      </c>
      <c r="B40" s="84" t="s">
        <v>18</v>
      </c>
      <c r="C40" s="85" t="s">
        <v>78</v>
      </c>
      <c r="D40" s="22">
        <v>80000.0</v>
      </c>
      <c r="E40" s="15">
        <f t="shared" si="7"/>
        <v>80000</v>
      </c>
      <c r="F40" s="15">
        <f t="shared" si="8"/>
        <v>88400</v>
      </c>
      <c r="G40" s="3"/>
      <c r="H40" s="3"/>
      <c r="I40" s="87">
        <v>65000.0</v>
      </c>
      <c r="J40" s="15">
        <f t="shared" si="9"/>
        <v>65000</v>
      </c>
      <c r="K40" s="15">
        <f t="shared" si="10"/>
        <v>23400</v>
      </c>
      <c r="L40" s="4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1.0</v>
      </c>
      <c r="B41" s="84" t="s">
        <v>18</v>
      </c>
      <c r="C41" s="85" t="s">
        <v>232</v>
      </c>
      <c r="D41" s="22">
        <v>58000.0</v>
      </c>
      <c r="E41" s="15">
        <f t="shared" si="7"/>
        <v>58000</v>
      </c>
      <c r="F41" s="15">
        <f t="shared" si="8"/>
        <v>64090</v>
      </c>
      <c r="G41" s="3"/>
      <c r="H41" s="3"/>
      <c r="I41" s="87">
        <v>40000.0</v>
      </c>
      <c r="J41" s="15">
        <f t="shared" si="9"/>
        <v>40000</v>
      </c>
      <c r="K41" s="15">
        <f t="shared" si="10"/>
        <v>24090</v>
      </c>
      <c r="L41" s="4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1.0</v>
      </c>
      <c r="B42" s="84" t="s">
        <v>18</v>
      </c>
      <c r="C42" s="85" t="s">
        <v>237</v>
      </c>
      <c r="D42" s="22">
        <v>22000.0</v>
      </c>
      <c r="E42" s="15">
        <f t="shared" si="7"/>
        <v>22000</v>
      </c>
      <c r="F42" s="15">
        <f t="shared" si="8"/>
        <v>24310</v>
      </c>
      <c r="G42" s="3"/>
      <c r="H42" s="3"/>
      <c r="I42" s="87">
        <v>18000.0</v>
      </c>
      <c r="J42" s="15">
        <f t="shared" si="9"/>
        <v>18000</v>
      </c>
      <c r="K42" s="15">
        <f t="shared" si="10"/>
        <v>6310</v>
      </c>
      <c r="L42" s="4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4.0</v>
      </c>
      <c r="B43" s="84" t="s">
        <v>38</v>
      </c>
      <c r="C43" s="85" t="s">
        <v>179</v>
      </c>
      <c r="D43" s="22">
        <v>20000.0</v>
      </c>
      <c r="E43" s="15">
        <f t="shared" si="7"/>
        <v>80000</v>
      </c>
      <c r="F43" s="15">
        <f t="shared" si="8"/>
        <v>88400</v>
      </c>
      <c r="G43" s="3"/>
      <c r="H43" s="3"/>
      <c r="I43" s="87">
        <v>17500.0</v>
      </c>
      <c r="J43" s="15">
        <f t="shared" si="9"/>
        <v>70000</v>
      </c>
      <c r="K43" s="15">
        <f t="shared" si="10"/>
        <v>18400</v>
      </c>
      <c r="L43" s="4"/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0.5</v>
      </c>
      <c r="B44" s="84" t="s">
        <v>50</v>
      </c>
      <c r="C44" s="85" t="s">
        <v>68</v>
      </c>
      <c r="D44" s="22">
        <v>3500.0</v>
      </c>
      <c r="E44" s="15">
        <f t="shared" si="7"/>
        <v>1750</v>
      </c>
      <c r="F44" s="15">
        <f t="shared" si="8"/>
        <v>1933.75</v>
      </c>
      <c r="G44" s="3"/>
      <c r="H44" s="3"/>
      <c r="I44" s="87">
        <v>1500.0</v>
      </c>
      <c r="J44" s="15">
        <f t="shared" si="9"/>
        <v>750</v>
      </c>
      <c r="K44" s="15">
        <f t="shared" si="10"/>
        <v>1183.75</v>
      </c>
      <c r="L44" s="4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5.0</v>
      </c>
      <c r="B45" s="84" t="s">
        <v>33</v>
      </c>
      <c r="C45" s="85" t="s">
        <v>24</v>
      </c>
      <c r="D45" s="22">
        <v>3500.0</v>
      </c>
      <c r="E45" s="15">
        <f t="shared" si="7"/>
        <v>17500</v>
      </c>
      <c r="F45" s="15">
        <f t="shared" si="8"/>
        <v>19337.5</v>
      </c>
      <c r="G45" s="3"/>
      <c r="H45" s="3"/>
      <c r="I45" s="87">
        <f>25000/8</f>
        <v>3125</v>
      </c>
      <c r="J45" s="15">
        <f t="shared" si="9"/>
        <v>15625</v>
      </c>
      <c r="K45" s="15">
        <f t="shared" si="10"/>
        <v>3712.5</v>
      </c>
      <c r="L45" s="4"/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5.0</v>
      </c>
      <c r="B46" s="84" t="s">
        <v>33</v>
      </c>
      <c r="C46" s="85" t="s">
        <v>25</v>
      </c>
      <c r="D46" s="22">
        <v>2300.0</v>
      </c>
      <c r="E46" s="15">
        <f t="shared" si="7"/>
        <v>11500</v>
      </c>
      <c r="F46" s="15">
        <f t="shared" si="8"/>
        <v>12707.5</v>
      </c>
      <c r="G46" s="3"/>
      <c r="H46" s="3"/>
      <c r="I46" s="87">
        <f>12000/7</f>
        <v>1714.285714</v>
      </c>
      <c r="J46" s="15">
        <f t="shared" si="9"/>
        <v>8571.428571</v>
      </c>
      <c r="K46" s="15">
        <f t="shared" si="10"/>
        <v>4136.071429</v>
      </c>
      <c r="L46" s="4"/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3.0</v>
      </c>
      <c r="B47" s="84" t="s">
        <v>33</v>
      </c>
      <c r="C47" s="85" t="s">
        <v>26</v>
      </c>
      <c r="D47" s="22">
        <v>3000.0</v>
      </c>
      <c r="E47" s="15">
        <f t="shared" si="7"/>
        <v>9000</v>
      </c>
      <c r="F47" s="15">
        <f t="shared" si="8"/>
        <v>9945</v>
      </c>
      <c r="G47" s="3"/>
      <c r="H47" s="3"/>
      <c r="I47" s="87">
        <f>20000/8</f>
        <v>2500</v>
      </c>
      <c r="J47" s="15">
        <f t="shared" si="9"/>
        <v>7500</v>
      </c>
      <c r="K47" s="15">
        <f t="shared" si="10"/>
        <v>2445</v>
      </c>
      <c r="L47" s="4"/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3.0</v>
      </c>
      <c r="B48" s="84" t="s">
        <v>5</v>
      </c>
      <c r="C48" s="85" t="s">
        <v>99</v>
      </c>
      <c r="D48" s="22">
        <v>1500.0</v>
      </c>
      <c r="E48" s="15">
        <f t="shared" si="7"/>
        <v>4500</v>
      </c>
      <c r="F48" s="15">
        <f t="shared" si="8"/>
        <v>4972.5</v>
      </c>
      <c r="G48" s="3"/>
      <c r="H48" s="3"/>
      <c r="I48" s="87">
        <f>13000/12</f>
        <v>1083.333333</v>
      </c>
      <c r="J48" s="15">
        <f t="shared" si="9"/>
        <v>3250</v>
      </c>
      <c r="K48" s="15">
        <f t="shared" si="10"/>
        <v>1722.5</v>
      </c>
      <c r="L48" s="4"/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2.0</v>
      </c>
      <c r="B49" s="84" t="s">
        <v>5</v>
      </c>
      <c r="C49" s="85" t="s">
        <v>98</v>
      </c>
      <c r="D49" s="22">
        <v>1500.0</v>
      </c>
      <c r="E49" s="15">
        <f t="shared" si="7"/>
        <v>3000</v>
      </c>
      <c r="F49" s="15">
        <f t="shared" si="8"/>
        <v>3315</v>
      </c>
      <c r="G49" s="3"/>
      <c r="H49" s="3"/>
      <c r="I49" s="87">
        <v>1083.33</v>
      </c>
      <c r="J49" s="15">
        <f t="shared" si="9"/>
        <v>2166.66</v>
      </c>
      <c r="K49" s="15">
        <f t="shared" si="10"/>
        <v>1148.34</v>
      </c>
      <c r="L49" s="4"/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8.0</v>
      </c>
      <c r="B50" s="84" t="s">
        <v>33</v>
      </c>
      <c r="C50" s="85" t="s">
        <v>64</v>
      </c>
      <c r="D50" s="22">
        <v>1800.0</v>
      </c>
      <c r="E50" s="15">
        <f t="shared" si="7"/>
        <v>14400</v>
      </c>
      <c r="F50" s="15">
        <f t="shared" si="8"/>
        <v>15912</v>
      </c>
      <c r="G50" s="3"/>
      <c r="H50" s="3"/>
      <c r="I50" s="87">
        <f>20000/15</f>
        <v>1333.333333</v>
      </c>
      <c r="J50" s="15">
        <f t="shared" si="9"/>
        <v>10666.66667</v>
      </c>
      <c r="K50" s="15">
        <f t="shared" si="10"/>
        <v>5245.333333</v>
      </c>
      <c r="L50" s="4"/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84" t="s">
        <v>38</v>
      </c>
      <c r="C51" s="85" t="s">
        <v>47</v>
      </c>
      <c r="D51" s="22">
        <v>12000.0</v>
      </c>
      <c r="E51" s="15">
        <f t="shared" si="7"/>
        <v>12000</v>
      </c>
      <c r="F51" s="15">
        <f t="shared" si="8"/>
        <v>13260</v>
      </c>
      <c r="G51" s="3"/>
      <c r="H51" s="3"/>
      <c r="I51" s="87">
        <v>8000.0</v>
      </c>
      <c r="J51" s="15">
        <f t="shared" si="9"/>
        <v>8000</v>
      </c>
      <c r="K51" s="15">
        <f t="shared" si="10"/>
        <v>5260</v>
      </c>
      <c r="L51" s="4"/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2.0</v>
      </c>
      <c r="B52" s="84" t="s">
        <v>33</v>
      </c>
      <c r="C52" s="85" t="s">
        <v>56</v>
      </c>
      <c r="D52" s="22">
        <v>2500.0</v>
      </c>
      <c r="E52" s="15">
        <f t="shared" si="7"/>
        <v>5000</v>
      </c>
      <c r="F52" s="15">
        <f t="shared" si="8"/>
        <v>5525</v>
      </c>
      <c r="G52" s="3"/>
      <c r="H52" s="3"/>
      <c r="I52" s="87">
        <f>30000/18</f>
        <v>1666.666667</v>
      </c>
      <c r="J52" s="15">
        <f t="shared" si="9"/>
        <v>3333.333333</v>
      </c>
      <c r="K52" s="15">
        <f t="shared" si="10"/>
        <v>2191.666667</v>
      </c>
      <c r="L52" s="4"/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0.6</v>
      </c>
      <c r="B53" s="84" t="s">
        <v>33</v>
      </c>
      <c r="C53" s="85" t="s">
        <v>23</v>
      </c>
      <c r="D53" s="22">
        <v>1600.0</v>
      </c>
      <c r="E53" s="15">
        <f t="shared" si="7"/>
        <v>960</v>
      </c>
      <c r="F53" s="15">
        <f t="shared" si="8"/>
        <v>1060.8</v>
      </c>
      <c r="G53" s="3"/>
      <c r="H53" s="3"/>
      <c r="I53" s="87">
        <v>1000.0</v>
      </c>
      <c r="J53" s="15">
        <f t="shared" si="9"/>
        <v>600</v>
      </c>
      <c r="K53" s="15">
        <f t="shared" si="10"/>
        <v>460.8</v>
      </c>
      <c r="L53" s="4"/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1.0</v>
      </c>
      <c r="B54" s="84" t="s">
        <v>33</v>
      </c>
      <c r="C54" s="85" t="s">
        <v>22</v>
      </c>
      <c r="D54" s="22">
        <v>1500.0</v>
      </c>
      <c r="E54" s="15">
        <f t="shared" si="7"/>
        <v>1500</v>
      </c>
      <c r="F54" s="15">
        <f t="shared" si="8"/>
        <v>1657.5</v>
      </c>
      <c r="G54" s="3"/>
      <c r="H54" s="3"/>
      <c r="I54" s="87">
        <f>8000/15</f>
        <v>533.3333333</v>
      </c>
      <c r="J54" s="15">
        <f t="shared" si="9"/>
        <v>533.3333333</v>
      </c>
      <c r="K54" s="15">
        <f t="shared" si="10"/>
        <v>1124.166667</v>
      </c>
      <c r="L54" s="4"/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3.0</v>
      </c>
      <c r="B55" s="84" t="s">
        <v>33</v>
      </c>
      <c r="C55" s="85" t="s">
        <v>233</v>
      </c>
      <c r="D55" s="22">
        <v>3000.0</v>
      </c>
      <c r="E55" s="15">
        <f t="shared" si="7"/>
        <v>9000</v>
      </c>
      <c r="F55" s="15">
        <f t="shared" si="8"/>
        <v>9945</v>
      </c>
      <c r="G55" s="3"/>
      <c r="H55" s="3"/>
      <c r="I55" s="87">
        <f>10000/5</f>
        <v>2000</v>
      </c>
      <c r="J55" s="15">
        <f t="shared" si="9"/>
        <v>6000</v>
      </c>
      <c r="K55" s="15">
        <f t="shared" si="10"/>
        <v>3945</v>
      </c>
      <c r="L55" s="4"/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83">
        <v>16.0</v>
      </c>
      <c r="B56" s="84" t="s">
        <v>50</v>
      </c>
      <c r="C56" s="85" t="s">
        <v>65</v>
      </c>
      <c r="D56" s="22">
        <v>350.0</v>
      </c>
      <c r="E56" s="15">
        <f t="shared" si="7"/>
        <v>5600</v>
      </c>
      <c r="F56" s="15">
        <f t="shared" si="8"/>
        <v>6188</v>
      </c>
      <c r="G56" s="3"/>
      <c r="H56" s="3"/>
      <c r="I56" s="87">
        <f>6000/24</f>
        <v>250</v>
      </c>
      <c r="J56" s="15">
        <f t="shared" si="9"/>
        <v>4000</v>
      </c>
      <c r="K56" s="15">
        <f t="shared" si="10"/>
        <v>2188</v>
      </c>
      <c r="L56" s="4"/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3">
        <v>0.5</v>
      </c>
      <c r="B57" s="84" t="s">
        <v>18</v>
      </c>
      <c r="C57" s="85" t="s">
        <v>21</v>
      </c>
      <c r="D57" s="22">
        <v>52000.0</v>
      </c>
      <c r="E57" s="15">
        <f t="shared" si="7"/>
        <v>26000</v>
      </c>
      <c r="F57" s="15">
        <f>E57*1.21</f>
        <v>31460</v>
      </c>
      <c r="G57" s="3"/>
      <c r="H57" s="3"/>
      <c r="I57" s="87">
        <v>52000.0</v>
      </c>
      <c r="J57" s="15">
        <f t="shared" si="9"/>
        <v>26000</v>
      </c>
      <c r="K57" s="15">
        <f t="shared" si="10"/>
        <v>5460</v>
      </c>
      <c r="L57" s="4"/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/>
      <c r="B58" s="12"/>
      <c r="C58" s="14"/>
      <c r="D58" s="15"/>
      <c r="E58" s="3"/>
      <c r="F58" s="15"/>
      <c r="G58" s="3"/>
      <c r="H58" s="3"/>
      <c r="I58" s="3"/>
      <c r="J58" s="3"/>
      <c r="K58" s="3"/>
      <c r="L58" s="4"/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15">
        <f t="shared" ref="E59:F59" si="11">SUM(E31:E57)</f>
        <v>439110</v>
      </c>
      <c r="F59" s="15">
        <f t="shared" si="11"/>
        <v>487946.55</v>
      </c>
      <c r="G59" s="3"/>
      <c r="H59" s="3"/>
      <c r="I59" s="3"/>
      <c r="J59" s="3"/>
      <c r="K59" s="15">
        <f>SUM(K31:K57)</f>
        <v>150095.0301</v>
      </c>
      <c r="L59" s="23">
        <f>K59/F59</f>
        <v>0.3076054745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5"/>
      <c r="B60" s="5"/>
      <c r="C60" s="5"/>
      <c r="D60" s="6"/>
      <c r="E60" s="86"/>
      <c r="F60" s="82"/>
      <c r="G60" s="6"/>
      <c r="H60" s="3"/>
      <c r="I60" s="8"/>
      <c r="J60" s="8"/>
      <c r="K60" s="8"/>
      <c r="L60" s="4"/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5" t="s">
        <v>238</v>
      </c>
      <c r="D61" s="6"/>
      <c r="E61" s="86" t="s">
        <v>44</v>
      </c>
      <c r="F61" s="82">
        <v>46059.0</v>
      </c>
      <c r="G61" s="6"/>
      <c r="H61" s="3"/>
      <c r="I61" s="8" t="s">
        <v>3</v>
      </c>
      <c r="L61" s="4"/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"/>
      <c r="B62" s="3"/>
      <c r="C62" s="9"/>
      <c r="D62" s="3"/>
      <c r="E62" s="3"/>
      <c r="F62" s="3"/>
      <c r="G62" s="3"/>
      <c r="H62" s="3"/>
      <c r="I62" s="3"/>
      <c r="J62" s="3"/>
      <c r="K62" s="3"/>
      <c r="L62" s="4"/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5" t="s">
        <v>4</v>
      </c>
      <c r="B63" s="10" t="s">
        <v>5</v>
      </c>
      <c r="C63" s="11" t="s">
        <v>6</v>
      </c>
      <c r="D63" s="12" t="s">
        <v>7</v>
      </c>
      <c r="E63" s="10" t="s">
        <v>8</v>
      </c>
      <c r="F63" s="10" t="s">
        <v>9</v>
      </c>
      <c r="G63" s="3"/>
      <c r="H63" s="3"/>
      <c r="I63" s="10" t="s">
        <v>7</v>
      </c>
      <c r="J63" s="10" t="s">
        <v>8</v>
      </c>
      <c r="K63" s="10" t="s">
        <v>10</v>
      </c>
      <c r="L63" s="4"/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83">
        <v>3.0</v>
      </c>
      <c r="B64" s="84" t="s">
        <v>38</v>
      </c>
      <c r="C64" s="85" t="s">
        <v>179</v>
      </c>
      <c r="D64" s="22">
        <v>20000.0</v>
      </c>
      <c r="E64" s="15">
        <f t="shared" ref="E64:E87" si="12">A64*D64</f>
        <v>60000</v>
      </c>
      <c r="F64" s="15">
        <f t="shared" ref="F64:F76" si="13">E64*1.105</f>
        <v>66300</v>
      </c>
      <c r="G64" s="3"/>
      <c r="H64" s="3"/>
      <c r="I64" s="87">
        <v>17500.0</v>
      </c>
      <c r="J64" s="15">
        <f t="shared" ref="J64:J87" si="14">I64*A64</f>
        <v>52500</v>
      </c>
      <c r="K64" s="15">
        <f t="shared" ref="K64:K87" si="15">F64-J64</f>
        <v>13800</v>
      </c>
      <c r="L64" s="4"/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3">
        <v>1.0</v>
      </c>
      <c r="B65" s="84" t="s">
        <v>38</v>
      </c>
      <c r="C65" s="85" t="s">
        <v>45</v>
      </c>
      <c r="D65" s="22">
        <v>13000.0</v>
      </c>
      <c r="E65" s="15">
        <f t="shared" si="12"/>
        <v>13000</v>
      </c>
      <c r="F65" s="15">
        <f t="shared" si="13"/>
        <v>14365</v>
      </c>
      <c r="G65" s="3"/>
      <c r="H65" s="3"/>
      <c r="I65" s="87">
        <v>8000.0</v>
      </c>
      <c r="J65" s="15">
        <f t="shared" si="14"/>
        <v>8000</v>
      </c>
      <c r="K65" s="15">
        <f t="shared" si="15"/>
        <v>6365</v>
      </c>
      <c r="L65" s="4"/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83">
        <v>2.0</v>
      </c>
      <c r="B66" s="84" t="s">
        <v>33</v>
      </c>
      <c r="C66" s="85" t="s">
        <v>174</v>
      </c>
      <c r="D66" s="22">
        <v>1600.0</v>
      </c>
      <c r="E66" s="15">
        <f t="shared" si="12"/>
        <v>3200</v>
      </c>
      <c r="F66" s="15">
        <f t="shared" si="13"/>
        <v>3536</v>
      </c>
      <c r="G66" s="3"/>
      <c r="H66" s="3"/>
      <c r="I66" s="87">
        <v>1000.0</v>
      </c>
      <c r="J66" s="15">
        <f t="shared" si="14"/>
        <v>2000</v>
      </c>
      <c r="K66" s="15">
        <f t="shared" si="15"/>
        <v>1536</v>
      </c>
      <c r="L66" s="4"/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83">
        <v>2.0</v>
      </c>
      <c r="B67" s="84" t="s">
        <v>33</v>
      </c>
      <c r="C67" s="85" t="s">
        <v>239</v>
      </c>
      <c r="D67" s="22">
        <v>800.0</v>
      </c>
      <c r="E67" s="15">
        <f t="shared" si="12"/>
        <v>1600</v>
      </c>
      <c r="F67" s="15">
        <f t="shared" si="13"/>
        <v>1768</v>
      </c>
      <c r="G67" s="3"/>
      <c r="H67" s="3"/>
      <c r="I67" s="87">
        <f>9500/18</f>
        <v>527.7777778</v>
      </c>
      <c r="J67" s="15">
        <f t="shared" si="14"/>
        <v>1055.555556</v>
      </c>
      <c r="K67" s="15">
        <f t="shared" si="15"/>
        <v>712.4444444</v>
      </c>
      <c r="L67" s="4"/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83">
        <v>2.0</v>
      </c>
      <c r="B68" s="84" t="s">
        <v>33</v>
      </c>
      <c r="C68" s="85" t="s">
        <v>24</v>
      </c>
      <c r="D68" s="22">
        <v>3500.0</v>
      </c>
      <c r="E68" s="15">
        <f t="shared" si="12"/>
        <v>7000</v>
      </c>
      <c r="F68" s="15">
        <f t="shared" si="13"/>
        <v>7735</v>
      </c>
      <c r="G68" s="3"/>
      <c r="H68" s="3"/>
      <c r="I68" s="87">
        <f>25000/8</f>
        <v>3125</v>
      </c>
      <c r="J68" s="15">
        <f t="shared" si="14"/>
        <v>6250</v>
      </c>
      <c r="K68" s="15">
        <f t="shared" si="15"/>
        <v>1485</v>
      </c>
      <c r="L68" s="4"/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2.0</v>
      </c>
      <c r="B69" s="84" t="s">
        <v>33</v>
      </c>
      <c r="C69" s="85" t="s">
        <v>26</v>
      </c>
      <c r="D69" s="22">
        <v>3000.0</v>
      </c>
      <c r="E69" s="15">
        <f t="shared" si="12"/>
        <v>6000</v>
      </c>
      <c r="F69" s="15">
        <f t="shared" si="13"/>
        <v>6630</v>
      </c>
      <c r="G69" s="3"/>
      <c r="H69" s="3"/>
      <c r="I69" s="87">
        <f>20000/8</f>
        <v>2500</v>
      </c>
      <c r="J69" s="15">
        <f t="shared" si="14"/>
        <v>5000</v>
      </c>
      <c r="K69" s="15">
        <f t="shared" si="15"/>
        <v>1630</v>
      </c>
      <c r="L69" s="4"/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3">
        <v>2.0</v>
      </c>
      <c r="B70" s="84" t="s">
        <v>33</v>
      </c>
      <c r="C70" s="85" t="s">
        <v>25</v>
      </c>
      <c r="D70" s="22">
        <v>2300.0</v>
      </c>
      <c r="E70" s="15">
        <f t="shared" si="12"/>
        <v>4600</v>
      </c>
      <c r="F70" s="15">
        <f t="shared" si="13"/>
        <v>5083</v>
      </c>
      <c r="G70" s="3"/>
      <c r="H70" s="3"/>
      <c r="I70" s="87">
        <f>12000/7</f>
        <v>1714.285714</v>
      </c>
      <c r="J70" s="15">
        <f t="shared" si="14"/>
        <v>3428.571429</v>
      </c>
      <c r="K70" s="15">
        <f t="shared" si="15"/>
        <v>1654.428571</v>
      </c>
      <c r="L70" s="4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83">
        <v>1.0</v>
      </c>
      <c r="B71" s="84" t="s">
        <v>5</v>
      </c>
      <c r="C71" s="85" t="s">
        <v>176</v>
      </c>
      <c r="D71" s="22">
        <v>900.0</v>
      </c>
      <c r="E71" s="15">
        <f t="shared" si="12"/>
        <v>900</v>
      </c>
      <c r="F71" s="15">
        <f t="shared" si="13"/>
        <v>994.5</v>
      </c>
      <c r="G71" s="3"/>
      <c r="H71" s="3"/>
      <c r="I71" s="87">
        <f>23000/50</f>
        <v>460</v>
      </c>
      <c r="J71" s="15">
        <f t="shared" si="14"/>
        <v>460</v>
      </c>
      <c r="K71" s="15">
        <f t="shared" si="15"/>
        <v>534.5</v>
      </c>
      <c r="L71" s="4"/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83">
        <v>2.0</v>
      </c>
      <c r="B72" s="84" t="s">
        <v>33</v>
      </c>
      <c r="C72" s="85" t="s">
        <v>22</v>
      </c>
      <c r="D72" s="22">
        <v>1500.0</v>
      </c>
      <c r="E72" s="15">
        <f t="shared" si="12"/>
        <v>3000</v>
      </c>
      <c r="F72" s="15">
        <f t="shared" si="13"/>
        <v>3315</v>
      </c>
      <c r="G72" s="3"/>
      <c r="H72" s="3"/>
      <c r="I72" s="87">
        <f>8000/14</f>
        <v>571.4285714</v>
      </c>
      <c r="J72" s="15">
        <f t="shared" si="14"/>
        <v>1142.857143</v>
      </c>
      <c r="K72" s="15">
        <f t="shared" si="15"/>
        <v>2172.142857</v>
      </c>
      <c r="L72" s="4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3">
        <v>2.0</v>
      </c>
      <c r="B73" s="84" t="s">
        <v>33</v>
      </c>
      <c r="C73" s="85" t="s">
        <v>23</v>
      </c>
      <c r="D73" s="22">
        <v>1600.0</v>
      </c>
      <c r="E73" s="15">
        <f t="shared" si="12"/>
        <v>3200</v>
      </c>
      <c r="F73" s="15">
        <f t="shared" si="13"/>
        <v>3536</v>
      </c>
      <c r="G73" s="3"/>
      <c r="H73" s="3"/>
      <c r="I73" s="87">
        <v>1000.0</v>
      </c>
      <c r="J73" s="15">
        <f t="shared" si="14"/>
        <v>2000</v>
      </c>
      <c r="K73" s="15">
        <f t="shared" si="15"/>
        <v>1536</v>
      </c>
      <c r="L73" s="4"/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1.0</v>
      </c>
      <c r="B74" s="84" t="s">
        <v>38</v>
      </c>
      <c r="C74" s="85" t="s">
        <v>47</v>
      </c>
      <c r="D74" s="22">
        <v>12000.0</v>
      </c>
      <c r="E74" s="15">
        <f t="shared" si="12"/>
        <v>12000</v>
      </c>
      <c r="F74" s="15">
        <f t="shared" si="13"/>
        <v>13260</v>
      </c>
      <c r="G74" s="3"/>
      <c r="H74" s="3"/>
      <c r="I74" s="87">
        <v>9000.0</v>
      </c>
      <c r="J74" s="15">
        <f t="shared" si="14"/>
        <v>9000</v>
      </c>
      <c r="K74" s="15">
        <f t="shared" si="15"/>
        <v>4260</v>
      </c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1.0</v>
      </c>
      <c r="B75" s="84" t="s">
        <v>33</v>
      </c>
      <c r="C75" s="85" t="s">
        <v>233</v>
      </c>
      <c r="D75" s="22">
        <v>3000.0</v>
      </c>
      <c r="E75" s="15">
        <f t="shared" si="12"/>
        <v>3000</v>
      </c>
      <c r="F75" s="15">
        <f t="shared" si="13"/>
        <v>3315</v>
      </c>
      <c r="G75" s="3"/>
      <c r="H75" s="3"/>
      <c r="I75" s="87">
        <v>2000.0</v>
      </c>
      <c r="J75" s="15">
        <f t="shared" si="14"/>
        <v>2000</v>
      </c>
      <c r="K75" s="15">
        <f t="shared" si="15"/>
        <v>1315</v>
      </c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7.0</v>
      </c>
      <c r="B76" s="84" t="s">
        <v>33</v>
      </c>
      <c r="C76" s="85" t="s">
        <v>64</v>
      </c>
      <c r="D76" s="22">
        <v>1800.0</v>
      </c>
      <c r="E76" s="15">
        <f t="shared" si="12"/>
        <v>12600</v>
      </c>
      <c r="F76" s="15">
        <f t="shared" si="13"/>
        <v>13923</v>
      </c>
      <c r="G76" s="3"/>
      <c r="H76" s="3"/>
      <c r="I76" s="87">
        <f>20000/18</f>
        <v>1111.111111</v>
      </c>
      <c r="J76" s="15">
        <f t="shared" si="14"/>
        <v>7777.777778</v>
      </c>
      <c r="K76" s="15">
        <f t="shared" si="15"/>
        <v>6145.222222</v>
      </c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3.0</v>
      </c>
      <c r="B77" s="84" t="s">
        <v>231</v>
      </c>
      <c r="C77" s="85" t="s">
        <v>21</v>
      </c>
      <c r="D77" s="22">
        <v>4500.0</v>
      </c>
      <c r="E77" s="15">
        <f t="shared" si="12"/>
        <v>13500</v>
      </c>
      <c r="F77" s="15">
        <f>E77*1.21</f>
        <v>16335</v>
      </c>
      <c r="G77" s="3"/>
      <c r="H77" s="3"/>
      <c r="I77" s="87">
        <f>52000/12</f>
        <v>4333.333333</v>
      </c>
      <c r="J77" s="15">
        <f t="shared" si="14"/>
        <v>13000</v>
      </c>
      <c r="K77" s="15">
        <f t="shared" si="15"/>
        <v>3335</v>
      </c>
      <c r="L77" s="4"/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0.5</v>
      </c>
      <c r="B78" s="84" t="s">
        <v>50</v>
      </c>
      <c r="C78" s="85" t="s">
        <v>68</v>
      </c>
      <c r="D78" s="22">
        <v>3500.0</v>
      </c>
      <c r="E78" s="15">
        <f t="shared" si="12"/>
        <v>1750</v>
      </c>
      <c r="F78" s="15">
        <f t="shared" ref="F78:F87" si="16">E78*1.105</f>
        <v>1933.75</v>
      </c>
      <c r="G78" s="3"/>
      <c r="H78" s="3"/>
      <c r="I78" s="87">
        <v>1500.0</v>
      </c>
      <c r="J78" s="15">
        <f t="shared" si="14"/>
        <v>750</v>
      </c>
      <c r="K78" s="15">
        <f t="shared" si="15"/>
        <v>1183.75</v>
      </c>
      <c r="L78" s="4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1.0</v>
      </c>
      <c r="B79" s="84" t="s">
        <v>50</v>
      </c>
      <c r="C79" s="85" t="s">
        <v>171</v>
      </c>
      <c r="D79" s="22">
        <v>3000.0</v>
      </c>
      <c r="E79" s="15">
        <f t="shared" si="12"/>
        <v>3000</v>
      </c>
      <c r="F79" s="15">
        <f t="shared" si="16"/>
        <v>3315</v>
      </c>
      <c r="G79" s="3"/>
      <c r="H79" s="3"/>
      <c r="I79" s="87">
        <v>2000.0</v>
      </c>
      <c r="J79" s="15">
        <f t="shared" si="14"/>
        <v>2000</v>
      </c>
      <c r="K79" s="15">
        <f t="shared" si="15"/>
        <v>1315</v>
      </c>
      <c r="L79" s="4"/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12.0</v>
      </c>
      <c r="B80" s="84" t="s">
        <v>50</v>
      </c>
      <c r="C80" s="85" t="s">
        <v>65</v>
      </c>
      <c r="D80" s="22">
        <v>350.0</v>
      </c>
      <c r="E80" s="15">
        <f t="shared" si="12"/>
        <v>4200</v>
      </c>
      <c r="F80" s="15">
        <f t="shared" si="16"/>
        <v>4641</v>
      </c>
      <c r="G80" s="3"/>
      <c r="H80" s="3"/>
      <c r="I80" s="87">
        <f>6000/24</f>
        <v>250</v>
      </c>
      <c r="J80" s="15">
        <f t="shared" si="14"/>
        <v>3000</v>
      </c>
      <c r="K80" s="15">
        <f t="shared" si="15"/>
        <v>1641</v>
      </c>
      <c r="L80" s="4"/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1.0</v>
      </c>
      <c r="B81" s="84" t="s">
        <v>33</v>
      </c>
      <c r="C81" s="85" t="s">
        <v>69</v>
      </c>
      <c r="D81" s="22">
        <v>1600.0</v>
      </c>
      <c r="E81" s="15">
        <f t="shared" si="12"/>
        <v>1600</v>
      </c>
      <c r="F81" s="15">
        <f t="shared" si="16"/>
        <v>1768</v>
      </c>
      <c r="G81" s="3"/>
      <c r="H81" s="3"/>
      <c r="I81" s="87">
        <v>1500.0</v>
      </c>
      <c r="J81" s="15">
        <f t="shared" si="14"/>
        <v>1500</v>
      </c>
      <c r="K81" s="15">
        <f t="shared" si="15"/>
        <v>268</v>
      </c>
      <c r="L81" s="4"/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1.0</v>
      </c>
      <c r="B82" s="84" t="s">
        <v>5</v>
      </c>
      <c r="C82" s="85" t="s">
        <v>99</v>
      </c>
      <c r="D82" s="22">
        <v>1500.0</v>
      </c>
      <c r="E82" s="15">
        <f t="shared" si="12"/>
        <v>1500</v>
      </c>
      <c r="F82" s="15">
        <f t="shared" si="16"/>
        <v>1657.5</v>
      </c>
      <c r="G82" s="3"/>
      <c r="H82" s="3"/>
      <c r="I82" s="87">
        <f>13000/12</f>
        <v>1083.333333</v>
      </c>
      <c r="J82" s="15">
        <f t="shared" si="14"/>
        <v>1083.333333</v>
      </c>
      <c r="K82" s="15">
        <f t="shared" si="15"/>
        <v>574.1666667</v>
      </c>
      <c r="L82" s="4"/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>
        <v>1.0</v>
      </c>
      <c r="B83" s="84" t="s">
        <v>5</v>
      </c>
      <c r="C83" s="85" t="s">
        <v>240</v>
      </c>
      <c r="D83" s="22">
        <v>1500.0</v>
      </c>
      <c r="E83" s="15">
        <f t="shared" si="12"/>
        <v>1500</v>
      </c>
      <c r="F83" s="15">
        <f t="shared" si="16"/>
        <v>1657.5</v>
      </c>
      <c r="G83" s="3"/>
      <c r="H83" s="3"/>
      <c r="I83" s="87">
        <v>1083.33</v>
      </c>
      <c r="J83" s="15">
        <f t="shared" si="14"/>
        <v>1083.33</v>
      </c>
      <c r="K83" s="15">
        <f t="shared" si="15"/>
        <v>574.17</v>
      </c>
      <c r="L83" s="4"/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83">
        <v>3.0</v>
      </c>
      <c r="B84" s="84" t="s">
        <v>33</v>
      </c>
      <c r="C84" s="85" t="s">
        <v>31</v>
      </c>
      <c r="D84" s="22">
        <v>2500.0</v>
      </c>
      <c r="E84" s="15">
        <f t="shared" si="12"/>
        <v>7500</v>
      </c>
      <c r="F84" s="15">
        <f t="shared" si="16"/>
        <v>8287.5</v>
      </c>
      <c r="G84" s="3"/>
      <c r="H84" s="3"/>
      <c r="I84" s="87">
        <f>25000/18</f>
        <v>1388.888889</v>
      </c>
      <c r="J84" s="15">
        <f t="shared" si="14"/>
        <v>4166.666667</v>
      </c>
      <c r="K84" s="15">
        <f t="shared" si="15"/>
        <v>4120.833333</v>
      </c>
      <c r="L84" s="4"/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8.0</v>
      </c>
      <c r="B85" s="84" t="s">
        <v>33</v>
      </c>
      <c r="C85" s="85" t="s">
        <v>232</v>
      </c>
      <c r="D85" s="22">
        <v>3500.0</v>
      </c>
      <c r="E85" s="15">
        <f t="shared" si="12"/>
        <v>28000</v>
      </c>
      <c r="F85" s="15">
        <f t="shared" si="16"/>
        <v>30940</v>
      </c>
      <c r="G85" s="3"/>
      <c r="H85" s="3"/>
      <c r="I85" s="87">
        <f>40000/18</f>
        <v>2222.222222</v>
      </c>
      <c r="J85" s="15">
        <f t="shared" si="14"/>
        <v>17777.77778</v>
      </c>
      <c r="K85" s="15">
        <f t="shared" si="15"/>
        <v>13162.22222</v>
      </c>
      <c r="L85" s="4"/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83">
        <v>8.0</v>
      </c>
      <c r="B86" s="84" t="s">
        <v>33</v>
      </c>
      <c r="C86" s="85" t="s">
        <v>78</v>
      </c>
      <c r="D86" s="22">
        <v>4500.0</v>
      </c>
      <c r="E86" s="15">
        <f t="shared" si="12"/>
        <v>36000</v>
      </c>
      <c r="F86" s="15">
        <f t="shared" si="16"/>
        <v>39780</v>
      </c>
      <c r="G86" s="3"/>
      <c r="H86" s="3"/>
      <c r="I86" s="87">
        <f>65000/18</f>
        <v>3611.111111</v>
      </c>
      <c r="J86" s="15">
        <f t="shared" si="14"/>
        <v>28888.88889</v>
      </c>
      <c r="K86" s="15">
        <f t="shared" si="15"/>
        <v>10891.11111</v>
      </c>
      <c r="L86" s="4"/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83">
        <v>5.0</v>
      </c>
      <c r="B87" s="84" t="s">
        <v>33</v>
      </c>
      <c r="C87" s="85" t="s">
        <v>39</v>
      </c>
      <c r="D87" s="22">
        <v>1400.0</v>
      </c>
      <c r="E87" s="15">
        <f t="shared" si="12"/>
        <v>7000</v>
      </c>
      <c r="F87" s="15">
        <f t="shared" si="16"/>
        <v>7735</v>
      </c>
      <c r="G87" s="3"/>
      <c r="H87" s="3"/>
      <c r="I87" s="87">
        <f>18000/16</f>
        <v>1125</v>
      </c>
      <c r="J87" s="15">
        <f t="shared" si="14"/>
        <v>5625</v>
      </c>
      <c r="K87" s="15">
        <f t="shared" si="15"/>
        <v>2110</v>
      </c>
      <c r="L87" s="4"/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3"/>
      <c r="B88" s="12"/>
      <c r="C88" s="14"/>
      <c r="D88" s="15"/>
      <c r="E88" s="3"/>
      <c r="F88" s="3"/>
      <c r="G88" s="3"/>
      <c r="H88" s="3"/>
      <c r="I88" s="3"/>
      <c r="J88" s="3"/>
      <c r="K88" s="3"/>
      <c r="L88" s="4"/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/>
      <c r="B89" s="12"/>
      <c r="C89" s="14"/>
      <c r="D89" s="15"/>
      <c r="E89" s="15">
        <f t="shared" ref="E89:F89" si="17">SUM(E64:E87)</f>
        <v>235650</v>
      </c>
      <c r="F89" s="15">
        <f t="shared" si="17"/>
        <v>261810.75</v>
      </c>
      <c r="G89" s="3"/>
      <c r="H89" s="3"/>
      <c r="I89" s="3"/>
      <c r="J89" s="3"/>
      <c r="K89" s="15">
        <f>SUM(K64:K87)</f>
        <v>82320.99143</v>
      </c>
      <c r="L89" s="23">
        <f>K89/F89</f>
        <v>0.3144293786</v>
      </c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5"/>
      <c r="B90" s="5"/>
      <c r="C90" s="5"/>
      <c r="D90" s="6"/>
      <c r="E90" s="86"/>
      <c r="F90" s="82"/>
      <c r="G90" s="6"/>
      <c r="H90" s="3"/>
      <c r="I90" s="8"/>
      <c r="J90" s="8"/>
      <c r="K90" s="8"/>
      <c r="L90" s="4"/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5"/>
      <c r="B91" s="5"/>
      <c r="C91" s="5"/>
      <c r="D91" s="6"/>
      <c r="E91" s="86"/>
      <c r="F91" s="82"/>
      <c r="G91" s="86"/>
      <c r="H91" s="3"/>
      <c r="I91" s="8"/>
      <c r="J91" s="8"/>
      <c r="K91" s="8"/>
      <c r="L91" s="4"/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5" t="s">
        <v>92</v>
      </c>
      <c r="B92" s="5"/>
      <c r="C92" s="5"/>
      <c r="D92" s="6"/>
      <c r="E92" s="86" t="s">
        <v>170</v>
      </c>
      <c r="F92" s="82">
        <v>46059.0</v>
      </c>
      <c r="G92" s="86" t="s">
        <v>13</v>
      </c>
      <c r="H92" s="3"/>
      <c r="I92" s="8" t="s">
        <v>3</v>
      </c>
      <c r="L92" s="4"/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1"/>
      <c r="B93" s="3"/>
      <c r="C93" s="9"/>
      <c r="D93" s="3"/>
      <c r="E93" s="3"/>
      <c r="F93" s="3"/>
      <c r="G93" s="3"/>
      <c r="H93" s="3"/>
      <c r="I93" s="3"/>
      <c r="J93" s="3"/>
      <c r="K93" s="3"/>
      <c r="L93" s="4"/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5" t="s">
        <v>4</v>
      </c>
      <c r="B94" s="10" t="s">
        <v>5</v>
      </c>
      <c r="C94" s="11" t="s">
        <v>6</v>
      </c>
      <c r="D94" s="12" t="s">
        <v>7</v>
      </c>
      <c r="E94" s="10" t="s">
        <v>8</v>
      </c>
      <c r="F94" s="10" t="s">
        <v>9</v>
      </c>
      <c r="G94" s="3"/>
      <c r="H94" s="3"/>
      <c r="I94" s="10" t="s">
        <v>7</v>
      </c>
      <c r="J94" s="10" t="s">
        <v>8</v>
      </c>
      <c r="K94" s="10" t="s">
        <v>10</v>
      </c>
      <c r="L94" s="4"/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2.0</v>
      </c>
      <c r="B95" s="84" t="s">
        <v>38</v>
      </c>
      <c r="C95" s="85" t="s">
        <v>47</v>
      </c>
      <c r="D95" s="22">
        <v>12000.0</v>
      </c>
      <c r="E95" s="15">
        <f t="shared" ref="E95:E106" si="18">A95*D95</f>
        <v>24000</v>
      </c>
      <c r="F95" s="15">
        <f t="shared" ref="F95:F106" si="19">E95*1.105</f>
        <v>26520</v>
      </c>
      <c r="G95" s="3"/>
      <c r="H95" s="3" t="s">
        <v>13</v>
      </c>
      <c r="I95" s="87">
        <v>9000.0</v>
      </c>
      <c r="J95" s="15">
        <f t="shared" ref="J95:J106" si="20">I95*A95</f>
        <v>18000</v>
      </c>
      <c r="K95" s="15">
        <f t="shared" ref="K95:K106" si="21">F95-J95</f>
        <v>8520</v>
      </c>
      <c r="L95" s="23"/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2.0</v>
      </c>
      <c r="B96" s="84" t="s">
        <v>38</v>
      </c>
      <c r="C96" s="85" t="s">
        <v>45</v>
      </c>
      <c r="D96" s="22">
        <v>13000.0</v>
      </c>
      <c r="E96" s="15">
        <f t="shared" si="18"/>
        <v>26000</v>
      </c>
      <c r="F96" s="15">
        <f t="shared" si="19"/>
        <v>28730</v>
      </c>
      <c r="G96" s="3"/>
      <c r="H96" s="3" t="s">
        <v>13</v>
      </c>
      <c r="I96" s="87">
        <v>8000.0</v>
      </c>
      <c r="J96" s="15">
        <f t="shared" si="20"/>
        <v>16000</v>
      </c>
      <c r="K96" s="15">
        <f t="shared" si="21"/>
        <v>12730</v>
      </c>
      <c r="L96" s="23"/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1.0</v>
      </c>
      <c r="B97" s="84" t="s">
        <v>18</v>
      </c>
      <c r="C97" s="85" t="s">
        <v>241</v>
      </c>
      <c r="D97" s="22">
        <v>22000.0</v>
      </c>
      <c r="E97" s="15">
        <f t="shared" si="18"/>
        <v>22000</v>
      </c>
      <c r="F97" s="15">
        <f t="shared" si="19"/>
        <v>24310</v>
      </c>
      <c r="G97" s="3"/>
      <c r="H97" s="3" t="s">
        <v>13</v>
      </c>
      <c r="I97" s="87">
        <v>12000.0</v>
      </c>
      <c r="J97" s="15">
        <f t="shared" si="20"/>
        <v>12000</v>
      </c>
      <c r="K97" s="15">
        <f t="shared" si="21"/>
        <v>12310</v>
      </c>
      <c r="L97" s="23"/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10.0</v>
      </c>
      <c r="B98" s="84" t="s">
        <v>38</v>
      </c>
      <c r="C98" s="85" t="s">
        <v>46</v>
      </c>
      <c r="D98" s="22">
        <v>14000.0</v>
      </c>
      <c r="E98" s="15">
        <f t="shared" si="18"/>
        <v>140000</v>
      </c>
      <c r="F98" s="15">
        <f t="shared" si="19"/>
        <v>154700</v>
      </c>
      <c r="G98" s="3"/>
      <c r="H98" s="3" t="s">
        <v>13</v>
      </c>
      <c r="I98" s="87">
        <v>12000.0</v>
      </c>
      <c r="J98" s="15">
        <f t="shared" si="20"/>
        <v>120000</v>
      </c>
      <c r="K98" s="15">
        <f t="shared" si="21"/>
        <v>34700</v>
      </c>
      <c r="L98" s="23"/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1.0</v>
      </c>
      <c r="B99" s="84" t="s">
        <v>38</v>
      </c>
      <c r="C99" s="85" t="s">
        <v>67</v>
      </c>
      <c r="D99" s="22">
        <v>13000.0</v>
      </c>
      <c r="E99" s="15">
        <f t="shared" si="18"/>
        <v>13000</v>
      </c>
      <c r="F99" s="15">
        <f t="shared" si="19"/>
        <v>14365</v>
      </c>
      <c r="G99" s="3"/>
      <c r="H99" s="3" t="s">
        <v>13</v>
      </c>
      <c r="I99" s="87">
        <v>9500.0</v>
      </c>
      <c r="J99" s="15">
        <f t="shared" si="20"/>
        <v>9500</v>
      </c>
      <c r="K99" s="15">
        <f t="shared" si="21"/>
        <v>4865</v>
      </c>
      <c r="L99" s="23"/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1.0</v>
      </c>
      <c r="B100" s="84" t="s">
        <v>18</v>
      </c>
      <c r="C100" s="85" t="s">
        <v>24</v>
      </c>
      <c r="D100" s="22">
        <v>32000.0</v>
      </c>
      <c r="E100" s="15">
        <f t="shared" si="18"/>
        <v>32000</v>
      </c>
      <c r="F100" s="15">
        <f t="shared" si="19"/>
        <v>35360</v>
      </c>
      <c r="G100" s="3"/>
      <c r="H100" s="3" t="s">
        <v>13</v>
      </c>
      <c r="I100" s="87">
        <v>25000.0</v>
      </c>
      <c r="J100" s="15">
        <f t="shared" si="20"/>
        <v>25000</v>
      </c>
      <c r="K100" s="15">
        <f t="shared" si="21"/>
        <v>10360</v>
      </c>
      <c r="L100" s="23"/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1.0</v>
      </c>
      <c r="B101" s="84" t="s">
        <v>18</v>
      </c>
      <c r="C101" s="85" t="s">
        <v>19</v>
      </c>
      <c r="D101" s="22">
        <v>20000.0</v>
      </c>
      <c r="E101" s="15">
        <f t="shared" si="18"/>
        <v>20000</v>
      </c>
      <c r="F101" s="15">
        <f t="shared" si="19"/>
        <v>22100</v>
      </c>
      <c r="G101" s="3"/>
      <c r="H101" s="3" t="s">
        <v>13</v>
      </c>
      <c r="I101" s="87">
        <v>15000.0</v>
      </c>
      <c r="J101" s="15">
        <f t="shared" si="20"/>
        <v>15000</v>
      </c>
      <c r="K101" s="15">
        <f t="shared" si="21"/>
        <v>7100</v>
      </c>
      <c r="L101" s="23"/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2.0</v>
      </c>
      <c r="B102" s="84" t="s">
        <v>38</v>
      </c>
      <c r="C102" s="85" t="s">
        <v>180</v>
      </c>
      <c r="D102" s="22">
        <v>14000.0</v>
      </c>
      <c r="E102" s="15">
        <f t="shared" si="18"/>
        <v>28000</v>
      </c>
      <c r="F102" s="15">
        <f t="shared" si="19"/>
        <v>30940</v>
      </c>
      <c r="G102" s="3"/>
      <c r="H102" s="3" t="s">
        <v>13</v>
      </c>
      <c r="I102" s="87">
        <v>9000.0</v>
      </c>
      <c r="J102" s="15">
        <f t="shared" si="20"/>
        <v>18000</v>
      </c>
      <c r="K102" s="15">
        <f t="shared" si="21"/>
        <v>12940</v>
      </c>
      <c r="L102" s="23"/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2.0</v>
      </c>
      <c r="B103" s="84" t="s">
        <v>18</v>
      </c>
      <c r="C103" s="85" t="s">
        <v>237</v>
      </c>
      <c r="D103" s="22">
        <v>22000.0</v>
      </c>
      <c r="E103" s="15">
        <f t="shared" si="18"/>
        <v>44000</v>
      </c>
      <c r="F103" s="15">
        <f t="shared" si="19"/>
        <v>48620</v>
      </c>
      <c r="G103" s="3"/>
      <c r="H103" s="3" t="s">
        <v>13</v>
      </c>
      <c r="I103" s="87">
        <f>192000/3</f>
        <v>64000</v>
      </c>
      <c r="J103" s="15">
        <f t="shared" si="20"/>
        <v>128000</v>
      </c>
      <c r="K103" s="15">
        <f t="shared" si="21"/>
        <v>-79380</v>
      </c>
      <c r="L103" s="23"/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2.0</v>
      </c>
      <c r="B104" s="84" t="s">
        <v>18</v>
      </c>
      <c r="C104" s="85" t="s">
        <v>242</v>
      </c>
      <c r="D104" s="22">
        <v>26000.0</v>
      </c>
      <c r="E104" s="15">
        <f t="shared" si="18"/>
        <v>52000</v>
      </c>
      <c r="F104" s="15">
        <f t="shared" si="19"/>
        <v>57460</v>
      </c>
      <c r="G104" s="3"/>
      <c r="H104" s="3" t="s">
        <v>13</v>
      </c>
      <c r="I104" s="87">
        <v>18000.0</v>
      </c>
      <c r="J104" s="15">
        <f t="shared" si="20"/>
        <v>36000</v>
      </c>
      <c r="K104" s="15">
        <f t="shared" si="21"/>
        <v>21460</v>
      </c>
      <c r="L104" s="23"/>
      <c r="M104" s="1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2.0</v>
      </c>
      <c r="B105" s="84" t="s">
        <v>38</v>
      </c>
      <c r="C105" s="85" t="s">
        <v>28</v>
      </c>
      <c r="D105" s="22">
        <v>3000.0</v>
      </c>
      <c r="E105" s="15">
        <f t="shared" si="18"/>
        <v>6000</v>
      </c>
      <c r="F105" s="15">
        <f t="shared" si="19"/>
        <v>6630</v>
      </c>
      <c r="G105" s="3"/>
      <c r="H105" s="3" t="s">
        <v>13</v>
      </c>
      <c r="I105" s="87">
        <v>2000.0</v>
      </c>
      <c r="J105" s="15">
        <f t="shared" si="20"/>
        <v>4000</v>
      </c>
      <c r="K105" s="15">
        <f t="shared" si="21"/>
        <v>2630</v>
      </c>
      <c r="L105" s="23"/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83">
        <v>2.0</v>
      </c>
      <c r="B106" s="84" t="s">
        <v>18</v>
      </c>
      <c r="C106" s="85" t="s">
        <v>77</v>
      </c>
      <c r="D106" s="22">
        <v>12000.0</v>
      </c>
      <c r="E106" s="15">
        <f t="shared" si="18"/>
        <v>24000</v>
      </c>
      <c r="F106" s="15">
        <f t="shared" si="19"/>
        <v>26520</v>
      </c>
      <c r="G106" s="3"/>
      <c r="H106" s="3" t="s">
        <v>13</v>
      </c>
      <c r="I106" s="87">
        <f>72000/8</f>
        <v>9000</v>
      </c>
      <c r="J106" s="15">
        <f t="shared" si="20"/>
        <v>18000</v>
      </c>
      <c r="K106" s="15">
        <f t="shared" si="21"/>
        <v>8520</v>
      </c>
      <c r="L106" s="23"/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13"/>
      <c r="B107" s="12"/>
      <c r="C107" s="14"/>
      <c r="D107" s="15"/>
      <c r="E107" s="3"/>
      <c r="F107" s="3"/>
      <c r="G107" s="3"/>
      <c r="H107" s="3"/>
      <c r="I107" s="3"/>
      <c r="J107" s="3"/>
      <c r="K107" s="3"/>
      <c r="L107" s="23"/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13"/>
      <c r="B108" s="12"/>
      <c r="C108" s="14"/>
      <c r="D108" s="15"/>
      <c r="E108" s="15">
        <f t="shared" ref="E108:F108" si="22">SUM(E95:E106)</f>
        <v>431000</v>
      </c>
      <c r="F108" s="15">
        <f t="shared" si="22"/>
        <v>476255</v>
      </c>
      <c r="G108" s="3"/>
      <c r="H108" s="3"/>
      <c r="I108" s="3"/>
      <c r="J108" s="3"/>
      <c r="K108" s="15">
        <f>SUM(K95:K106)</f>
        <v>56755</v>
      </c>
      <c r="L108" s="23">
        <f>K108/F108</f>
        <v>0.1191693526</v>
      </c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5"/>
      <c r="B109" s="5"/>
      <c r="C109" s="5"/>
      <c r="D109" s="6"/>
      <c r="E109" s="86"/>
      <c r="F109" s="82"/>
      <c r="G109" s="6"/>
      <c r="H109" s="3"/>
      <c r="I109" s="8"/>
      <c r="J109" s="8"/>
      <c r="K109" s="8"/>
      <c r="L109" s="4"/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26" t="s">
        <v>60</v>
      </c>
      <c r="B110" s="27">
        <v>0.04</v>
      </c>
      <c r="C110" s="2"/>
      <c r="D110" s="3"/>
      <c r="E110" s="15">
        <f>E108*0.04</f>
        <v>17240</v>
      </c>
      <c r="F110" s="3"/>
      <c r="G110" s="2"/>
      <c r="H110" s="3"/>
      <c r="I110" s="3"/>
      <c r="J110" s="3"/>
      <c r="K110" s="3"/>
      <c r="L110" s="4"/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5"/>
      <c r="B111" s="5"/>
      <c r="C111" s="5"/>
      <c r="D111" s="6"/>
      <c r="E111" s="86"/>
      <c r="F111" s="82"/>
      <c r="G111" s="6"/>
      <c r="H111" s="3"/>
      <c r="I111" s="8"/>
      <c r="J111" s="8"/>
      <c r="K111" s="8"/>
      <c r="L111" s="4"/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5"/>
      <c r="B112" s="5"/>
      <c r="C112" s="5"/>
      <c r="D112" s="6"/>
      <c r="E112" s="86"/>
      <c r="F112" s="82"/>
      <c r="G112" s="6"/>
      <c r="H112" s="3"/>
      <c r="I112" s="8"/>
      <c r="J112" s="8"/>
      <c r="K112" s="8"/>
      <c r="L112" s="4"/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5" t="s">
        <v>0</v>
      </c>
      <c r="B113" s="5"/>
      <c r="C113" s="5"/>
      <c r="D113" s="6"/>
      <c r="E113" s="86" t="s">
        <v>243</v>
      </c>
      <c r="F113" s="82">
        <v>46059.0</v>
      </c>
      <c r="G113" s="6"/>
      <c r="H113" s="3"/>
      <c r="I113" s="8" t="s">
        <v>3</v>
      </c>
      <c r="L113" s="4"/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1"/>
      <c r="B114" s="3"/>
      <c r="C114" s="9"/>
      <c r="D114" s="3"/>
      <c r="E114" s="3"/>
      <c r="F114" s="3"/>
      <c r="G114" s="3"/>
      <c r="H114" s="3"/>
      <c r="I114" s="3"/>
      <c r="J114" s="3"/>
      <c r="K114" s="3"/>
      <c r="L114" s="4"/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5" t="s">
        <v>4</v>
      </c>
      <c r="B115" s="10" t="s">
        <v>5</v>
      </c>
      <c r="C115" s="11" t="s">
        <v>6</v>
      </c>
      <c r="D115" s="12" t="s">
        <v>7</v>
      </c>
      <c r="E115" s="10" t="s">
        <v>8</v>
      </c>
      <c r="F115" s="10" t="s">
        <v>9</v>
      </c>
      <c r="G115" s="3"/>
      <c r="H115" s="3"/>
      <c r="I115" s="10" t="s">
        <v>7</v>
      </c>
      <c r="J115" s="10" t="s">
        <v>8</v>
      </c>
      <c r="K115" s="10" t="s">
        <v>10</v>
      </c>
      <c r="L115" s="4"/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83">
        <v>1.0</v>
      </c>
      <c r="B116" s="84" t="s">
        <v>29</v>
      </c>
      <c r="C116" s="85" t="s">
        <v>30</v>
      </c>
      <c r="D116" s="22">
        <v>63000.0</v>
      </c>
      <c r="E116" s="15">
        <f t="shared" ref="E116:E128" si="23">A116*D116</f>
        <v>63000</v>
      </c>
      <c r="F116" s="15">
        <f t="shared" ref="F116:F128" si="24">E116*1.105</f>
        <v>69615</v>
      </c>
      <c r="G116" s="3"/>
      <c r="H116" s="3"/>
      <c r="I116" s="87">
        <v>40000.0</v>
      </c>
      <c r="J116" s="15">
        <f t="shared" ref="J116:J128" si="25">I116*A116</f>
        <v>40000</v>
      </c>
      <c r="K116" s="15">
        <f t="shared" ref="K116:K128" si="26">F116-J116</f>
        <v>29615</v>
      </c>
      <c r="L116" s="4"/>
      <c r="M116" s="20"/>
      <c r="N116" s="21"/>
      <c r="P116" s="21"/>
      <c r="Q116" s="21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>
        <v>2.0</v>
      </c>
      <c r="B117" s="84" t="s">
        <v>18</v>
      </c>
      <c r="C117" s="85" t="s">
        <v>213</v>
      </c>
      <c r="D117" s="22">
        <v>35000.0</v>
      </c>
      <c r="E117" s="15">
        <f t="shared" si="23"/>
        <v>70000</v>
      </c>
      <c r="F117" s="15">
        <f t="shared" si="24"/>
        <v>77350</v>
      </c>
      <c r="G117" s="3"/>
      <c r="H117" s="3"/>
      <c r="I117" s="87">
        <v>0.0</v>
      </c>
      <c r="J117" s="15">
        <f t="shared" si="25"/>
        <v>0</v>
      </c>
      <c r="K117" s="15">
        <f t="shared" si="26"/>
        <v>77350</v>
      </c>
      <c r="L117" s="4"/>
      <c r="M117" s="20"/>
      <c r="N117" s="21"/>
      <c r="P117" s="21"/>
      <c r="Q117" s="21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83">
        <v>1.0</v>
      </c>
      <c r="B118" s="84" t="s">
        <v>18</v>
      </c>
      <c r="C118" s="85" t="s">
        <v>39</v>
      </c>
      <c r="D118" s="22">
        <v>22000.0</v>
      </c>
      <c r="E118" s="15">
        <f t="shared" si="23"/>
        <v>22000</v>
      </c>
      <c r="F118" s="15">
        <f t="shared" si="24"/>
        <v>24310</v>
      </c>
      <c r="G118" s="3"/>
      <c r="H118" s="3"/>
      <c r="I118" s="87">
        <v>18000.0</v>
      </c>
      <c r="J118" s="15">
        <f t="shared" si="25"/>
        <v>18000</v>
      </c>
      <c r="K118" s="15">
        <f t="shared" si="26"/>
        <v>6310</v>
      </c>
      <c r="L118" s="4"/>
      <c r="M118" s="20"/>
      <c r="N118" s="21"/>
      <c r="P118" s="21"/>
      <c r="Q118" s="21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1.0</v>
      </c>
      <c r="B119" s="84" t="s">
        <v>29</v>
      </c>
      <c r="C119" s="85" t="s">
        <v>214</v>
      </c>
      <c r="D119" s="22">
        <v>35000.0</v>
      </c>
      <c r="E119" s="15">
        <f t="shared" si="23"/>
        <v>35000</v>
      </c>
      <c r="F119" s="15">
        <f t="shared" si="24"/>
        <v>38675</v>
      </c>
      <c r="G119" s="3"/>
      <c r="H119" s="3"/>
      <c r="I119" s="87">
        <v>24000.0</v>
      </c>
      <c r="J119" s="15">
        <f t="shared" si="25"/>
        <v>24000</v>
      </c>
      <c r="K119" s="15">
        <f t="shared" si="26"/>
        <v>14675</v>
      </c>
      <c r="L119" s="4"/>
      <c r="M119" s="17"/>
      <c r="N119" s="18"/>
      <c r="O119" s="19"/>
      <c r="P119" s="18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83">
        <v>2.0</v>
      </c>
      <c r="B120" s="84" t="s">
        <v>18</v>
      </c>
      <c r="C120" s="85" t="s">
        <v>19</v>
      </c>
      <c r="D120" s="22">
        <v>18000.0</v>
      </c>
      <c r="E120" s="15">
        <f t="shared" si="23"/>
        <v>36000</v>
      </c>
      <c r="F120" s="15">
        <f t="shared" si="24"/>
        <v>39780</v>
      </c>
      <c r="G120" s="3"/>
      <c r="H120" s="3"/>
      <c r="I120" s="87">
        <v>15000.0</v>
      </c>
      <c r="J120" s="15">
        <f t="shared" si="25"/>
        <v>30000</v>
      </c>
      <c r="K120" s="15">
        <f t="shared" si="26"/>
        <v>9780</v>
      </c>
      <c r="L120" s="4"/>
      <c r="M120" s="20"/>
      <c r="N120" s="18"/>
      <c r="O120" s="19"/>
      <c r="P120" s="21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83">
        <v>1.0</v>
      </c>
      <c r="B121" s="84" t="s">
        <v>18</v>
      </c>
      <c r="C121" s="85" t="s">
        <v>20</v>
      </c>
      <c r="D121" s="22">
        <v>30000.0</v>
      </c>
      <c r="E121" s="15">
        <f t="shared" si="23"/>
        <v>30000</v>
      </c>
      <c r="F121" s="15">
        <f t="shared" si="24"/>
        <v>33150</v>
      </c>
      <c r="G121" s="3"/>
      <c r="H121" s="3"/>
      <c r="I121" s="87">
        <v>15000.0</v>
      </c>
      <c r="J121" s="15">
        <f t="shared" si="25"/>
        <v>15000</v>
      </c>
      <c r="K121" s="15">
        <f t="shared" si="26"/>
        <v>18150</v>
      </c>
      <c r="L121" s="4"/>
      <c r="M121" s="20"/>
      <c r="N121" s="18"/>
      <c r="O121" s="19"/>
      <c r="P121" s="21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83">
        <v>1.0</v>
      </c>
      <c r="B122" s="84" t="s">
        <v>18</v>
      </c>
      <c r="C122" s="85" t="s">
        <v>24</v>
      </c>
      <c r="D122" s="22">
        <v>40000.0</v>
      </c>
      <c r="E122" s="15">
        <f t="shared" si="23"/>
        <v>40000</v>
      </c>
      <c r="F122" s="15">
        <f t="shared" si="24"/>
        <v>44200</v>
      </c>
      <c r="G122" s="3"/>
      <c r="H122" s="3"/>
      <c r="I122" s="87">
        <v>25000.0</v>
      </c>
      <c r="J122" s="15">
        <f t="shared" si="25"/>
        <v>25000</v>
      </c>
      <c r="K122" s="15">
        <f t="shared" si="26"/>
        <v>19200</v>
      </c>
      <c r="L122" s="4"/>
      <c r="M122" s="20"/>
      <c r="N122" s="21"/>
      <c r="P122" s="21"/>
      <c r="Q122" s="21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83">
        <v>1.0</v>
      </c>
      <c r="B123" s="84" t="s">
        <v>18</v>
      </c>
      <c r="C123" s="85" t="s">
        <v>24</v>
      </c>
      <c r="D123" s="22">
        <v>40000.0</v>
      </c>
      <c r="E123" s="15">
        <f t="shared" si="23"/>
        <v>40000</v>
      </c>
      <c r="F123" s="15">
        <f t="shared" si="24"/>
        <v>44200</v>
      </c>
      <c r="G123" s="86" t="s">
        <v>38</v>
      </c>
      <c r="H123" s="3"/>
      <c r="I123" s="87">
        <v>0.0</v>
      </c>
      <c r="J123" s="15">
        <f t="shared" si="25"/>
        <v>0</v>
      </c>
      <c r="K123" s="15">
        <f t="shared" si="26"/>
        <v>44200</v>
      </c>
      <c r="L123" s="4"/>
      <c r="M123" s="20"/>
      <c r="N123" s="21"/>
      <c r="P123" s="21"/>
      <c r="Q123" s="21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83">
        <v>1.0</v>
      </c>
      <c r="B124" s="84" t="s">
        <v>18</v>
      </c>
      <c r="C124" s="85" t="s">
        <v>20</v>
      </c>
      <c r="D124" s="22">
        <v>30000.0</v>
      </c>
      <c r="E124" s="15">
        <f t="shared" si="23"/>
        <v>30000</v>
      </c>
      <c r="F124" s="15">
        <f t="shared" si="24"/>
        <v>33150</v>
      </c>
      <c r="G124" s="86" t="s">
        <v>38</v>
      </c>
      <c r="H124" s="3"/>
      <c r="I124" s="87">
        <v>0.0</v>
      </c>
      <c r="J124" s="15">
        <f t="shared" si="25"/>
        <v>0</v>
      </c>
      <c r="K124" s="15">
        <f t="shared" si="26"/>
        <v>33150</v>
      </c>
      <c r="L124" s="4"/>
      <c r="M124" s="20"/>
      <c r="N124" s="21"/>
      <c r="P124" s="21"/>
      <c r="Q124" s="21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3">
        <v>1.0</v>
      </c>
      <c r="B125" s="84" t="s">
        <v>18</v>
      </c>
      <c r="C125" s="85" t="s">
        <v>19</v>
      </c>
      <c r="D125" s="22">
        <v>18000.0</v>
      </c>
      <c r="E125" s="15">
        <f t="shared" si="23"/>
        <v>18000</v>
      </c>
      <c r="F125" s="15">
        <f t="shared" si="24"/>
        <v>19890</v>
      </c>
      <c r="G125" s="86" t="s">
        <v>38</v>
      </c>
      <c r="H125" s="3"/>
      <c r="I125" s="87">
        <v>0.0</v>
      </c>
      <c r="J125" s="15">
        <f t="shared" si="25"/>
        <v>0</v>
      </c>
      <c r="K125" s="15">
        <f t="shared" si="26"/>
        <v>19890</v>
      </c>
      <c r="L125" s="4"/>
      <c r="M125" s="17"/>
      <c r="N125" s="18"/>
      <c r="O125" s="19"/>
      <c r="P125" s="18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3">
        <v>1.0</v>
      </c>
      <c r="B126" s="84" t="s">
        <v>29</v>
      </c>
      <c r="C126" s="85" t="s">
        <v>214</v>
      </c>
      <c r="D126" s="22">
        <v>35000.0</v>
      </c>
      <c r="E126" s="15">
        <f t="shared" si="23"/>
        <v>35000</v>
      </c>
      <c r="F126" s="15">
        <f t="shared" si="24"/>
        <v>38675</v>
      </c>
      <c r="G126" s="86" t="s">
        <v>38</v>
      </c>
      <c r="H126" s="3"/>
      <c r="I126" s="87">
        <v>0.0</v>
      </c>
      <c r="J126" s="15">
        <f t="shared" si="25"/>
        <v>0</v>
      </c>
      <c r="K126" s="15">
        <f t="shared" si="26"/>
        <v>38675</v>
      </c>
      <c r="L126" s="4"/>
      <c r="M126" s="17"/>
      <c r="N126" s="18"/>
      <c r="O126" s="19"/>
      <c r="P126" s="18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>
        <v>1.0</v>
      </c>
      <c r="B127" s="84" t="s">
        <v>29</v>
      </c>
      <c r="C127" s="85" t="s">
        <v>30</v>
      </c>
      <c r="D127" s="22">
        <v>63000.0</v>
      </c>
      <c r="E127" s="15">
        <f t="shared" si="23"/>
        <v>63000</v>
      </c>
      <c r="F127" s="15">
        <f t="shared" si="24"/>
        <v>69615</v>
      </c>
      <c r="G127" s="86" t="s">
        <v>41</v>
      </c>
      <c r="H127" s="3"/>
      <c r="I127" s="87">
        <v>0.0</v>
      </c>
      <c r="J127" s="15">
        <f t="shared" si="25"/>
        <v>0</v>
      </c>
      <c r="K127" s="15">
        <f t="shared" si="26"/>
        <v>69615</v>
      </c>
      <c r="L127" s="4"/>
      <c r="M127" s="17"/>
      <c r="N127" s="18"/>
      <c r="O127" s="19"/>
      <c r="P127" s="18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>
        <v>3.0</v>
      </c>
      <c r="B128" s="84" t="s">
        <v>18</v>
      </c>
      <c r="C128" s="85" t="s">
        <v>201</v>
      </c>
      <c r="D128" s="22">
        <v>34000.0</v>
      </c>
      <c r="E128" s="15">
        <f t="shared" si="23"/>
        <v>102000</v>
      </c>
      <c r="F128" s="15">
        <f t="shared" si="24"/>
        <v>112710</v>
      </c>
      <c r="G128" s="86" t="s">
        <v>41</v>
      </c>
      <c r="H128" s="3"/>
      <c r="I128" s="87">
        <v>0.0</v>
      </c>
      <c r="J128" s="15">
        <f t="shared" si="25"/>
        <v>0</v>
      </c>
      <c r="K128" s="15">
        <f t="shared" si="26"/>
        <v>112710</v>
      </c>
      <c r="L128" s="4"/>
      <c r="M128" s="17"/>
      <c r="N128" s="18"/>
      <c r="O128" s="19"/>
      <c r="P128" s="18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3"/>
      <c r="B129" s="12"/>
      <c r="C129" s="14"/>
      <c r="D129" s="15"/>
      <c r="E129" s="3"/>
      <c r="F129" s="3"/>
      <c r="G129" s="3"/>
      <c r="H129" s="3"/>
      <c r="I129" s="3"/>
      <c r="J129" s="3"/>
      <c r="K129" s="3"/>
      <c r="L129" s="4"/>
      <c r="N129" s="21"/>
      <c r="P129" s="21"/>
      <c r="Q129" s="21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13"/>
      <c r="B130" s="12"/>
      <c r="C130" s="14"/>
      <c r="D130" s="15"/>
      <c r="E130" s="15">
        <f t="shared" ref="E130:F130" si="27">SUM(E116:E128)</f>
        <v>584000</v>
      </c>
      <c r="F130" s="15">
        <f t="shared" si="27"/>
        <v>645320</v>
      </c>
      <c r="G130" s="3"/>
      <c r="H130" s="3"/>
      <c r="I130" s="3"/>
      <c r="J130" s="3"/>
      <c r="K130" s="15">
        <f>SUM(K116:K128)</f>
        <v>493320</v>
      </c>
      <c r="L130" s="23">
        <f>K130/F130</f>
        <v>0.7644579433</v>
      </c>
      <c r="M130" s="2"/>
      <c r="N130" s="21"/>
      <c r="P130" s="21"/>
      <c r="Q130" s="21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21"/>
      <c r="P131" s="21"/>
      <c r="Q131" s="21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88" t="s">
        <v>244</v>
      </c>
      <c r="B132" s="5"/>
      <c r="C132" s="5"/>
      <c r="D132" s="6"/>
      <c r="E132" s="86" t="s">
        <v>81</v>
      </c>
      <c r="F132" s="82">
        <v>46059.0</v>
      </c>
      <c r="G132" s="86" t="s">
        <v>13</v>
      </c>
      <c r="H132" s="3"/>
      <c r="I132" s="8" t="s">
        <v>3</v>
      </c>
      <c r="L132" s="4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1"/>
      <c r="B133" s="3"/>
      <c r="C133" s="9"/>
      <c r="D133" s="3"/>
      <c r="E133" s="3"/>
      <c r="F133" s="3"/>
      <c r="G133" s="3"/>
      <c r="H133" s="3"/>
      <c r="I133" s="3"/>
      <c r="J133" s="3"/>
      <c r="K133" s="3"/>
      <c r="L133" s="4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5" t="s">
        <v>4</v>
      </c>
      <c r="B134" s="10" t="s">
        <v>5</v>
      </c>
      <c r="C134" s="11" t="s">
        <v>6</v>
      </c>
      <c r="D134" s="12" t="s">
        <v>7</v>
      </c>
      <c r="E134" s="10" t="s">
        <v>8</v>
      </c>
      <c r="F134" s="10" t="s">
        <v>9</v>
      </c>
      <c r="G134" s="3"/>
      <c r="H134" s="3"/>
      <c r="I134" s="10" t="s">
        <v>7</v>
      </c>
      <c r="J134" s="10" t="s">
        <v>8</v>
      </c>
      <c r="K134" s="10" t="s">
        <v>10</v>
      </c>
      <c r="L134" s="4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3">
        <v>7.0</v>
      </c>
      <c r="B135" s="84" t="s">
        <v>33</v>
      </c>
      <c r="C135" s="85" t="s">
        <v>72</v>
      </c>
      <c r="D135" s="22">
        <v>3200.0</v>
      </c>
      <c r="E135" s="15">
        <f t="shared" ref="E135:E148" si="28">A135*D135</f>
        <v>22400</v>
      </c>
      <c r="F135" s="15">
        <f t="shared" ref="F135:F148" si="29">E135*1.105</f>
        <v>24752</v>
      </c>
      <c r="G135" s="3"/>
      <c r="H135" s="3" t="s">
        <v>13</v>
      </c>
      <c r="I135" s="87">
        <f>38000/16</f>
        <v>2375</v>
      </c>
      <c r="J135" s="15">
        <f t="shared" ref="J135:J148" si="30">I135*A135</f>
        <v>16625</v>
      </c>
      <c r="K135" s="15">
        <f t="shared" ref="K135:K148" si="31">F135-J135</f>
        <v>8127</v>
      </c>
      <c r="L135" s="4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83">
        <v>1.0</v>
      </c>
      <c r="B136" s="84" t="s">
        <v>33</v>
      </c>
      <c r="C136" s="85" t="s">
        <v>30</v>
      </c>
      <c r="D136" s="22">
        <v>3500.0</v>
      </c>
      <c r="E136" s="15">
        <f t="shared" si="28"/>
        <v>3500</v>
      </c>
      <c r="F136" s="15">
        <f t="shared" si="29"/>
        <v>3867.5</v>
      </c>
      <c r="G136" s="3"/>
      <c r="H136" s="3" t="s">
        <v>13</v>
      </c>
      <c r="I136" s="87">
        <f>40000/18</f>
        <v>2222.222222</v>
      </c>
      <c r="J136" s="15">
        <f t="shared" si="30"/>
        <v>2222.222222</v>
      </c>
      <c r="K136" s="15">
        <f t="shared" si="31"/>
        <v>1645.277778</v>
      </c>
      <c r="L136" s="4"/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83">
        <v>10.0</v>
      </c>
      <c r="B137" s="84" t="s">
        <v>5</v>
      </c>
      <c r="C137" s="85" t="s">
        <v>87</v>
      </c>
      <c r="D137" s="22">
        <v>1300.0</v>
      </c>
      <c r="E137" s="15">
        <f t="shared" si="28"/>
        <v>13000</v>
      </c>
      <c r="F137" s="15">
        <f t="shared" si="29"/>
        <v>14365</v>
      </c>
      <c r="G137" s="3"/>
      <c r="H137" s="3" t="s">
        <v>13</v>
      </c>
      <c r="I137" s="87">
        <f>64000/80</f>
        <v>800</v>
      </c>
      <c r="J137" s="15">
        <f t="shared" si="30"/>
        <v>8000</v>
      </c>
      <c r="K137" s="15">
        <f t="shared" si="31"/>
        <v>6365</v>
      </c>
      <c r="L137" s="4"/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83">
        <v>1.0</v>
      </c>
      <c r="B138" s="84" t="s">
        <v>33</v>
      </c>
      <c r="C138" s="85" t="s">
        <v>67</v>
      </c>
      <c r="D138" s="22">
        <v>900.0</v>
      </c>
      <c r="E138" s="15">
        <f t="shared" si="28"/>
        <v>900</v>
      </c>
      <c r="F138" s="15">
        <f t="shared" si="29"/>
        <v>994.5</v>
      </c>
      <c r="G138" s="3"/>
      <c r="H138" s="3" t="s">
        <v>13</v>
      </c>
      <c r="I138" s="87">
        <f>9500/17</f>
        <v>558.8235294</v>
      </c>
      <c r="J138" s="15">
        <f t="shared" si="30"/>
        <v>558.8235294</v>
      </c>
      <c r="K138" s="15">
        <f t="shared" si="31"/>
        <v>435.6764706</v>
      </c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83">
        <v>0.6</v>
      </c>
      <c r="B139" s="84" t="s">
        <v>33</v>
      </c>
      <c r="C139" s="85" t="s">
        <v>19</v>
      </c>
      <c r="D139" s="22">
        <v>1500.0</v>
      </c>
      <c r="E139" s="15">
        <f t="shared" si="28"/>
        <v>900</v>
      </c>
      <c r="F139" s="15">
        <f t="shared" si="29"/>
        <v>994.5</v>
      </c>
      <c r="G139" s="3"/>
      <c r="H139" s="3"/>
      <c r="I139" s="87">
        <f>15000/15</f>
        <v>1000</v>
      </c>
      <c r="J139" s="15">
        <f t="shared" si="30"/>
        <v>600</v>
      </c>
      <c r="K139" s="15">
        <f t="shared" si="31"/>
        <v>394.5</v>
      </c>
      <c r="L139" s="4"/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83">
        <v>2.0</v>
      </c>
      <c r="B140" s="84" t="s">
        <v>33</v>
      </c>
      <c r="C140" s="85" t="s">
        <v>31</v>
      </c>
      <c r="D140" s="22">
        <v>2500.0</v>
      </c>
      <c r="E140" s="15">
        <f t="shared" si="28"/>
        <v>5000</v>
      </c>
      <c r="F140" s="15">
        <f t="shared" si="29"/>
        <v>5525</v>
      </c>
      <c r="G140" s="3"/>
      <c r="H140" s="3"/>
      <c r="I140" s="87">
        <f>25000/17</f>
        <v>1470.588235</v>
      </c>
      <c r="J140" s="15">
        <f t="shared" si="30"/>
        <v>2941.176471</v>
      </c>
      <c r="K140" s="15">
        <f t="shared" si="31"/>
        <v>2583.823529</v>
      </c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83">
        <v>1.0</v>
      </c>
      <c r="B141" s="84" t="s">
        <v>33</v>
      </c>
      <c r="C141" s="85" t="s">
        <v>53</v>
      </c>
      <c r="D141" s="22">
        <v>12000.0</v>
      </c>
      <c r="E141" s="15">
        <f t="shared" si="28"/>
        <v>12000</v>
      </c>
      <c r="F141" s="15">
        <f t="shared" si="29"/>
        <v>13260</v>
      </c>
      <c r="G141" s="3"/>
      <c r="H141" s="3"/>
      <c r="I141" s="87">
        <f>65000/7</f>
        <v>9285.714286</v>
      </c>
      <c r="J141" s="15">
        <f t="shared" si="30"/>
        <v>9285.714286</v>
      </c>
      <c r="K141" s="15">
        <f t="shared" si="31"/>
        <v>3974.285714</v>
      </c>
      <c r="L141" s="4"/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83">
        <v>5.0</v>
      </c>
      <c r="B142" s="84" t="s">
        <v>18</v>
      </c>
      <c r="C142" s="85" t="s">
        <v>39</v>
      </c>
      <c r="D142" s="22">
        <v>16000.0</v>
      </c>
      <c r="E142" s="15">
        <f t="shared" si="28"/>
        <v>80000</v>
      </c>
      <c r="F142" s="15">
        <f t="shared" si="29"/>
        <v>88400</v>
      </c>
      <c r="G142" s="3"/>
      <c r="H142" s="3" t="s">
        <v>13</v>
      </c>
      <c r="I142" s="87">
        <v>13000.0</v>
      </c>
      <c r="J142" s="15">
        <f t="shared" si="30"/>
        <v>65000</v>
      </c>
      <c r="K142" s="15">
        <f t="shared" si="31"/>
        <v>23400</v>
      </c>
      <c r="L142" s="4"/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83">
        <v>1.0</v>
      </c>
      <c r="B143" s="84" t="s">
        <v>33</v>
      </c>
      <c r="C143" s="85" t="s">
        <v>48</v>
      </c>
      <c r="D143" s="22">
        <v>3500.0</v>
      </c>
      <c r="E143" s="15">
        <f t="shared" si="28"/>
        <v>3500</v>
      </c>
      <c r="F143" s="15">
        <f t="shared" si="29"/>
        <v>3867.5</v>
      </c>
      <c r="G143" s="3"/>
      <c r="H143" s="86" t="s">
        <v>59</v>
      </c>
      <c r="I143" s="87">
        <v>0.0</v>
      </c>
      <c r="J143" s="15">
        <f t="shared" si="30"/>
        <v>0</v>
      </c>
      <c r="K143" s="15">
        <f t="shared" si="31"/>
        <v>3867.5</v>
      </c>
      <c r="L143" s="4"/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83">
        <v>2.0</v>
      </c>
      <c r="B144" s="84" t="s">
        <v>33</v>
      </c>
      <c r="C144" s="85" t="s">
        <v>202</v>
      </c>
      <c r="D144" s="22">
        <v>3500.0</v>
      </c>
      <c r="E144" s="15">
        <f t="shared" si="28"/>
        <v>7000</v>
      </c>
      <c r="F144" s="15">
        <f t="shared" si="29"/>
        <v>7735</v>
      </c>
      <c r="G144" s="3"/>
      <c r="H144" s="86" t="s">
        <v>13</v>
      </c>
      <c r="I144" s="87">
        <f>15000/8</f>
        <v>1875</v>
      </c>
      <c r="J144" s="15">
        <f t="shared" si="30"/>
        <v>3750</v>
      </c>
      <c r="K144" s="15">
        <f t="shared" si="31"/>
        <v>3985</v>
      </c>
      <c r="L144" s="4"/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83">
        <v>2.0</v>
      </c>
      <c r="B145" s="84" t="s">
        <v>50</v>
      </c>
      <c r="C145" s="85" t="s">
        <v>65</v>
      </c>
      <c r="D145" s="22">
        <v>500.0</v>
      </c>
      <c r="E145" s="15">
        <f t="shared" si="28"/>
        <v>1000</v>
      </c>
      <c r="F145" s="15">
        <f t="shared" si="29"/>
        <v>1105</v>
      </c>
      <c r="G145" s="3"/>
      <c r="H145" s="3" t="s">
        <v>13</v>
      </c>
      <c r="I145" s="87">
        <f>6000/24</f>
        <v>250</v>
      </c>
      <c r="J145" s="15">
        <f t="shared" si="30"/>
        <v>500</v>
      </c>
      <c r="K145" s="15">
        <f t="shared" si="31"/>
        <v>605</v>
      </c>
      <c r="L145" s="4"/>
      <c r="M145" s="2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83">
        <v>1.0</v>
      </c>
      <c r="B146" s="84" t="s">
        <v>33</v>
      </c>
      <c r="C146" s="85" t="s">
        <v>245</v>
      </c>
      <c r="D146" s="22">
        <v>9000.0</v>
      </c>
      <c r="E146" s="15">
        <f t="shared" si="28"/>
        <v>9000</v>
      </c>
      <c r="F146" s="15">
        <f t="shared" si="29"/>
        <v>9945</v>
      </c>
      <c r="G146" s="3"/>
      <c r="H146" s="3" t="s">
        <v>13</v>
      </c>
      <c r="I146" s="87">
        <f>35000/4</f>
        <v>8750</v>
      </c>
      <c r="J146" s="15">
        <f t="shared" si="30"/>
        <v>8750</v>
      </c>
      <c r="K146" s="15">
        <f t="shared" si="31"/>
        <v>1195</v>
      </c>
      <c r="L146" s="4"/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83">
        <v>0.5</v>
      </c>
      <c r="B147" s="84" t="s">
        <v>33</v>
      </c>
      <c r="C147" s="85" t="s">
        <v>246</v>
      </c>
      <c r="D147" s="22">
        <v>6000.0</v>
      </c>
      <c r="E147" s="15">
        <f t="shared" si="28"/>
        <v>3000</v>
      </c>
      <c r="F147" s="15">
        <f t="shared" si="29"/>
        <v>3315</v>
      </c>
      <c r="G147" s="3"/>
      <c r="H147" s="86" t="s">
        <v>193</v>
      </c>
      <c r="I147" s="87"/>
      <c r="J147" s="15">
        <f t="shared" si="30"/>
        <v>0</v>
      </c>
      <c r="K147" s="15">
        <f t="shared" si="31"/>
        <v>3315</v>
      </c>
      <c r="L147" s="4"/>
      <c r="M147" s="2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83">
        <v>1.0</v>
      </c>
      <c r="B148" s="84" t="s">
        <v>50</v>
      </c>
      <c r="C148" s="85" t="s">
        <v>205</v>
      </c>
      <c r="D148" s="22">
        <v>3000.0</v>
      </c>
      <c r="E148" s="15">
        <f t="shared" si="28"/>
        <v>3000</v>
      </c>
      <c r="F148" s="15">
        <f t="shared" si="29"/>
        <v>3315</v>
      </c>
      <c r="G148" s="3"/>
      <c r="H148" s="3" t="s">
        <v>13</v>
      </c>
      <c r="I148" s="87">
        <v>2000.0</v>
      </c>
      <c r="J148" s="15">
        <f t="shared" si="30"/>
        <v>2000</v>
      </c>
      <c r="K148" s="15">
        <f t="shared" si="31"/>
        <v>1315</v>
      </c>
      <c r="L148" s="4"/>
      <c r="M148" s="2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13"/>
      <c r="B149" s="12"/>
      <c r="C149" s="14"/>
      <c r="D149" s="15"/>
      <c r="E149" s="3"/>
      <c r="F149" s="3"/>
      <c r="G149" s="3"/>
      <c r="H149" s="3"/>
      <c r="I149" s="3"/>
      <c r="J149" s="3"/>
      <c r="K149" s="3"/>
      <c r="L149" s="4"/>
      <c r="M149" s="2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13"/>
      <c r="B150" s="12"/>
      <c r="C150" s="14"/>
      <c r="D150" s="15"/>
      <c r="E150" s="15">
        <f t="shared" ref="E150:F150" si="32">SUM(E135:E148)</f>
        <v>164200</v>
      </c>
      <c r="F150" s="15">
        <f t="shared" si="32"/>
        <v>181441</v>
      </c>
      <c r="G150" s="3"/>
      <c r="H150" s="3"/>
      <c r="I150" s="3"/>
      <c r="J150" s="3"/>
      <c r="K150" s="15">
        <f>SUM(K135:K148)</f>
        <v>61208.06349</v>
      </c>
      <c r="L150" s="23">
        <f>K150/F150</f>
        <v>0.3373441697</v>
      </c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24"/>
      <c r="B151" s="24"/>
      <c r="C151" s="24"/>
      <c r="D151" s="32"/>
      <c r="E151" s="7"/>
      <c r="F151" s="33"/>
      <c r="G151" s="25"/>
      <c r="H151" s="25"/>
      <c r="I151" s="16"/>
      <c r="J151" s="16"/>
      <c r="K151" s="16"/>
      <c r="L151" s="34"/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24"/>
      <c r="B152" s="24"/>
      <c r="C152" s="24"/>
      <c r="D152" s="32"/>
      <c r="E152" s="7"/>
      <c r="F152" s="33"/>
      <c r="G152" s="25"/>
      <c r="H152" s="25"/>
      <c r="I152" s="16"/>
      <c r="J152" s="16"/>
      <c r="K152" s="16"/>
      <c r="L152" s="34"/>
      <c r="M152" s="2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24"/>
      <c r="B153" s="24"/>
      <c r="C153" s="24"/>
      <c r="D153" s="32"/>
      <c r="E153" s="7"/>
      <c r="F153" s="33"/>
      <c r="G153" s="25"/>
      <c r="H153" s="25"/>
      <c r="I153" s="16"/>
      <c r="J153" s="16"/>
      <c r="K153" s="16"/>
      <c r="L153" s="34"/>
      <c r="M153" s="2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89" t="s">
        <v>206</v>
      </c>
      <c r="B154" s="24"/>
      <c r="C154" s="24"/>
      <c r="D154" s="81" t="s">
        <v>227</v>
      </c>
      <c r="E154" s="82">
        <v>46059.0</v>
      </c>
      <c r="F154" s="33" t="s">
        <v>13</v>
      </c>
      <c r="G154" s="25"/>
      <c r="H154" s="25"/>
      <c r="I154" s="16"/>
      <c r="J154" s="16"/>
      <c r="K154" s="16"/>
      <c r="L154" s="34"/>
      <c r="M154" s="2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B155" s="25"/>
      <c r="C155" s="35"/>
      <c r="D155" s="25"/>
      <c r="E155" s="25"/>
      <c r="F155" s="25"/>
      <c r="G155" s="25"/>
      <c r="H155" s="25"/>
      <c r="I155" s="16"/>
      <c r="J155" s="16"/>
      <c r="K155" s="16"/>
      <c r="L155" s="34"/>
      <c r="M155" s="2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5" t="s">
        <v>4</v>
      </c>
      <c r="B156" s="10" t="s">
        <v>5</v>
      </c>
      <c r="C156" s="11" t="s">
        <v>6</v>
      </c>
      <c r="D156" s="12" t="s">
        <v>7</v>
      </c>
      <c r="E156" s="10" t="s">
        <v>8</v>
      </c>
      <c r="F156" s="12"/>
      <c r="G156" s="25"/>
      <c r="H156" s="25"/>
      <c r="I156" s="12" t="s">
        <v>7</v>
      </c>
      <c r="J156" s="12" t="s">
        <v>8</v>
      </c>
      <c r="K156" s="12" t="s">
        <v>10</v>
      </c>
      <c r="L156" s="34"/>
      <c r="M156" s="2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83">
        <v>0.5</v>
      </c>
      <c r="B157" s="84" t="s">
        <v>29</v>
      </c>
      <c r="C157" s="85" t="s">
        <v>176</v>
      </c>
      <c r="D157" s="22">
        <v>30000.0</v>
      </c>
      <c r="E157" s="15">
        <f t="shared" ref="E157:E167" si="33">A157*D157</f>
        <v>15000</v>
      </c>
      <c r="F157" s="16"/>
      <c r="G157" s="25"/>
      <c r="H157" s="37"/>
      <c r="I157" s="22">
        <v>23000.0</v>
      </c>
      <c r="J157" s="16">
        <f t="shared" ref="J157:J167" si="34">I157*A157</f>
        <v>11500</v>
      </c>
      <c r="K157" s="16">
        <f t="shared" ref="K157:K167" si="35">E157-J157</f>
        <v>3500</v>
      </c>
      <c r="L157" s="36"/>
      <c r="M157" s="2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83">
        <v>1.0</v>
      </c>
      <c r="B158" s="84" t="s">
        <v>38</v>
      </c>
      <c r="C158" s="85" t="s">
        <v>117</v>
      </c>
      <c r="D158" s="22">
        <v>27000.0</v>
      </c>
      <c r="E158" s="15">
        <f t="shared" si="33"/>
        <v>27000</v>
      </c>
      <c r="F158" s="16"/>
      <c r="G158" s="25"/>
      <c r="H158" s="37"/>
      <c r="I158" s="22">
        <v>23000.0</v>
      </c>
      <c r="J158" s="16">
        <f t="shared" si="34"/>
        <v>23000</v>
      </c>
      <c r="K158" s="16">
        <f t="shared" si="35"/>
        <v>4000</v>
      </c>
      <c r="L158" s="36"/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83">
        <v>1.0</v>
      </c>
      <c r="B159" s="84" t="s">
        <v>38</v>
      </c>
      <c r="C159" s="85" t="s">
        <v>67</v>
      </c>
      <c r="D159" s="22">
        <v>13000.0</v>
      </c>
      <c r="E159" s="15">
        <f t="shared" si="33"/>
        <v>13000</v>
      </c>
      <c r="F159" s="16"/>
      <c r="G159" s="25"/>
      <c r="H159" s="37"/>
      <c r="I159" s="22">
        <v>9500.0</v>
      </c>
      <c r="J159" s="16">
        <f t="shared" si="34"/>
        <v>9500</v>
      </c>
      <c r="K159" s="16">
        <f t="shared" si="35"/>
        <v>3500</v>
      </c>
      <c r="L159" s="36"/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83">
        <v>1.0</v>
      </c>
      <c r="B160" s="84" t="s">
        <v>38</v>
      </c>
      <c r="C160" s="85" t="s">
        <v>174</v>
      </c>
      <c r="D160" s="22">
        <v>18000.0</v>
      </c>
      <c r="E160" s="15">
        <f t="shared" si="33"/>
        <v>18000</v>
      </c>
      <c r="F160" s="16"/>
      <c r="G160" s="25"/>
      <c r="H160" s="37"/>
      <c r="I160" s="22">
        <v>15000.0</v>
      </c>
      <c r="J160" s="16">
        <f t="shared" si="34"/>
        <v>15000</v>
      </c>
      <c r="K160" s="16">
        <f t="shared" si="35"/>
        <v>3000</v>
      </c>
      <c r="L160" s="36"/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83">
        <v>3.0</v>
      </c>
      <c r="B161" s="84" t="s">
        <v>29</v>
      </c>
      <c r="C161" s="85" t="s">
        <v>72</v>
      </c>
      <c r="D161" s="22">
        <v>28000.0</v>
      </c>
      <c r="E161" s="15">
        <f t="shared" si="33"/>
        <v>84000</v>
      </c>
      <c r="F161" s="16"/>
      <c r="G161" s="25"/>
      <c r="H161" s="37"/>
      <c r="I161" s="22">
        <v>23000.0</v>
      </c>
      <c r="J161" s="16">
        <f t="shared" si="34"/>
        <v>69000</v>
      </c>
      <c r="K161" s="16">
        <f t="shared" si="35"/>
        <v>15000</v>
      </c>
      <c r="L161" s="29"/>
      <c r="M161" s="2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83">
        <v>3.0</v>
      </c>
      <c r="B162" s="84" t="s">
        <v>50</v>
      </c>
      <c r="C162" s="85" t="s">
        <v>205</v>
      </c>
      <c r="D162" s="22">
        <v>3000.0</v>
      </c>
      <c r="E162" s="15">
        <f t="shared" si="33"/>
        <v>9000</v>
      </c>
      <c r="F162" s="16"/>
      <c r="G162" s="25"/>
      <c r="H162" s="37"/>
      <c r="I162" s="22">
        <v>2000.0</v>
      </c>
      <c r="J162" s="16">
        <f t="shared" si="34"/>
        <v>6000</v>
      </c>
      <c r="K162" s="16">
        <f t="shared" si="35"/>
        <v>3000</v>
      </c>
      <c r="L162" s="29"/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83">
        <v>1.0</v>
      </c>
      <c r="B163" s="84" t="s">
        <v>18</v>
      </c>
      <c r="C163" s="85" t="s">
        <v>24</v>
      </c>
      <c r="D163" s="22">
        <v>32000.0</v>
      </c>
      <c r="E163" s="15">
        <f t="shared" si="33"/>
        <v>32000</v>
      </c>
      <c r="F163" s="16"/>
      <c r="G163" s="25"/>
      <c r="H163" s="37"/>
      <c r="I163" s="22">
        <v>25000.0</v>
      </c>
      <c r="J163" s="16">
        <f t="shared" si="34"/>
        <v>25000</v>
      </c>
      <c r="K163" s="16">
        <f t="shared" si="35"/>
        <v>7000</v>
      </c>
      <c r="L163" s="29"/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83">
        <v>2.0</v>
      </c>
      <c r="B164" s="84" t="s">
        <v>18</v>
      </c>
      <c r="C164" s="85" t="s">
        <v>39</v>
      </c>
      <c r="D164" s="22">
        <v>16000.0</v>
      </c>
      <c r="E164" s="15">
        <f t="shared" si="33"/>
        <v>32000</v>
      </c>
      <c r="F164" s="16"/>
      <c r="G164" s="25"/>
      <c r="H164" s="37"/>
      <c r="I164" s="22">
        <v>13000.0</v>
      </c>
      <c r="J164" s="16">
        <f t="shared" si="34"/>
        <v>26000</v>
      </c>
      <c r="K164" s="16">
        <f t="shared" si="35"/>
        <v>6000</v>
      </c>
      <c r="L164" s="29"/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83">
        <v>2.0</v>
      </c>
      <c r="B165" s="84" t="s">
        <v>38</v>
      </c>
      <c r="C165" s="85" t="s">
        <v>247</v>
      </c>
      <c r="D165" s="22">
        <v>21000.0</v>
      </c>
      <c r="E165" s="15">
        <f t="shared" si="33"/>
        <v>42000</v>
      </c>
      <c r="F165" s="16"/>
      <c r="G165" s="25"/>
      <c r="H165" s="37"/>
      <c r="I165" s="22">
        <v>17500.0</v>
      </c>
      <c r="J165" s="16">
        <f t="shared" si="34"/>
        <v>35000</v>
      </c>
      <c r="K165" s="16">
        <f t="shared" si="35"/>
        <v>7000</v>
      </c>
      <c r="L165" s="29" t="s">
        <v>13</v>
      </c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83">
        <v>4.0</v>
      </c>
      <c r="B166" s="84" t="s">
        <v>50</v>
      </c>
      <c r="C166" s="85" t="s">
        <v>17</v>
      </c>
      <c r="D166" s="22">
        <v>5000.0</v>
      </c>
      <c r="E166" s="15">
        <f t="shared" si="33"/>
        <v>20000</v>
      </c>
      <c r="F166" s="16"/>
      <c r="G166" s="25"/>
      <c r="H166" s="37"/>
      <c r="I166" s="22">
        <v>3200.0</v>
      </c>
      <c r="J166" s="16">
        <f t="shared" si="34"/>
        <v>12800</v>
      </c>
      <c r="K166" s="16">
        <f t="shared" si="35"/>
        <v>7200</v>
      </c>
      <c r="L166" s="29" t="s">
        <v>13</v>
      </c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83">
        <v>4.0</v>
      </c>
      <c r="B167" s="84" t="s">
        <v>5</v>
      </c>
      <c r="C167" s="85" t="s">
        <v>118</v>
      </c>
      <c r="D167" s="22">
        <v>2200.0</v>
      </c>
      <c r="E167" s="15">
        <f t="shared" si="33"/>
        <v>8800</v>
      </c>
      <c r="F167" s="16"/>
      <c r="G167" s="25"/>
      <c r="H167" s="37"/>
      <c r="I167" s="15">
        <f>15000/13</f>
        <v>1153.846154</v>
      </c>
      <c r="J167" s="16">
        <f t="shared" si="34"/>
        <v>4615.384615</v>
      </c>
      <c r="K167" s="16">
        <f t="shared" si="35"/>
        <v>4184.615385</v>
      </c>
      <c r="L167" s="29" t="s">
        <v>13</v>
      </c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13"/>
      <c r="B168" s="12"/>
      <c r="C168" s="14"/>
      <c r="D168" s="15"/>
      <c r="E168" s="16"/>
      <c r="F168" s="16"/>
      <c r="G168" s="25"/>
      <c r="H168" s="25"/>
      <c r="I168" s="16"/>
      <c r="J168" s="16"/>
      <c r="K168" s="16"/>
      <c r="L168" s="36"/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13"/>
      <c r="B169" s="12"/>
      <c r="C169" s="14"/>
      <c r="D169" s="15"/>
      <c r="E169" s="16">
        <f>SUM(E157:E167)</f>
        <v>300800</v>
      </c>
      <c r="F169" s="16"/>
      <c r="G169" s="25"/>
      <c r="H169" s="25"/>
      <c r="I169" s="16"/>
      <c r="J169" s="16"/>
      <c r="K169" s="16">
        <f>SUM(K157:K167)</f>
        <v>63384.61538</v>
      </c>
      <c r="L169" s="36">
        <f>K169/E169</f>
        <v>0.2107201309</v>
      </c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30"/>
      <c r="B170" s="31"/>
      <c r="C170" s="2"/>
      <c r="D170" s="3"/>
      <c r="E170" s="3"/>
      <c r="F170" s="3"/>
      <c r="G170" s="2"/>
      <c r="H170" s="2"/>
      <c r="I170" s="2"/>
      <c r="J170" s="2"/>
      <c r="K170" s="3"/>
      <c r="L170" s="4"/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21"/>
      <c r="P171" s="21"/>
      <c r="Q171" s="21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30"/>
      <c r="B172" s="31"/>
      <c r="C172" s="2"/>
      <c r="D172" s="3"/>
      <c r="E172" s="3"/>
      <c r="F172" s="3"/>
      <c r="G172" s="2"/>
      <c r="H172" s="2"/>
      <c r="I172" s="2"/>
      <c r="J172" s="2"/>
      <c r="K172" s="3"/>
      <c r="L172" s="4"/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89" t="s">
        <v>248</v>
      </c>
      <c r="B173" s="24"/>
      <c r="C173" s="24"/>
      <c r="D173" s="81" t="s">
        <v>109</v>
      </c>
      <c r="E173" s="82">
        <v>46059.0</v>
      </c>
      <c r="F173" s="33" t="s">
        <v>13</v>
      </c>
      <c r="G173" s="25"/>
      <c r="H173" s="25"/>
      <c r="I173" s="16"/>
      <c r="J173" s="16"/>
      <c r="K173" s="16"/>
      <c r="L173" s="34"/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B174" s="25"/>
      <c r="C174" s="35"/>
      <c r="D174" s="25"/>
      <c r="E174" s="25"/>
      <c r="F174" s="25"/>
      <c r="G174" s="25"/>
      <c r="H174" s="25"/>
      <c r="I174" s="16"/>
      <c r="J174" s="16"/>
      <c r="K174" s="16"/>
      <c r="L174" s="34"/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5" t="s">
        <v>4</v>
      </c>
      <c r="B175" s="10" t="s">
        <v>5</v>
      </c>
      <c r="C175" s="11" t="s">
        <v>6</v>
      </c>
      <c r="D175" s="12" t="s">
        <v>7</v>
      </c>
      <c r="E175" s="10" t="s">
        <v>8</v>
      </c>
      <c r="F175" s="12"/>
      <c r="G175" s="25"/>
      <c r="H175" s="25"/>
      <c r="I175" s="12" t="s">
        <v>7</v>
      </c>
      <c r="J175" s="12" t="s">
        <v>8</v>
      </c>
      <c r="K175" s="12" t="s">
        <v>10</v>
      </c>
      <c r="L175" s="34"/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83">
        <v>2.0</v>
      </c>
      <c r="B176" s="84" t="s">
        <v>11</v>
      </c>
      <c r="C176" s="85" t="s">
        <v>16</v>
      </c>
      <c r="D176" s="22">
        <v>1000.0</v>
      </c>
      <c r="E176" s="15">
        <f t="shared" ref="E176:E188" si="36">A176*D176</f>
        <v>2000</v>
      </c>
      <c r="F176" s="16"/>
      <c r="G176" s="25"/>
      <c r="H176" s="37"/>
      <c r="I176" s="87">
        <f>9000/24</f>
        <v>375</v>
      </c>
      <c r="J176" s="16">
        <f t="shared" ref="J176:J194" si="37">I176*A176</f>
        <v>750</v>
      </c>
      <c r="K176" s="16">
        <f t="shared" ref="K176:K194" si="38">E176-J176</f>
        <v>1250</v>
      </c>
      <c r="L176" s="36"/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83">
        <v>2.0</v>
      </c>
      <c r="B177" s="84" t="s">
        <v>84</v>
      </c>
      <c r="C177" s="85" t="s">
        <v>200</v>
      </c>
      <c r="D177" s="22">
        <v>2500.0</v>
      </c>
      <c r="E177" s="15">
        <f t="shared" si="36"/>
        <v>5000</v>
      </c>
      <c r="F177" s="16"/>
      <c r="G177" s="25"/>
      <c r="H177" s="37"/>
      <c r="I177" s="87">
        <f>20000/12</f>
        <v>1666.666667</v>
      </c>
      <c r="J177" s="16">
        <f t="shared" si="37"/>
        <v>3333.333333</v>
      </c>
      <c r="K177" s="16">
        <f t="shared" si="38"/>
        <v>1666.666667</v>
      </c>
      <c r="L177" s="36"/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83">
        <v>2.0</v>
      </c>
      <c r="B178" s="84" t="s">
        <v>33</v>
      </c>
      <c r="C178" s="85" t="s">
        <v>31</v>
      </c>
      <c r="D178" s="22">
        <v>2800.0</v>
      </c>
      <c r="E178" s="15">
        <f t="shared" si="36"/>
        <v>5600</v>
      </c>
      <c r="F178" s="16"/>
      <c r="G178" s="25"/>
      <c r="H178" s="37"/>
      <c r="I178" s="87">
        <f>25000/17</f>
        <v>1470.588235</v>
      </c>
      <c r="J178" s="16">
        <f t="shared" si="37"/>
        <v>2941.176471</v>
      </c>
      <c r="K178" s="16">
        <f t="shared" si="38"/>
        <v>2658.823529</v>
      </c>
      <c r="L178" s="36"/>
      <c r="M178" s="2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83">
        <v>3.0</v>
      </c>
      <c r="B179" s="84" t="s">
        <v>33</v>
      </c>
      <c r="C179" s="85" t="s">
        <v>23</v>
      </c>
      <c r="D179" s="22">
        <v>1600.0</v>
      </c>
      <c r="E179" s="15">
        <f t="shared" si="36"/>
        <v>4800</v>
      </c>
      <c r="F179" s="16"/>
      <c r="G179" s="25"/>
      <c r="H179" s="37"/>
      <c r="I179" s="87">
        <v>1000.0</v>
      </c>
      <c r="J179" s="16">
        <f t="shared" si="37"/>
        <v>3000</v>
      </c>
      <c r="K179" s="16">
        <f t="shared" si="38"/>
        <v>1800</v>
      </c>
      <c r="L179" s="36"/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83">
        <v>0.5</v>
      </c>
      <c r="B180" s="84" t="s">
        <v>33</v>
      </c>
      <c r="C180" s="85" t="s">
        <v>199</v>
      </c>
      <c r="D180" s="22">
        <v>20000.0</v>
      </c>
      <c r="E180" s="15">
        <f t="shared" si="36"/>
        <v>10000</v>
      </c>
      <c r="F180" s="16"/>
      <c r="G180" s="25"/>
      <c r="H180" s="37"/>
      <c r="I180" s="87">
        <v>18000.0</v>
      </c>
      <c r="J180" s="16">
        <f t="shared" si="37"/>
        <v>9000</v>
      </c>
      <c r="K180" s="16">
        <f t="shared" si="38"/>
        <v>1000</v>
      </c>
      <c r="L180" s="36"/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83">
        <v>1.0</v>
      </c>
      <c r="B181" s="84" t="s">
        <v>18</v>
      </c>
      <c r="C181" s="85" t="s">
        <v>103</v>
      </c>
      <c r="D181" s="22">
        <v>12000.0</v>
      </c>
      <c r="E181" s="15">
        <f t="shared" si="36"/>
        <v>12000</v>
      </c>
      <c r="F181" s="16"/>
      <c r="G181" s="25"/>
      <c r="H181" s="37"/>
      <c r="I181" s="87">
        <v>8000.0</v>
      </c>
      <c r="J181" s="16">
        <f t="shared" si="37"/>
        <v>8000</v>
      </c>
      <c r="K181" s="16">
        <f t="shared" si="38"/>
        <v>4000</v>
      </c>
      <c r="L181" s="36"/>
      <c r="M181" s="2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83">
        <v>3.0</v>
      </c>
      <c r="B182" s="84" t="s">
        <v>33</v>
      </c>
      <c r="C182" s="85" t="s">
        <v>57</v>
      </c>
      <c r="D182" s="22">
        <v>9000.0</v>
      </c>
      <c r="E182" s="15">
        <f t="shared" si="36"/>
        <v>27000</v>
      </c>
      <c r="F182" s="16"/>
      <c r="G182" s="25"/>
      <c r="H182" s="37"/>
      <c r="I182" s="87">
        <v>8750.0</v>
      </c>
      <c r="J182" s="16">
        <f t="shared" si="37"/>
        <v>26250</v>
      </c>
      <c r="K182" s="16">
        <f t="shared" si="38"/>
        <v>750</v>
      </c>
      <c r="L182" s="36"/>
      <c r="M182" s="2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83">
        <v>0.5</v>
      </c>
      <c r="B183" s="84" t="s">
        <v>33</v>
      </c>
      <c r="C183" s="85" t="s">
        <v>249</v>
      </c>
      <c r="D183" s="22">
        <v>5500.0</v>
      </c>
      <c r="E183" s="15">
        <f t="shared" si="36"/>
        <v>2750</v>
      </c>
      <c r="F183" s="16"/>
      <c r="G183" s="25"/>
      <c r="H183" s="37"/>
      <c r="I183" s="87">
        <v>4000.0</v>
      </c>
      <c r="J183" s="16">
        <f t="shared" si="37"/>
        <v>2000</v>
      </c>
      <c r="K183" s="16">
        <f t="shared" si="38"/>
        <v>750</v>
      </c>
      <c r="L183" s="36"/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83">
        <v>1.0</v>
      </c>
      <c r="B184" s="84" t="s">
        <v>33</v>
      </c>
      <c r="C184" s="85" t="s">
        <v>53</v>
      </c>
      <c r="D184" s="22">
        <v>12000.0</v>
      </c>
      <c r="E184" s="15">
        <f t="shared" si="36"/>
        <v>12000</v>
      </c>
      <c r="F184" s="16"/>
      <c r="G184" s="25"/>
      <c r="H184" s="37"/>
      <c r="I184" s="87">
        <f>65000/7</f>
        <v>9285.714286</v>
      </c>
      <c r="J184" s="16">
        <f t="shared" si="37"/>
        <v>9285.714286</v>
      </c>
      <c r="K184" s="16">
        <f t="shared" si="38"/>
        <v>2714.285714</v>
      </c>
      <c r="L184" s="36"/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83">
        <v>2.0</v>
      </c>
      <c r="B185" s="84" t="s">
        <v>33</v>
      </c>
      <c r="C185" s="85" t="s">
        <v>86</v>
      </c>
      <c r="D185" s="22">
        <v>4000.0</v>
      </c>
      <c r="E185" s="15">
        <f t="shared" si="36"/>
        <v>8000</v>
      </c>
      <c r="F185" s="16"/>
      <c r="G185" s="25"/>
      <c r="H185" s="37"/>
      <c r="I185" s="87">
        <v>3000.0</v>
      </c>
      <c r="J185" s="16">
        <f t="shared" si="37"/>
        <v>6000</v>
      </c>
      <c r="K185" s="16">
        <f t="shared" si="38"/>
        <v>2000</v>
      </c>
      <c r="L185" s="36"/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83">
        <v>1.0</v>
      </c>
      <c r="B186" s="84" t="s">
        <v>29</v>
      </c>
      <c r="C186" s="85" t="s">
        <v>72</v>
      </c>
      <c r="D186" s="22">
        <v>28000.0</v>
      </c>
      <c r="E186" s="15">
        <f t="shared" si="36"/>
        <v>28000</v>
      </c>
      <c r="F186" s="16"/>
      <c r="G186" s="25"/>
      <c r="H186" s="37"/>
      <c r="I186" s="87">
        <v>23000.0</v>
      </c>
      <c r="J186" s="16">
        <f t="shared" si="37"/>
        <v>23000</v>
      </c>
      <c r="K186" s="16">
        <f t="shared" si="38"/>
        <v>5000</v>
      </c>
      <c r="L186" s="36"/>
      <c r="M186" s="2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83">
        <v>2.0</v>
      </c>
      <c r="B187" s="84" t="s">
        <v>33</v>
      </c>
      <c r="C187" s="85" t="s">
        <v>24</v>
      </c>
      <c r="D187" s="22">
        <v>4000.0</v>
      </c>
      <c r="E187" s="15">
        <f t="shared" si="36"/>
        <v>8000</v>
      </c>
      <c r="F187" s="16"/>
      <c r="G187" s="25"/>
      <c r="H187" s="37"/>
      <c r="I187" s="87">
        <f>25000/8</f>
        <v>3125</v>
      </c>
      <c r="J187" s="16">
        <f t="shared" si="37"/>
        <v>6250</v>
      </c>
      <c r="K187" s="16">
        <f t="shared" si="38"/>
        <v>1750</v>
      </c>
      <c r="L187" s="36"/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83">
        <v>0.5</v>
      </c>
      <c r="B188" s="84" t="s">
        <v>18</v>
      </c>
      <c r="C188" s="85" t="s">
        <v>39</v>
      </c>
      <c r="D188" s="22">
        <v>16000.0</v>
      </c>
      <c r="E188" s="15">
        <f t="shared" si="36"/>
        <v>8000</v>
      </c>
      <c r="F188" s="16"/>
      <c r="G188" s="25"/>
      <c r="H188" s="37"/>
      <c r="I188" s="87">
        <v>13000.0</v>
      </c>
      <c r="J188" s="16">
        <f t="shared" si="37"/>
        <v>6500</v>
      </c>
      <c r="K188" s="16">
        <f t="shared" si="38"/>
        <v>1500</v>
      </c>
      <c r="L188" s="36"/>
      <c r="M188" s="2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83">
        <v>10.0</v>
      </c>
      <c r="B189" s="84" t="s">
        <v>5</v>
      </c>
      <c r="C189" s="85" t="s">
        <v>250</v>
      </c>
      <c r="D189" s="90" t="s">
        <v>251</v>
      </c>
      <c r="E189" s="22">
        <v>0.0</v>
      </c>
      <c r="F189" s="16"/>
      <c r="G189" s="25"/>
      <c r="H189" s="37"/>
      <c r="I189" s="87">
        <f>64000/80</f>
        <v>800</v>
      </c>
      <c r="J189" s="16">
        <f t="shared" si="37"/>
        <v>8000</v>
      </c>
      <c r="K189" s="16">
        <f t="shared" si="38"/>
        <v>-8000</v>
      </c>
      <c r="L189" s="36"/>
      <c r="M189" s="2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83">
        <v>1.0</v>
      </c>
      <c r="B190" s="84" t="s">
        <v>5</v>
      </c>
      <c r="C190" s="85" t="s">
        <v>252</v>
      </c>
      <c r="D190" s="22">
        <v>1800.0</v>
      </c>
      <c r="E190" s="15">
        <f t="shared" ref="E190:E194" si="39">A190*D190</f>
        <v>1800</v>
      </c>
      <c r="F190" s="16"/>
      <c r="G190" s="25"/>
      <c r="H190" s="37"/>
      <c r="I190" s="87">
        <f>13000/12</f>
        <v>1083.333333</v>
      </c>
      <c r="J190" s="16">
        <f t="shared" si="37"/>
        <v>1083.333333</v>
      </c>
      <c r="K190" s="16">
        <f t="shared" si="38"/>
        <v>716.6666667</v>
      </c>
      <c r="L190" s="36"/>
      <c r="M190" s="2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83">
        <v>1.0</v>
      </c>
      <c r="B191" s="84" t="s">
        <v>5</v>
      </c>
      <c r="C191" s="85" t="s">
        <v>99</v>
      </c>
      <c r="D191" s="22">
        <v>1800.0</v>
      </c>
      <c r="E191" s="15">
        <f t="shared" si="39"/>
        <v>1800</v>
      </c>
      <c r="F191" s="16"/>
      <c r="G191" s="25"/>
      <c r="H191" s="37"/>
      <c r="I191" s="87">
        <v>1083.33</v>
      </c>
      <c r="J191" s="16">
        <f t="shared" si="37"/>
        <v>1083.33</v>
      </c>
      <c r="K191" s="16">
        <f t="shared" si="38"/>
        <v>716.67</v>
      </c>
      <c r="L191" s="36"/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83">
        <v>0.5</v>
      </c>
      <c r="B192" s="84" t="s">
        <v>33</v>
      </c>
      <c r="C192" s="85" t="s">
        <v>202</v>
      </c>
      <c r="D192" s="22">
        <v>3500.0</v>
      </c>
      <c r="E192" s="15">
        <f t="shared" si="39"/>
        <v>1750</v>
      </c>
      <c r="F192" s="16"/>
      <c r="G192" s="25"/>
      <c r="H192" s="37"/>
      <c r="I192" s="87">
        <f>15000/8</f>
        <v>1875</v>
      </c>
      <c r="J192" s="16">
        <f t="shared" si="37"/>
        <v>937.5</v>
      </c>
      <c r="K192" s="16">
        <f t="shared" si="38"/>
        <v>812.5</v>
      </c>
      <c r="L192" s="36"/>
      <c r="M192" s="2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83">
        <v>3.0</v>
      </c>
      <c r="B193" s="84" t="s">
        <v>33</v>
      </c>
      <c r="C193" s="85" t="s">
        <v>173</v>
      </c>
      <c r="D193" s="22">
        <v>1600.0</v>
      </c>
      <c r="E193" s="15">
        <f t="shared" si="39"/>
        <v>4800</v>
      </c>
      <c r="F193" s="16"/>
      <c r="G193" s="25"/>
      <c r="H193" s="37"/>
      <c r="I193" s="87">
        <f>8000/15</f>
        <v>533.3333333</v>
      </c>
      <c r="J193" s="16">
        <f t="shared" si="37"/>
        <v>1600</v>
      </c>
      <c r="K193" s="16">
        <f t="shared" si="38"/>
        <v>3200</v>
      </c>
      <c r="L193" s="36"/>
      <c r="M193" s="2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83">
        <v>1.0</v>
      </c>
      <c r="B194" s="84" t="s">
        <v>18</v>
      </c>
      <c r="C194" s="85" t="s">
        <v>21</v>
      </c>
      <c r="D194" s="22">
        <v>56000.0</v>
      </c>
      <c r="E194" s="15">
        <f t="shared" si="39"/>
        <v>56000</v>
      </c>
      <c r="F194" s="16"/>
      <c r="G194" s="25"/>
      <c r="H194" s="37"/>
      <c r="I194" s="87">
        <v>52000.0</v>
      </c>
      <c r="J194" s="16">
        <f t="shared" si="37"/>
        <v>52000</v>
      </c>
      <c r="K194" s="16">
        <f t="shared" si="38"/>
        <v>4000</v>
      </c>
      <c r="L194" s="36"/>
      <c r="M194" s="2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13"/>
      <c r="B195" s="12"/>
      <c r="C195" s="14"/>
      <c r="D195" s="15"/>
      <c r="E195" s="16"/>
      <c r="F195" s="16"/>
      <c r="H195" s="25"/>
      <c r="I195" s="16"/>
      <c r="J195" s="16"/>
      <c r="K195" s="16"/>
      <c r="L195" s="36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13"/>
      <c r="B196" s="12"/>
      <c r="C196" s="14"/>
      <c r="D196" s="15"/>
      <c r="E196" s="16">
        <f>SUM(E176:E195)</f>
        <v>199300</v>
      </c>
      <c r="F196" s="16"/>
      <c r="G196" s="25"/>
      <c r="H196" s="25"/>
      <c r="I196" s="16"/>
      <c r="J196" s="16"/>
      <c r="K196" s="16">
        <f>SUM(K176:K194)</f>
        <v>28285.61258</v>
      </c>
      <c r="L196" s="36">
        <f>K196/E196</f>
        <v>0.1419247997</v>
      </c>
      <c r="M196" s="2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13"/>
      <c r="B197" s="12"/>
      <c r="C197" s="14"/>
      <c r="D197" s="15"/>
      <c r="E197" s="3"/>
      <c r="F197" s="3"/>
      <c r="G197" s="2"/>
      <c r="H197" s="2"/>
      <c r="I197" s="2"/>
      <c r="J197" s="2"/>
      <c r="K197" s="3"/>
      <c r="L197" s="4"/>
      <c r="M197" s="2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>
      <c r="A198" s="13"/>
      <c r="B198" s="12"/>
      <c r="C198" s="14"/>
      <c r="D198" s="15"/>
      <c r="E198" s="3"/>
      <c r="F198" s="3"/>
      <c r="G198" s="2"/>
      <c r="H198" s="2"/>
      <c r="I198" s="2"/>
      <c r="J198" s="2"/>
      <c r="K198" s="3"/>
      <c r="L198" s="4"/>
      <c r="M198" s="2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>
      <c r="A199" s="24"/>
      <c r="B199" s="24"/>
      <c r="C199" s="24"/>
      <c r="D199" s="32"/>
      <c r="E199" s="7"/>
      <c r="F199" s="33"/>
      <c r="G199" s="25"/>
      <c r="H199" s="25"/>
      <c r="I199" s="16"/>
      <c r="J199" s="16"/>
      <c r="K199" s="16"/>
      <c r="L199" s="34"/>
      <c r="M199" s="2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89" t="s">
        <v>253</v>
      </c>
      <c r="B200" s="24"/>
      <c r="C200" s="24"/>
      <c r="D200" s="81" t="s">
        <v>207</v>
      </c>
      <c r="E200" s="82">
        <v>46059.0</v>
      </c>
      <c r="F200" s="33" t="s">
        <v>13</v>
      </c>
      <c r="G200" s="25"/>
      <c r="H200" s="25"/>
      <c r="I200" s="16"/>
      <c r="J200" s="16"/>
      <c r="K200" s="16"/>
      <c r="L200" s="34"/>
      <c r="M200" s="2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B201" s="25"/>
      <c r="C201" s="35"/>
      <c r="D201" s="25"/>
      <c r="E201" s="25"/>
      <c r="F201" s="25"/>
      <c r="G201" s="25"/>
      <c r="H201" s="25"/>
      <c r="I201" s="16"/>
      <c r="J201" s="16"/>
      <c r="K201" s="16"/>
      <c r="L201" s="34"/>
      <c r="M201" s="2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5" t="s">
        <v>4</v>
      </c>
      <c r="B202" s="10" t="s">
        <v>5</v>
      </c>
      <c r="C202" s="11" t="s">
        <v>6</v>
      </c>
      <c r="D202" s="12" t="s">
        <v>7</v>
      </c>
      <c r="E202" s="10" t="s">
        <v>8</v>
      </c>
      <c r="F202" s="12"/>
      <c r="G202" s="25"/>
      <c r="H202" s="25"/>
      <c r="I202" s="12" t="s">
        <v>7</v>
      </c>
      <c r="J202" s="12" t="s">
        <v>8</v>
      </c>
      <c r="K202" s="12" t="s">
        <v>10</v>
      </c>
      <c r="L202" s="34"/>
      <c r="M202" s="2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83">
        <v>2.0</v>
      </c>
      <c r="B203" s="84" t="s">
        <v>38</v>
      </c>
      <c r="C203" s="85" t="s">
        <v>46</v>
      </c>
      <c r="D203" s="22">
        <v>16000.0</v>
      </c>
      <c r="E203" s="15">
        <f>A203*D203</f>
        <v>32000</v>
      </c>
      <c r="F203" s="16"/>
      <c r="G203" s="25"/>
      <c r="H203" s="25"/>
      <c r="I203" s="87">
        <v>12000.0</v>
      </c>
      <c r="J203" s="16">
        <f>I203*A203</f>
        <v>24000</v>
      </c>
      <c r="K203" s="16">
        <f>E203-J203</f>
        <v>8000</v>
      </c>
      <c r="L203" s="36"/>
      <c r="M203" s="2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13"/>
      <c r="B204" s="12"/>
      <c r="C204" s="14"/>
      <c r="D204" s="15"/>
      <c r="E204" s="16"/>
      <c r="F204" s="16"/>
      <c r="H204" s="25"/>
      <c r="I204" s="16"/>
      <c r="J204" s="16"/>
      <c r="K204" s="16"/>
      <c r="L204" s="36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13"/>
      <c r="B205" s="12"/>
      <c r="C205" s="14"/>
      <c r="D205" s="15"/>
      <c r="E205" s="16">
        <f>SUM(E203:E204)</f>
        <v>32000</v>
      </c>
      <c r="F205" s="16"/>
      <c r="G205" s="25"/>
      <c r="H205" s="25"/>
      <c r="I205" s="16"/>
      <c r="J205" s="16"/>
      <c r="K205" s="16">
        <f>SUM(K203)</f>
        <v>8000</v>
      </c>
      <c r="L205" s="36">
        <f>K205/E205</f>
        <v>0.25</v>
      </c>
      <c r="M205" s="2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13"/>
      <c r="B206" s="12"/>
      <c r="C206" s="14"/>
      <c r="D206" s="15"/>
      <c r="E206" s="3"/>
      <c r="F206" s="3"/>
      <c r="G206" s="2"/>
      <c r="H206" s="2"/>
      <c r="I206" s="2"/>
      <c r="J206" s="2"/>
      <c r="K206" s="3"/>
      <c r="L206" s="4"/>
      <c r="M206" s="2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13"/>
      <c r="B207" s="12"/>
      <c r="C207" s="14"/>
      <c r="D207" s="15"/>
      <c r="E207" s="3"/>
      <c r="F207" s="3"/>
      <c r="G207" s="2"/>
      <c r="H207" s="2"/>
      <c r="I207" s="2"/>
      <c r="J207" s="2"/>
      <c r="K207" s="3"/>
      <c r="L207" s="4"/>
      <c r="M207" s="2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88" t="s">
        <v>190</v>
      </c>
      <c r="B208" s="1"/>
      <c r="C208" s="1"/>
      <c r="D208" s="81" t="s">
        <v>170</v>
      </c>
      <c r="E208" s="7">
        <v>46059.0</v>
      </c>
      <c r="F208" s="71" t="s">
        <v>13</v>
      </c>
      <c r="G208" s="3"/>
      <c r="H208" s="3"/>
      <c r="I208" s="3"/>
      <c r="J208" s="3"/>
      <c r="K208" s="3"/>
      <c r="L208" s="4"/>
      <c r="M208" s="2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>
      <c r="A209" s="1"/>
      <c r="B209" s="3"/>
      <c r="C209" s="1"/>
      <c r="D209" s="3"/>
      <c r="E209" s="3"/>
      <c r="F209" s="3"/>
      <c r="G209" s="3"/>
      <c r="H209" s="3"/>
      <c r="I209" s="3"/>
      <c r="J209" s="3"/>
      <c r="K209" s="3"/>
      <c r="L209" s="4"/>
      <c r="M209" s="2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5" t="s">
        <v>4</v>
      </c>
      <c r="B210" s="10" t="s">
        <v>5</v>
      </c>
      <c r="C210" s="5" t="s">
        <v>6</v>
      </c>
      <c r="D210" s="10" t="s">
        <v>7</v>
      </c>
      <c r="E210" s="10" t="s">
        <v>8</v>
      </c>
      <c r="F210" s="3"/>
      <c r="G210" s="3"/>
      <c r="H210" s="3"/>
      <c r="I210" s="10" t="s">
        <v>7</v>
      </c>
      <c r="J210" s="10" t="s">
        <v>8</v>
      </c>
      <c r="K210" s="10" t="s">
        <v>10</v>
      </c>
      <c r="L210" s="4"/>
      <c r="M210" s="2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91">
        <v>3.0</v>
      </c>
      <c r="B211" s="92" t="s">
        <v>18</v>
      </c>
      <c r="C211" s="88" t="s">
        <v>48</v>
      </c>
      <c r="D211" s="22">
        <v>14000.0</v>
      </c>
      <c r="E211" s="15">
        <f t="shared" ref="E211:E238" si="40">A211*D211</f>
        <v>42000</v>
      </c>
      <c r="F211" s="3"/>
      <c r="G211" s="3"/>
      <c r="H211" s="3"/>
      <c r="I211" s="22">
        <v>8000.0</v>
      </c>
      <c r="J211" s="15">
        <f t="shared" ref="J211:J238" si="41">I211*A211</f>
        <v>24000</v>
      </c>
      <c r="K211" s="15">
        <f t="shared" ref="K211:K238" si="42">E211-J211</f>
        <v>18000</v>
      </c>
      <c r="L211" s="23"/>
      <c r="M211" s="2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>
      <c r="A212" s="26">
        <v>2.0</v>
      </c>
      <c r="B212" s="92" t="s">
        <v>18</v>
      </c>
      <c r="C212" s="88" t="s">
        <v>195</v>
      </c>
      <c r="D212" s="22">
        <v>9000.0</v>
      </c>
      <c r="E212" s="15">
        <f t="shared" si="40"/>
        <v>18000</v>
      </c>
      <c r="F212" s="3"/>
      <c r="G212" s="3"/>
      <c r="H212" s="3"/>
      <c r="I212" s="22">
        <v>7000.0</v>
      </c>
      <c r="J212" s="15">
        <f t="shared" si="41"/>
        <v>14000</v>
      </c>
      <c r="K212" s="15">
        <f t="shared" si="42"/>
        <v>4000</v>
      </c>
      <c r="L212" s="23"/>
      <c r="M212" s="2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91">
        <v>3.0</v>
      </c>
      <c r="B213" s="92" t="s">
        <v>18</v>
      </c>
      <c r="C213" s="88" t="s">
        <v>103</v>
      </c>
      <c r="D213" s="22">
        <v>13000.0</v>
      </c>
      <c r="E213" s="15">
        <f t="shared" si="40"/>
        <v>39000</v>
      </c>
      <c r="F213" s="3"/>
      <c r="G213" s="3"/>
      <c r="H213" s="3"/>
      <c r="I213" s="22">
        <v>8000.0</v>
      </c>
      <c r="J213" s="15">
        <f t="shared" si="41"/>
        <v>24000</v>
      </c>
      <c r="K213" s="15">
        <f t="shared" si="42"/>
        <v>15000</v>
      </c>
      <c r="L213" s="23"/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91">
        <v>2.0</v>
      </c>
      <c r="B214" s="92" t="s">
        <v>18</v>
      </c>
      <c r="C214" s="88" t="s">
        <v>65</v>
      </c>
      <c r="D214" s="22">
        <v>6500.0</v>
      </c>
      <c r="E214" s="15">
        <f t="shared" si="40"/>
        <v>13000</v>
      </c>
      <c r="F214" s="3"/>
      <c r="G214" s="3"/>
      <c r="H214" s="3"/>
      <c r="I214" s="22">
        <v>6000.0</v>
      </c>
      <c r="J214" s="15">
        <f t="shared" si="41"/>
        <v>12000</v>
      </c>
      <c r="K214" s="15">
        <f t="shared" si="42"/>
        <v>1000</v>
      </c>
      <c r="L214" s="23"/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91">
        <v>2.0</v>
      </c>
      <c r="B215" s="92" t="s">
        <v>50</v>
      </c>
      <c r="C215" s="88" t="s">
        <v>235</v>
      </c>
      <c r="D215" s="22">
        <v>3000.0</v>
      </c>
      <c r="E215" s="15">
        <f t="shared" si="40"/>
        <v>6000</v>
      </c>
      <c r="F215" s="3"/>
      <c r="G215" s="3"/>
      <c r="H215" s="3"/>
      <c r="I215" s="22">
        <v>0.0</v>
      </c>
      <c r="J215" s="15">
        <f t="shared" si="41"/>
        <v>0</v>
      </c>
      <c r="K215" s="15">
        <f t="shared" si="42"/>
        <v>6000</v>
      </c>
      <c r="L215" s="23"/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>
      <c r="A216" s="26">
        <v>1.0</v>
      </c>
      <c r="B216" s="92" t="s">
        <v>18</v>
      </c>
      <c r="C216" s="88" t="s">
        <v>97</v>
      </c>
      <c r="D216" s="22">
        <v>88000.0</v>
      </c>
      <c r="E216" s="15">
        <f t="shared" si="40"/>
        <v>88000</v>
      </c>
      <c r="F216" s="3"/>
      <c r="G216" s="3"/>
      <c r="H216" s="3"/>
      <c r="I216" s="22">
        <v>78000.0</v>
      </c>
      <c r="J216" s="15">
        <f t="shared" si="41"/>
        <v>78000</v>
      </c>
      <c r="K216" s="15">
        <f t="shared" si="42"/>
        <v>10000</v>
      </c>
      <c r="L216" s="23"/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A217" s="91">
        <v>7.0</v>
      </c>
      <c r="B217" s="92" t="s">
        <v>18</v>
      </c>
      <c r="C217" s="88" t="s">
        <v>77</v>
      </c>
      <c r="D217" s="22">
        <v>12000.0</v>
      </c>
      <c r="E217" s="15">
        <f t="shared" si="40"/>
        <v>84000</v>
      </c>
      <c r="F217" s="3"/>
      <c r="G217" s="3"/>
      <c r="H217" s="3"/>
      <c r="I217" s="15">
        <f>72000/8</f>
        <v>9000</v>
      </c>
      <c r="J217" s="15">
        <f t="shared" si="41"/>
        <v>63000</v>
      </c>
      <c r="K217" s="15">
        <f t="shared" si="42"/>
        <v>21000</v>
      </c>
      <c r="L217" s="23"/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A218" s="91">
        <v>3.0</v>
      </c>
      <c r="B218" s="92" t="s">
        <v>38</v>
      </c>
      <c r="C218" s="88" t="s">
        <v>117</v>
      </c>
      <c r="D218" s="22">
        <v>28000.0</v>
      </c>
      <c r="E218" s="15">
        <f t="shared" si="40"/>
        <v>84000</v>
      </c>
      <c r="F218" s="3"/>
      <c r="G218" s="3"/>
      <c r="H218" s="3"/>
      <c r="I218" s="22">
        <v>23000.0</v>
      </c>
      <c r="J218" s="15">
        <f t="shared" si="41"/>
        <v>69000</v>
      </c>
      <c r="K218" s="15">
        <f t="shared" si="42"/>
        <v>15000</v>
      </c>
      <c r="L218" s="23"/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26">
        <v>1.0</v>
      </c>
      <c r="B219" s="92" t="s">
        <v>38</v>
      </c>
      <c r="C219" s="88" t="s">
        <v>254</v>
      </c>
      <c r="D219" s="22">
        <v>26000.0</v>
      </c>
      <c r="E219" s="15">
        <f t="shared" si="40"/>
        <v>26000</v>
      </c>
      <c r="F219" s="3"/>
      <c r="G219" s="3"/>
      <c r="H219" s="3"/>
      <c r="I219" s="22">
        <v>18000.0</v>
      </c>
      <c r="J219" s="15">
        <f t="shared" si="41"/>
        <v>18000</v>
      </c>
      <c r="K219" s="15">
        <f t="shared" si="42"/>
        <v>8000</v>
      </c>
      <c r="L219" s="23"/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>
      <c r="A220" s="91">
        <v>1.0</v>
      </c>
      <c r="B220" s="92" t="s">
        <v>18</v>
      </c>
      <c r="C220" s="88" t="s">
        <v>78</v>
      </c>
      <c r="D220" s="22">
        <v>35000.0</v>
      </c>
      <c r="E220" s="15">
        <f t="shared" si="40"/>
        <v>35000</v>
      </c>
      <c r="F220" s="3"/>
      <c r="G220" s="3"/>
      <c r="H220" s="3"/>
      <c r="I220" s="22">
        <v>30000.0</v>
      </c>
      <c r="J220" s="15">
        <f t="shared" si="41"/>
        <v>30000</v>
      </c>
      <c r="K220" s="15">
        <f t="shared" si="42"/>
        <v>5000</v>
      </c>
      <c r="L220" s="23"/>
      <c r="M220" s="2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>
      <c r="A221" s="91">
        <v>0.5</v>
      </c>
      <c r="B221" s="92" t="s">
        <v>18</v>
      </c>
      <c r="C221" s="88" t="s">
        <v>16</v>
      </c>
      <c r="D221" s="22">
        <v>9000.0</v>
      </c>
      <c r="E221" s="15">
        <f t="shared" si="40"/>
        <v>4500</v>
      </c>
      <c r="F221" s="3"/>
      <c r="G221" s="3"/>
      <c r="H221" s="3"/>
      <c r="I221" s="22">
        <v>9000.0</v>
      </c>
      <c r="J221" s="15">
        <f t="shared" si="41"/>
        <v>4500</v>
      </c>
      <c r="K221" s="15">
        <f t="shared" si="42"/>
        <v>0</v>
      </c>
      <c r="L221" s="23"/>
      <c r="M221" s="2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>
      <c r="A222" s="26">
        <v>3.0</v>
      </c>
      <c r="B222" s="92" t="s">
        <v>50</v>
      </c>
      <c r="C222" s="88" t="s">
        <v>68</v>
      </c>
      <c r="D222" s="22">
        <v>3500.0</v>
      </c>
      <c r="E222" s="15">
        <f t="shared" si="40"/>
        <v>10500</v>
      </c>
      <c r="F222" s="3"/>
      <c r="G222" s="3"/>
      <c r="H222" s="3"/>
      <c r="I222" s="22">
        <v>1500.0</v>
      </c>
      <c r="J222" s="15">
        <f t="shared" si="41"/>
        <v>4500</v>
      </c>
      <c r="K222" s="15">
        <f t="shared" si="42"/>
        <v>6000</v>
      </c>
      <c r="L222" s="23"/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>
      <c r="A223" s="91">
        <v>1.0</v>
      </c>
      <c r="B223" s="92" t="s">
        <v>29</v>
      </c>
      <c r="C223" s="88" t="s">
        <v>176</v>
      </c>
      <c r="D223" s="22">
        <v>30000.0</v>
      </c>
      <c r="E223" s="15">
        <f t="shared" si="40"/>
        <v>30000</v>
      </c>
      <c r="F223" s="3"/>
      <c r="G223" s="3"/>
      <c r="H223" s="3"/>
      <c r="I223" s="22">
        <v>23000.0</v>
      </c>
      <c r="J223" s="15">
        <f t="shared" si="41"/>
        <v>23000</v>
      </c>
      <c r="K223" s="15">
        <f t="shared" si="42"/>
        <v>7000</v>
      </c>
      <c r="L223" s="23"/>
      <c r="M223" s="2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91">
        <v>3.0</v>
      </c>
      <c r="B224" s="92" t="s">
        <v>18</v>
      </c>
      <c r="C224" s="88" t="s">
        <v>24</v>
      </c>
      <c r="D224" s="22">
        <v>35000.0</v>
      </c>
      <c r="E224" s="15">
        <f t="shared" si="40"/>
        <v>105000</v>
      </c>
      <c r="F224" s="3"/>
      <c r="G224" s="3"/>
      <c r="H224" s="3"/>
      <c r="I224" s="22">
        <v>25000.0</v>
      </c>
      <c r="J224" s="15">
        <f t="shared" si="41"/>
        <v>75000</v>
      </c>
      <c r="K224" s="15">
        <f t="shared" si="42"/>
        <v>30000</v>
      </c>
      <c r="L224" s="23"/>
      <c r="M224" s="2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>
      <c r="A225" s="91">
        <v>1.0</v>
      </c>
      <c r="B225" s="92" t="s">
        <v>18</v>
      </c>
      <c r="C225" s="88" t="s">
        <v>25</v>
      </c>
      <c r="D225" s="22">
        <v>20000.0</v>
      </c>
      <c r="E225" s="15">
        <f t="shared" si="40"/>
        <v>20000</v>
      </c>
      <c r="F225" s="3"/>
      <c r="G225" s="3"/>
      <c r="H225" s="3"/>
      <c r="I225" s="22">
        <v>12000.0</v>
      </c>
      <c r="J225" s="15">
        <f t="shared" si="41"/>
        <v>12000</v>
      </c>
      <c r="K225" s="15">
        <f t="shared" si="42"/>
        <v>8000</v>
      </c>
      <c r="L225" s="23"/>
      <c r="M225" s="2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>
      <c r="A226" s="26">
        <v>1.0</v>
      </c>
      <c r="B226" s="92" t="s">
        <v>18</v>
      </c>
      <c r="C226" s="88" t="s">
        <v>26</v>
      </c>
      <c r="D226" s="22">
        <v>32000.0</v>
      </c>
      <c r="E226" s="15">
        <f t="shared" si="40"/>
        <v>32000</v>
      </c>
      <c r="F226" s="3"/>
      <c r="G226" s="3"/>
      <c r="H226" s="3"/>
      <c r="I226" s="22">
        <v>20000.0</v>
      </c>
      <c r="J226" s="15">
        <f t="shared" si="41"/>
        <v>20000</v>
      </c>
      <c r="K226" s="15">
        <f t="shared" si="42"/>
        <v>12000</v>
      </c>
      <c r="L226" s="23"/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>
      <c r="A227" s="26">
        <v>2.0</v>
      </c>
      <c r="B227" s="92" t="s">
        <v>50</v>
      </c>
      <c r="C227" s="88" t="s">
        <v>89</v>
      </c>
      <c r="D227" s="22">
        <v>6000.0</v>
      </c>
      <c r="E227" s="15">
        <f t="shared" si="40"/>
        <v>12000</v>
      </c>
      <c r="F227" s="3"/>
      <c r="G227" s="3"/>
      <c r="H227" s="3"/>
      <c r="I227" s="22">
        <v>3500.0</v>
      </c>
      <c r="J227" s="15">
        <f t="shared" si="41"/>
        <v>7000</v>
      </c>
      <c r="K227" s="15">
        <f t="shared" si="42"/>
        <v>5000</v>
      </c>
      <c r="L227" s="23"/>
      <c r="M227" s="2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26">
        <v>2.0</v>
      </c>
      <c r="B228" s="92" t="s">
        <v>50</v>
      </c>
      <c r="C228" s="88" t="s">
        <v>236</v>
      </c>
      <c r="D228" s="22">
        <v>5000.0</v>
      </c>
      <c r="E228" s="15">
        <f t="shared" si="40"/>
        <v>10000</v>
      </c>
      <c r="F228" s="3"/>
      <c r="G228" s="3"/>
      <c r="H228" s="3"/>
      <c r="I228" s="22">
        <v>3200.0</v>
      </c>
      <c r="J228" s="15">
        <f t="shared" si="41"/>
        <v>6400</v>
      </c>
      <c r="K228" s="15">
        <f t="shared" si="42"/>
        <v>3600</v>
      </c>
      <c r="L228" s="23"/>
      <c r="M228" s="2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>
      <c r="A229" s="91">
        <v>1.0</v>
      </c>
      <c r="B229" s="92" t="s">
        <v>18</v>
      </c>
      <c r="C229" s="88" t="s">
        <v>57</v>
      </c>
      <c r="D229" s="22">
        <v>30000.0</v>
      </c>
      <c r="E229" s="15">
        <f t="shared" si="40"/>
        <v>30000</v>
      </c>
      <c r="F229" s="3"/>
      <c r="G229" s="3"/>
      <c r="H229" s="3"/>
      <c r="I229" s="22">
        <v>25000.0</v>
      </c>
      <c r="J229" s="15">
        <f t="shared" si="41"/>
        <v>25000</v>
      </c>
      <c r="K229" s="15">
        <f t="shared" si="42"/>
        <v>5000</v>
      </c>
      <c r="L229" s="23"/>
      <c r="M229" s="2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91">
        <v>0.5</v>
      </c>
      <c r="B230" s="92" t="s">
        <v>18</v>
      </c>
      <c r="C230" s="88" t="s">
        <v>53</v>
      </c>
      <c r="D230" s="22">
        <v>68000.0</v>
      </c>
      <c r="E230" s="15">
        <f t="shared" si="40"/>
        <v>34000</v>
      </c>
      <c r="F230" s="3"/>
      <c r="G230" s="3"/>
      <c r="H230" s="3"/>
      <c r="I230" s="22">
        <v>50000.0</v>
      </c>
      <c r="J230" s="15">
        <f t="shared" si="41"/>
        <v>25000</v>
      </c>
      <c r="K230" s="15">
        <f t="shared" si="42"/>
        <v>9000</v>
      </c>
      <c r="L230" s="23"/>
      <c r="M230" s="2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>
      <c r="A231" s="91">
        <v>0.5</v>
      </c>
      <c r="B231" s="92" t="s">
        <v>18</v>
      </c>
      <c r="C231" s="88" t="s">
        <v>118</v>
      </c>
      <c r="D231" s="22">
        <v>23000.0</v>
      </c>
      <c r="E231" s="15">
        <f t="shared" si="40"/>
        <v>11500</v>
      </c>
      <c r="F231" s="3"/>
      <c r="G231" s="3"/>
      <c r="H231" s="3"/>
      <c r="I231" s="22">
        <v>15000.0</v>
      </c>
      <c r="J231" s="15">
        <f t="shared" si="41"/>
        <v>7500</v>
      </c>
      <c r="K231" s="15">
        <f t="shared" si="42"/>
        <v>4000</v>
      </c>
      <c r="L231" s="23"/>
      <c r="M231" s="2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>
      <c r="A232" s="26">
        <v>1.0</v>
      </c>
      <c r="B232" s="92" t="s">
        <v>29</v>
      </c>
      <c r="C232" s="88" t="s">
        <v>214</v>
      </c>
      <c r="D232" s="22">
        <v>25000.0</v>
      </c>
      <c r="E232" s="15">
        <f t="shared" si="40"/>
        <v>25000</v>
      </c>
      <c r="F232" s="3"/>
      <c r="G232" s="3"/>
      <c r="H232" s="3"/>
      <c r="I232" s="22">
        <v>24000.0</v>
      </c>
      <c r="J232" s="15">
        <f t="shared" si="41"/>
        <v>24000</v>
      </c>
      <c r="K232" s="15">
        <f t="shared" si="42"/>
        <v>1000</v>
      </c>
      <c r="L232" s="23"/>
      <c r="M232" s="2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>
      <c r="A233" s="91">
        <v>4.0</v>
      </c>
      <c r="B233" s="92" t="s">
        <v>33</v>
      </c>
      <c r="C233" s="88" t="s">
        <v>39</v>
      </c>
      <c r="D233" s="22">
        <v>1000.0</v>
      </c>
      <c r="E233" s="15">
        <f t="shared" si="40"/>
        <v>4000</v>
      </c>
      <c r="F233" s="3"/>
      <c r="G233" s="3"/>
      <c r="H233" s="3"/>
      <c r="I233" s="15">
        <f>13000/15</f>
        <v>866.6666667</v>
      </c>
      <c r="J233" s="15">
        <f t="shared" si="41"/>
        <v>3466.666667</v>
      </c>
      <c r="K233" s="15">
        <f t="shared" si="42"/>
        <v>533.3333333</v>
      </c>
      <c r="L233" s="23"/>
      <c r="M233" s="2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91">
        <v>4.0</v>
      </c>
      <c r="B234" s="92" t="s">
        <v>33</v>
      </c>
      <c r="C234" s="88" t="s">
        <v>119</v>
      </c>
      <c r="D234" s="22">
        <v>3400.0</v>
      </c>
      <c r="E234" s="15">
        <f t="shared" si="40"/>
        <v>13600</v>
      </c>
      <c r="F234" s="3"/>
      <c r="G234" s="3"/>
      <c r="H234" s="86" t="s">
        <v>255</v>
      </c>
      <c r="I234" s="22">
        <v>0.0</v>
      </c>
      <c r="J234" s="15">
        <f t="shared" si="41"/>
        <v>0</v>
      </c>
      <c r="K234" s="15">
        <f t="shared" si="42"/>
        <v>13600</v>
      </c>
      <c r="L234" s="23"/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>
      <c r="A235" s="91">
        <v>3.0</v>
      </c>
      <c r="B235" s="92" t="s">
        <v>50</v>
      </c>
      <c r="C235" s="88" t="s">
        <v>205</v>
      </c>
      <c r="D235" s="22">
        <v>3000.0</v>
      </c>
      <c r="E235" s="15">
        <f t="shared" si="40"/>
        <v>9000</v>
      </c>
      <c r="F235" s="3"/>
      <c r="G235" s="3"/>
      <c r="H235" s="3"/>
      <c r="I235" s="22">
        <v>2000.0</v>
      </c>
      <c r="J235" s="15">
        <f t="shared" si="41"/>
        <v>6000</v>
      </c>
      <c r="K235" s="15">
        <f t="shared" si="42"/>
        <v>3000</v>
      </c>
      <c r="L235" s="23"/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>
      <c r="A236" s="91">
        <v>4.0</v>
      </c>
      <c r="B236" s="92" t="s">
        <v>5</v>
      </c>
      <c r="C236" s="88" t="s">
        <v>256</v>
      </c>
      <c r="D236" s="22">
        <v>3800.0</v>
      </c>
      <c r="E236" s="15">
        <f t="shared" si="40"/>
        <v>15200</v>
      </c>
      <c r="F236" s="3"/>
      <c r="G236" s="3"/>
      <c r="H236" s="3"/>
      <c r="I236" s="15">
        <f>12000/4</f>
        <v>3000</v>
      </c>
      <c r="J236" s="15">
        <f t="shared" si="41"/>
        <v>12000</v>
      </c>
      <c r="K236" s="15">
        <f t="shared" si="42"/>
        <v>3200</v>
      </c>
      <c r="L236" s="23"/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>
      <c r="A237" s="91">
        <v>1.0</v>
      </c>
      <c r="B237" s="92" t="s">
        <v>29</v>
      </c>
      <c r="C237" s="88" t="s">
        <v>213</v>
      </c>
      <c r="D237" s="22">
        <v>25000.0</v>
      </c>
      <c r="E237" s="15">
        <f t="shared" si="40"/>
        <v>25000</v>
      </c>
      <c r="F237" s="3"/>
      <c r="G237" s="3"/>
      <c r="H237" s="86" t="s">
        <v>193</v>
      </c>
      <c r="I237" s="22">
        <v>0.0</v>
      </c>
      <c r="J237" s="15">
        <f t="shared" si="41"/>
        <v>0</v>
      </c>
      <c r="K237" s="15">
        <f t="shared" si="42"/>
        <v>25000</v>
      </c>
      <c r="L237" s="23"/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>
      <c r="A238" s="91">
        <v>0.5</v>
      </c>
      <c r="B238" s="92" t="s">
        <v>29</v>
      </c>
      <c r="C238" s="88" t="s">
        <v>31</v>
      </c>
      <c r="D238" s="22">
        <v>35000.0</v>
      </c>
      <c r="E238" s="15">
        <f t="shared" si="40"/>
        <v>17500</v>
      </c>
      <c r="F238" s="3"/>
      <c r="G238" s="3"/>
      <c r="H238" s="3"/>
      <c r="I238" s="22">
        <v>25000.0</v>
      </c>
      <c r="J238" s="15">
        <f t="shared" si="41"/>
        <v>12500</v>
      </c>
      <c r="K238" s="15">
        <f t="shared" si="42"/>
        <v>5000</v>
      </c>
      <c r="L238" s="23"/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1"/>
      <c r="B239" s="3"/>
      <c r="C239" s="1"/>
      <c r="D239" s="3"/>
      <c r="E239" s="3"/>
      <c r="F239" s="3"/>
      <c r="G239" s="3"/>
      <c r="H239" s="3"/>
      <c r="I239" s="22" t="s">
        <v>13</v>
      </c>
      <c r="J239" s="15"/>
      <c r="K239" s="3"/>
      <c r="L239" s="23"/>
      <c r="M239" s="2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1"/>
      <c r="B240" s="3"/>
      <c r="C240" s="1"/>
      <c r="D240" s="3"/>
      <c r="E240" s="15">
        <f>SUM(E211:E239)</f>
        <v>843800</v>
      </c>
      <c r="F240" s="3"/>
      <c r="G240" s="3"/>
      <c r="H240" s="3"/>
      <c r="I240" s="3"/>
      <c r="J240" s="3"/>
      <c r="K240" s="15">
        <f>SUM(K211:K238)</f>
        <v>243933.3333</v>
      </c>
      <c r="L240" s="23">
        <f>K240/E240</f>
        <v>0.2890890416</v>
      </c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24"/>
      <c r="B241" s="24"/>
      <c r="C241" s="24"/>
      <c r="D241" s="32"/>
      <c r="E241" s="7"/>
      <c r="F241" s="33"/>
      <c r="G241" s="25"/>
      <c r="H241" s="25"/>
      <c r="I241" s="16"/>
      <c r="J241" s="16"/>
      <c r="K241" s="16"/>
      <c r="L241" s="34"/>
      <c r="M241" s="2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24"/>
      <c r="B242" s="24"/>
      <c r="C242" s="24"/>
      <c r="D242" s="32"/>
      <c r="E242" s="7"/>
      <c r="F242" s="33"/>
      <c r="G242" s="25"/>
      <c r="H242" s="25"/>
      <c r="I242" s="16"/>
      <c r="J242" s="16"/>
      <c r="K242" s="16"/>
      <c r="L242" s="34"/>
      <c r="M242" s="2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>
      <c r="A243" s="5" t="s">
        <v>108</v>
      </c>
      <c r="B243" s="1"/>
      <c r="C243" s="1"/>
      <c r="D243" s="22" t="s">
        <v>207</v>
      </c>
      <c r="E243" s="7">
        <v>46059.0</v>
      </c>
      <c r="F243" s="3"/>
      <c r="G243" s="3"/>
      <c r="H243" s="3"/>
      <c r="I243" s="3"/>
      <c r="J243" s="3"/>
      <c r="K243" s="3"/>
      <c r="L243" s="4"/>
      <c r="M243" s="2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>
      <c r="A244" s="1"/>
      <c r="B244" s="3"/>
      <c r="C244" s="2"/>
      <c r="D244" s="3"/>
      <c r="E244" s="3"/>
      <c r="F244" s="3"/>
      <c r="G244" s="3"/>
      <c r="H244" s="3"/>
      <c r="I244" s="3"/>
      <c r="J244" s="3"/>
      <c r="K244" s="3"/>
      <c r="L244" s="4"/>
      <c r="M244" s="2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5" t="s">
        <v>4</v>
      </c>
      <c r="B245" s="10" t="s">
        <v>5</v>
      </c>
      <c r="C245" s="11" t="s">
        <v>6</v>
      </c>
      <c r="D245" s="10" t="s">
        <v>7</v>
      </c>
      <c r="E245" s="10" t="s">
        <v>8</v>
      </c>
      <c r="F245" s="3"/>
      <c r="G245" s="3"/>
      <c r="H245" s="3"/>
      <c r="I245" s="10" t="s">
        <v>7</v>
      </c>
      <c r="J245" s="10" t="s">
        <v>8</v>
      </c>
      <c r="K245" s="10" t="s">
        <v>10</v>
      </c>
      <c r="L245" s="4"/>
      <c r="M245" s="2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>
      <c r="A246" s="91">
        <v>3.0</v>
      </c>
      <c r="B246" s="92" t="s">
        <v>33</v>
      </c>
      <c r="C246" s="93" t="s">
        <v>24</v>
      </c>
      <c r="D246" s="22">
        <v>4500.0</v>
      </c>
      <c r="E246" s="15">
        <f t="shared" ref="E246:E263" si="43">A246*D246</f>
        <v>13500</v>
      </c>
      <c r="F246" s="3"/>
      <c r="G246" s="3"/>
      <c r="H246" s="3"/>
      <c r="I246" s="15">
        <f>25000/7</f>
        <v>3571.428571</v>
      </c>
      <c r="J246" s="15">
        <f t="shared" ref="J246:J263" si="44">I246*A246</f>
        <v>10714.28571</v>
      </c>
      <c r="K246" s="15">
        <f t="shared" ref="K246:K263" si="45">E246-J246</f>
        <v>2785.714286</v>
      </c>
      <c r="L246" s="4"/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A247" s="91">
        <v>4.0</v>
      </c>
      <c r="B247" s="92" t="s">
        <v>38</v>
      </c>
      <c r="C247" s="93" t="s">
        <v>179</v>
      </c>
      <c r="D247" s="22">
        <v>22000.0</v>
      </c>
      <c r="E247" s="15">
        <f t="shared" si="43"/>
        <v>88000</v>
      </c>
      <c r="F247" s="3"/>
      <c r="G247" s="3"/>
      <c r="H247" s="3"/>
      <c r="I247" s="22">
        <v>17500.0</v>
      </c>
      <c r="J247" s="15">
        <f t="shared" si="44"/>
        <v>70000</v>
      </c>
      <c r="K247" s="15">
        <f t="shared" si="45"/>
        <v>18000</v>
      </c>
      <c r="L247" s="4"/>
      <c r="M247" s="2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91">
        <v>0.5</v>
      </c>
      <c r="B248" s="92" t="s">
        <v>18</v>
      </c>
      <c r="C248" s="93" t="s">
        <v>194</v>
      </c>
      <c r="D248" s="22">
        <v>14000.0</v>
      </c>
      <c r="E248" s="15">
        <f t="shared" si="43"/>
        <v>7000</v>
      </c>
      <c r="F248" s="3"/>
      <c r="G248" s="3"/>
      <c r="H248" s="86" t="s">
        <v>255</v>
      </c>
      <c r="I248" s="15"/>
      <c r="J248" s="15">
        <f t="shared" si="44"/>
        <v>0</v>
      </c>
      <c r="K248" s="15">
        <f t="shared" si="45"/>
        <v>7000</v>
      </c>
      <c r="L248" s="4"/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>
      <c r="A249" s="91">
        <v>1.0</v>
      </c>
      <c r="B249" s="92" t="s">
        <v>18</v>
      </c>
      <c r="C249" s="93" t="s">
        <v>195</v>
      </c>
      <c r="D249" s="22">
        <v>10000.0</v>
      </c>
      <c r="E249" s="15">
        <f t="shared" si="43"/>
        <v>10000</v>
      </c>
      <c r="F249" s="3"/>
      <c r="G249" s="3"/>
      <c r="H249" s="3"/>
      <c r="I249" s="22">
        <v>7000.0</v>
      </c>
      <c r="J249" s="15">
        <f t="shared" si="44"/>
        <v>7000</v>
      </c>
      <c r="K249" s="15">
        <f t="shared" si="45"/>
        <v>3000</v>
      </c>
      <c r="L249" s="4"/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26">
        <v>1.0</v>
      </c>
      <c r="B250" s="92" t="s">
        <v>18</v>
      </c>
      <c r="C250" s="93" t="s">
        <v>65</v>
      </c>
      <c r="D250" s="22">
        <v>9000.0</v>
      </c>
      <c r="E250" s="15">
        <f t="shared" si="43"/>
        <v>9000</v>
      </c>
      <c r="F250" s="3"/>
      <c r="G250" s="3"/>
      <c r="H250" s="3"/>
      <c r="I250" s="22">
        <v>6000.0</v>
      </c>
      <c r="J250" s="15">
        <f t="shared" si="44"/>
        <v>6000</v>
      </c>
      <c r="K250" s="15">
        <f t="shared" si="45"/>
        <v>3000</v>
      </c>
      <c r="L250" s="4"/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26">
        <v>3.0</v>
      </c>
      <c r="B251" s="10" t="s">
        <v>33</v>
      </c>
      <c r="C251" s="93" t="s">
        <v>174</v>
      </c>
      <c r="D251" s="22">
        <v>1600.0</v>
      </c>
      <c r="E251" s="15">
        <f t="shared" si="43"/>
        <v>4800</v>
      </c>
      <c r="F251" s="3"/>
      <c r="G251" s="3"/>
      <c r="H251" s="3"/>
      <c r="I251" s="22">
        <v>1000.0</v>
      </c>
      <c r="J251" s="15">
        <f t="shared" si="44"/>
        <v>3000</v>
      </c>
      <c r="K251" s="15">
        <f t="shared" si="45"/>
        <v>1800</v>
      </c>
      <c r="L251" s="4"/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91">
        <v>7.0</v>
      </c>
      <c r="B252" s="92" t="s">
        <v>33</v>
      </c>
      <c r="C252" s="93" t="s">
        <v>64</v>
      </c>
      <c r="D252" s="22">
        <v>1800.0</v>
      </c>
      <c r="E252" s="15">
        <f t="shared" si="43"/>
        <v>12600</v>
      </c>
      <c r="F252" s="3"/>
      <c r="G252" s="3"/>
      <c r="H252" s="3"/>
      <c r="I252" s="15">
        <f>20000/15</f>
        <v>1333.333333</v>
      </c>
      <c r="J252" s="15">
        <f t="shared" si="44"/>
        <v>9333.333333</v>
      </c>
      <c r="K252" s="15">
        <f t="shared" si="45"/>
        <v>3266.666667</v>
      </c>
      <c r="L252" s="4"/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91">
        <v>4.0</v>
      </c>
      <c r="B253" s="92" t="s">
        <v>5</v>
      </c>
      <c r="C253" s="93" t="s">
        <v>176</v>
      </c>
      <c r="D253" s="22">
        <v>900.0</v>
      </c>
      <c r="E253" s="15">
        <f t="shared" si="43"/>
        <v>3600</v>
      </c>
      <c r="F253" s="3"/>
      <c r="G253" s="3"/>
      <c r="H253" s="3"/>
      <c r="I253" s="15">
        <f>23000/50</f>
        <v>460</v>
      </c>
      <c r="J253" s="15">
        <f t="shared" si="44"/>
        <v>1840</v>
      </c>
      <c r="K253" s="15">
        <f t="shared" si="45"/>
        <v>1760</v>
      </c>
      <c r="L253" s="4"/>
      <c r="M253" s="2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A254" s="91">
        <v>2.0</v>
      </c>
      <c r="B254" s="92" t="s">
        <v>33</v>
      </c>
      <c r="C254" s="93" t="s">
        <v>56</v>
      </c>
      <c r="D254" s="22">
        <v>2700.0</v>
      </c>
      <c r="E254" s="15">
        <f t="shared" si="43"/>
        <v>5400</v>
      </c>
      <c r="F254" s="3"/>
      <c r="G254" s="3"/>
      <c r="H254" s="3"/>
      <c r="I254" s="15">
        <f>28000/17</f>
        <v>1647.058824</v>
      </c>
      <c r="J254" s="15">
        <f t="shared" si="44"/>
        <v>3294.117647</v>
      </c>
      <c r="K254" s="15">
        <f t="shared" si="45"/>
        <v>2105.882353</v>
      </c>
      <c r="L254" s="4"/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>
      <c r="A255" s="91">
        <v>12.0</v>
      </c>
      <c r="B255" s="92" t="s">
        <v>5</v>
      </c>
      <c r="C255" s="93" t="s">
        <v>87</v>
      </c>
      <c r="D255" s="22">
        <v>1300.0</v>
      </c>
      <c r="E255" s="15">
        <f t="shared" si="43"/>
        <v>15600</v>
      </c>
      <c r="F255" s="3"/>
      <c r="G255" s="3"/>
      <c r="H255" s="3"/>
      <c r="I255" s="15">
        <f>64000/80</f>
        <v>800</v>
      </c>
      <c r="J255" s="15">
        <f t="shared" si="44"/>
        <v>9600</v>
      </c>
      <c r="K255" s="15">
        <f t="shared" si="45"/>
        <v>6000</v>
      </c>
      <c r="L255" s="4"/>
      <c r="M255" s="2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>
      <c r="A256" s="91">
        <v>1.0</v>
      </c>
      <c r="B256" s="10" t="s">
        <v>18</v>
      </c>
      <c r="C256" s="93" t="s">
        <v>20</v>
      </c>
      <c r="D256" s="22">
        <v>25000.0</v>
      </c>
      <c r="E256" s="15">
        <f t="shared" si="43"/>
        <v>25000</v>
      </c>
      <c r="F256" s="3"/>
      <c r="G256" s="3"/>
      <c r="H256" s="3"/>
      <c r="I256" s="22">
        <v>15000.0</v>
      </c>
      <c r="J256" s="15">
        <f t="shared" si="44"/>
        <v>15000</v>
      </c>
      <c r="K256" s="15">
        <f t="shared" si="45"/>
        <v>10000</v>
      </c>
      <c r="L256" s="4"/>
      <c r="M256" s="2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>
      <c r="A257" s="91">
        <v>5.0</v>
      </c>
      <c r="B257" s="10" t="s">
        <v>33</v>
      </c>
      <c r="C257" s="93" t="s">
        <v>67</v>
      </c>
      <c r="D257" s="22">
        <v>900.0</v>
      </c>
      <c r="E257" s="15">
        <f t="shared" si="43"/>
        <v>4500</v>
      </c>
      <c r="F257" s="3"/>
      <c r="G257" s="3"/>
      <c r="H257" s="3"/>
      <c r="I257" s="15">
        <f>9500/17</f>
        <v>558.8235294</v>
      </c>
      <c r="J257" s="15">
        <f t="shared" si="44"/>
        <v>2794.117647</v>
      </c>
      <c r="K257" s="15">
        <f t="shared" si="45"/>
        <v>1705.882353</v>
      </c>
      <c r="L257" s="4"/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>
      <c r="A258" s="91">
        <v>2.0</v>
      </c>
      <c r="B258" s="92" t="s">
        <v>50</v>
      </c>
      <c r="C258" s="93" t="s">
        <v>16</v>
      </c>
      <c r="D258" s="22">
        <v>900.0</v>
      </c>
      <c r="E258" s="15">
        <f t="shared" si="43"/>
        <v>1800</v>
      </c>
      <c r="F258" s="3"/>
      <c r="G258" s="3"/>
      <c r="H258" s="3"/>
      <c r="I258" s="15">
        <f>9000/24</f>
        <v>375</v>
      </c>
      <c r="J258" s="15">
        <f t="shared" si="44"/>
        <v>750</v>
      </c>
      <c r="K258" s="15">
        <f t="shared" si="45"/>
        <v>1050</v>
      </c>
      <c r="L258" s="4"/>
      <c r="M258" s="2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>
      <c r="A259" s="91">
        <v>2.0</v>
      </c>
      <c r="B259" s="92" t="s">
        <v>33</v>
      </c>
      <c r="C259" s="93" t="s">
        <v>47</v>
      </c>
      <c r="D259" s="22">
        <v>1500.0</v>
      </c>
      <c r="E259" s="15">
        <f t="shared" si="43"/>
        <v>3000</v>
      </c>
      <c r="F259" s="3"/>
      <c r="G259" s="3"/>
      <c r="H259" s="3"/>
      <c r="I259" s="15">
        <f>9000/8</f>
        <v>1125</v>
      </c>
      <c r="J259" s="15">
        <f t="shared" si="44"/>
        <v>2250</v>
      </c>
      <c r="K259" s="15">
        <f t="shared" si="45"/>
        <v>750</v>
      </c>
      <c r="L259" s="4"/>
      <c r="M259" s="2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>
      <c r="A260" s="26">
        <v>1.0</v>
      </c>
      <c r="B260" s="92" t="s">
        <v>50</v>
      </c>
      <c r="C260" s="93" t="s">
        <v>236</v>
      </c>
      <c r="D260" s="22">
        <v>5000.0</v>
      </c>
      <c r="E260" s="15">
        <f t="shared" si="43"/>
        <v>5000</v>
      </c>
      <c r="F260" s="3"/>
      <c r="G260" s="3"/>
      <c r="H260" s="3"/>
      <c r="I260" s="22">
        <v>3200.0</v>
      </c>
      <c r="J260" s="15">
        <f t="shared" si="44"/>
        <v>3200</v>
      </c>
      <c r="K260" s="15">
        <f t="shared" si="45"/>
        <v>1800</v>
      </c>
      <c r="L260" s="4"/>
      <c r="M260" s="2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>
      <c r="A261" s="91">
        <v>0.5</v>
      </c>
      <c r="B261" s="10" t="s">
        <v>18</v>
      </c>
      <c r="C261" s="93" t="s">
        <v>119</v>
      </c>
      <c r="D261" s="22">
        <v>38000.0</v>
      </c>
      <c r="E261" s="15">
        <f t="shared" si="43"/>
        <v>19000</v>
      </c>
      <c r="F261" s="3"/>
      <c r="G261" s="3"/>
      <c r="H261" s="3"/>
      <c r="I261" s="22">
        <v>30000.0</v>
      </c>
      <c r="J261" s="15">
        <f t="shared" si="44"/>
        <v>15000</v>
      </c>
      <c r="K261" s="15">
        <f t="shared" si="45"/>
        <v>4000</v>
      </c>
      <c r="L261" s="4"/>
      <c r="M261" s="2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>
      <c r="A262" s="91">
        <v>1.0</v>
      </c>
      <c r="B262" s="92" t="s">
        <v>33</v>
      </c>
      <c r="C262" s="93" t="s">
        <v>97</v>
      </c>
      <c r="D262" s="22">
        <v>20000.0</v>
      </c>
      <c r="E262" s="15">
        <f t="shared" si="43"/>
        <v>20000</v>
      </c>
      <c r="F262" s="3"/>
      <c r="G262" s="3"/>
      <c r="H262" s="3"/>
      <c r="I262" s="22">
        <v>18000.0</v>
      </c>
      <c r="J262" s="15">
        <f t="shared" si="44"/>
        <v>18000</v>
      </c>
      <c r="K262" s="15">
        <f t="shared" si="45"/>
        <v>2000</v>
      </c>
      <c r="L262" s="4"/>
      <c r="M262" s="2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>
      <c r="A263" s="91">
        <v>1.0</v>
      </c>
      <c r="B263" s="92" t="s">
        <v>50</v>
      </c>
      <c r="C263" s="93" t="s">
        <v>205</v>
      </c>
      <c r="D263" s="22">
        <v>3000.0</v>
      </c>
      <c r="E263" s="15">
        <f t="shared" si="43"/>
        <v>3000</v>
      </c>
      <c r="F263" s="3"/>
      <c r="G263" s="3"/>
      <c r="H263" s="3"/>
      <c r="I263" s="22">
        <v>2000.0</v>
      </c>
      <c r="J263" s="15">
        <f t="shared" si="44"/>
        <v>2000</v>
      </c>
      <c r="K263" s="15">
        <f t="shared" si="45"/>
        <v>1000</v>
      </c>
      <c r="L263" s="4"/>
      <c r="M263" s="2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>
      <c r="A264" s="1"/>
      <c r="B264" s="3"/>
      <c r="C264" s="2"/>
      <c r="D264" s="3"/>
      <c r="E264" s="3"/>
      <c r="F264" s="3"/>
      <c r="G264" s="2"/>
      <c r="H264" s="3"/>
      <c r="I264" s="3"/>
      <c r="J264" s="3"/>
      <c r="K264" s="3"/>
      <c r="L264" s="4"/>
      <c r="M264" s="2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>
      <c r="A265" s="1"/>
      <c r="B265" s="3"/>
      <c r="C265" s="2"/>
      <c r="D265" s="3"/>
      <c r="E265" s="15">
        <f>SUM(E246:E264)</f>
        <v>250800</v>
      </c>
      <c r="F265" s="3"/>
      <c r="G265" s="3"/>
      <c r="H265" s="3"/>
      <c r="I265" s="3"/>
      <c r="J265" s="3"/>
      <c r="K265" s="15">
        <f>SUM(K246:K263)</f>
        <v>71024.14566</v>
      </c>
      <c r="L265" s="23">
        <f>K265/E265</f>
        <v>0.2831903734</v>
      </c>
      <c r="M265" s="2"/>
      <c r="N265" s="3"/>
      <c r="O265" s="2"/>
      <c r="P265" s="3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>
      <c r="A266" s="30"/>
      <c r="B266" s="31"/>
      <c r="C266" s="2"/>
      <c r="D266" s="3"/>
      <c r="E266" s="3"/>
      <c r="F266" s="3"/>
      <c r="G266" s="2"/>
      <c r="H266" s="2"/>
      <c r="I266" s="2"/>
      <c r="J266" s="2"/>
      <c r="K266" s="3"/>
      <c r="L266" s="4"/>
      <c r="M266" s="2"/>
      <c r="N266" s="3"/>
      <c r="O266" s="2"/>
      <c r="P266" s="3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>
      <c r="A267" s="30"/>
      <c r="B267" s="31"/>
      <c r="C267" s="2"/>
      <c r="D267" s="3"/>
      <c r="E267" s="3"/>
      <c r="F267" s="3"/>
      <c r="G267" s="2"/>
      <c r="H267" s="2"/>
      <c r="I267" s="2"/>
      <c r="J267" s="2"/>
      <c r="K267" s="3"/>
      <c r="L267" s="4"/>
      <c r="M267" s="2"/>
      <c r="N267" s="3"/>
      <c r="O267" s="2"/>
      <c r="P267" s="3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>
      <c r="A268" s="30"/>
      <c r="B268" s="31"/>
      <c r="C268" s="2"/>
      <c r="D268" s="3"/>
      <c r="E268" s="3"/>
      <c r="F268" s="3"/>
      <c r="G268" s="2"/>
      <c r="H268" s="2"/>
      <c r="I268" s="2"/>
      <c r="J268" s="2"/>
      <c r="K268" s="3"/>
      <c r="L268" s="4"/>
      <c r="M268" s="2"/>
      <c r="N268" s="3"/>
      <c r="O268" s="2"/>
      <c r="P268" s="3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>
      <c r="A269" s="30"/>
      <c r="B269" s="31"/>
      <c r="C269" s="2"/>
      <c r="D269" s="3"/>
      <c r="E269" s="3"/>
      <c r="F269" s="3"/>
      <c r="G269" s="2"/>
      <c r="H269" s="2"/>
      <c r="I269" s="2"/>
      <c r="J269" s="2"/>
      <c r="K269" s="3"/>
      <c r="L269" s="4"/>
      <c r="M269" s="2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>
      <c r="A270" s="24" t="s">
        <v>115</v>
      </c>
      <c r="B270" s="1"/>
      <c r="C270" s="1"/>
      <c r="D270" s="22" t="s">
        <v>257</v>
      </c>
      <c r="E270" s="7">
        <v>46059.0</v>
      </c>
      <c r="F270" s="6" t="s">
        <v>2</v>
      </c>
      <c r="G270" s="3"/>
      <c r="H270" s="3"/>
      <c r="I270" s="3"/>
      <c r="J270" s="3"/>
      <c r="K270" s="3"/>
      <c r="L270" s="4"/>
      <c r="M270" s="2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>
      <c r="A271" s="1"/>
      <c r="B271" s="3"/>
      <c r="C271" s="2"/>
      <c r="D271" s="3"/>
      <c r="E271" s="3"/>
      <c r="F271" s="3"/>
      <c r="G271" s="3"/>
      <c r="H271" s="3"/>
      <c r="I271" s="3"/>
      <c r="J271" s="3"/>
      <c r="K271" s="3"/>
      <c r="L271" s="4"/>
      <c r="M271" s="2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>
      <c r="A272" s="5" t="s">
        <v>4</v>
      </c>
      <c r="B272" s="10" t="s">
        <v>5</v>
      </c>
      <c r="C272" s="11" t="s">
        <v>6</v>
      </c>
      <c r="D272" s="10" t="s">
        <v>7</v>
      </c>
      <c r="E272" s="10" t="s">
        <v>8</v>
      </c>
      <c r="F272" s="3"/>
      <c r="G272" s="3"/>
      <c r="H272" s="3"/>
      <c r="I272" s="10" t="s">
        <v>7</v>
      </c>
      <c r="J272" s="10" t="s">
        <v>8</v>
      </c>
      <c r="K272" s="10" t="s">
        <v>10</v>
      </c>
      <c r="L272" s="4"/>
      <c r="M272" s="2"/>
      <c r="N272" s="3"/>
      <c r="O272" s="2"/>
      <c r="P272" s="3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>
      <c r="A273" s="91">
        <v>1.0</v>
      </c>
      <c r="B273" s="92" t="s">
        <v>38</v>
      </c>
      <c r="C273" s="93" t="s">
        <v>179</v>
      </c>
      <c r="D273" s="22">
        <v>22000.0</v>
      </c>
      <c r="E273" s="15">
        <f t="shared" ref="E273:E297" si="46">A273*D273</f>
        <v>22000</v>
      </c>
      <c r="F273" s="3"/>
      <c r="G273" s="3"/>
      <c r="H273" s="3"/>
      <c r="I273" s="22">
        <v>17500.0</v>
      </c>
      <c r="J273" s="15">
        <f t="shared" ref="J273:J297" si="47">I273*A273</f>
        <v>17500</v>
      </c>
      <c r="K273" s="15">
        <f t="shared" ref="K273:K297" si="48">E273-J273</f>
        <v>4500</v>
      </c>
      <c r="L273" s="4"/>
      <c r="M273" s="2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>
      <c r="A274" s="91">
        <v>1.0</v>
      </c>
      <c r="B274" s="92" t="s">
        <v>38</v>
      </c>
      <c r="C274" s="93" t="s">
        <v>47</v>
      </c>
      <c r="D274" s="22">
        <v>12000.0</v>
      </c>
      <c r="E274" s="15">
        <f t="shared" si="46"/>
        <v>12000</v>
      </c>
      <c r="F274" s="3"/>
      <c r="G274" s="3"/>
      <c r="H274" s="3"/>
      <c r="I274" s="22">
        <v>9000.0</v>
      </c>
      <c r="J274" s="15">
        <f t="shared" si="47"/>
        <v>9000</v>
      </c>
      <c r="K274" s="15">
        <f t="shared" si="48"/>
        <v>3000</v>
      </c>
      <c r="L274" s="4"/>
      <c r="M274" s="2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>
      <c r="A275" s="26">
        <v>3.0</v>
      </c>
      <c r="B275" s="10" t="s">
        <v>18</v>
      </c>
      <c r="C275" s="11" t="s">
        <v>103</v>
      </c>
      <c r="D275" s="22">
        <v>14000.0</v>
      </c>
      <c r="E275" s="15">
        <f t="shared" si="46"/>
        <v>42000</v>
      </c>
      <c r="F275" s="3"/>
      <c r="G275" s="3"/>
      <c r="H275" s="3"/>
      <c r="I275" s="22">
        <v>8000.0</v>
      </c>
      <c r="J275" s="15">
        <f t="shared" si="47"/>
        <v>24000</v>
      </c>
      <c r="K275" s="15">
        <f t="shared" si="48"/>
        <v>18000</v>
      </c>
      <c r="L275" s="4"/>
      <c r="M275" s="2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>
      <c r="A276" s="91">
        <v>0.5</v>
      </c>
      <c r="B276" s="92" t="s">
        <v>33</v>
      </c>
      <c r="C276" s="93" t="s">
        <v>97</v>
      </c>
      <c r="D276" s="22">
        <v>20000.0</v>
      </c>
      <c r="E276" s="15">
        <f t="shared" si="46"/>
        <v>10000</v>
      </c>
      <c r="F276" s="3"/>
      <c r="G276" s="3"/>
      <c r="H276" s="3"/>
      <c r="I276" s="22">
        <v>18000.0</v>
      </c>
      <c r="J276" s="15">
        <f t="shared" si="47"/>
        <v>9000</v>
      </c>
      <c r="K276" s="15">
        <f t="shared" si="48"/>
        <v>1000</v>
      </c>
      <c r="L276" s="4"/>
      <c r="M276" s="2"/>
      <c r="N276" s="3"/>
      <c r="O276" s="2"/>
      <c r="P276" s="3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>
      <c r="A277" s="91">
        <v>0.5</v>
      </c>
      <c r="B277" s="10" t="s">
        <v>33</v>
      </c>
      <c r="C277" s="93" t="s">
        <v>183</v>
      </c>
      <c r="D277" s="22">
        <v>22000.0</v>
      </c>
      <c r="E277" s="15">
        <f t="shared" si="46"/>
        <v>11000</v>
      </c>
      <c r="F277" s="3"/>
      <c r="G277" s="3"/>
      <c r="H277" s="3"/>
      <c r="I277" s="22">
        <v>20000.0</v>
      </c>
      <c r="J277" s="15">
        <f t="shared" si="47"/>
        <v>10000</v>
      </c>
      <c r="K277" s="15">
        <f t="shared" si="48"/>
        <v>1000</v>
      </c>
      <c r="L277" s="4"/>
      <c r="M277" s="2"/>
      <c r="N277" s="3"/>
      <c r="O277" s="2"/>
      <c r="P277" s="3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>
      <c r="A278" s="91">
        <v>5.0</v>
      </c>
      <c r="B278" s="92" t="s">
        <v>5</v>
      </c>
      <c r="C278" s="93" t="s">
        <v>176</v>
      </c>
      <c r="D278" s="22">
        <v>900.0</v>
      </c>
      <c r="E278" s="15">
        <f t="shared" si="46"/>
        <v>4500</v>
      </c>
      <c r="F278" s="3"/>
      <c r="G278" s="3"/>
      <c r="H278" s="3"/>
      <c r="I278" s="15">
        <f>23000/50</f>
        <v>460</v>
      </c>
      <c r="J278" s="15">
        <f t="shared" si="47"/>
        <v>2300</v>
      </c>
      <c r="K278" s="15">
        <f t="shared" si="48"/>
        <v>2200</v>
      </c>
      <c r="L278" s="4"/>
      <c r="M278" s="2"/>
      <c r="N278" s="3"/>
      <c r="O278" s="2"/>
      <c r="P278" s="3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>
      <c r="A279" s="26">
        <v>1.0</v>
      </c>
      <c r="B279" s="92" t="s">
        <v>5</v>
      </c>
      <c r="C279" s="93" t="s">
        <v>104</v>
      </c>
      <c r="D279" s="22">
        <v>2500.0</v>
      </c>
      <c r="E279" s="15">
        <f t="shared" si="46"/>
        <v>2500</v>
      </c>
      <c r="F279" s="3"/>
      <c r="G279" s="3"/>
      <c r="H279" s="3"/>
      <c r="I279" s="22">
        <v>2000.0</v>
      </c>
      <c r="J279" s="15">
        <f t="shared" si="47"/>
        <v>2000</v>
      </c>
      <c r="K279" s="15">
        <f t="shared" si="48"/>
        <v>500</v>
      </c>
      <c r="L279" s="4"/>
      <c r="M279" s="2"/>
      <c r="N279" s="3"/>
      <c r="O279" s="2"/>
      <c r="P279" s="3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>
      <c r="A280" s="91">
        <v>5.0</v>
      </c>
      <c r="B280" s="10" t="s">
        <v>33</v>
      </c>
      <c r="C280" s="93" t="s">
        <v>174</v>
      </c>
      <c r="D280" s="22">
        <v>1600.0</v>
      </c>
      <c r="E280" s="15">
        <f t="shared" si="46"/>
        <v>8000</v>
      </c>
      <c r="F280" s="3"/>
      <c r="G280" s="3"/>
      <c r="H280" s="3"/>
      <c r="I280" s="22">
        <v>1000.0</v>
      </c>
      <c r="J280" s="15">
        <f t="shared" si="47"/>
        <v>5000</v>
      </c>
      <c r="K280" s="15">
        <f t="shared" si="48"/>
        <v>3000</v>
      </c>
      <c r="L280" s="4"/>
      <c r="M280" s="2"/>
      <c r="N280" s="3"/>
      <c r="O280" s="2"/>
      <c r="P280" s="3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>
      <c r="A281" s="26">
        <v>1.0</v>
      </c>
      <c r="B281" s="92" t="s">
        <v>18</v>
      </c>
      <c r="C281" s="93" t="s">
        <v>39</v>
      </c>
      <c r="D281" s="22">
        <v>16000.0</v>
      </c>
      <c r="E281" s="15">
        <f t="shared" si="46"/>
        <v>16000</v>
      </c>
      <c r="F281" s="3"/>
      <c r="G281" s="3"/>
      <c r="H281" s="3"/>
      <c r="I281" s="22">
        <v>13000.0</v>
      </c>
      <c r="J281" s="15">
        <f t="shared" si="47"/>
        <v>13000</v>
      </c>
      <c r="K281" s="15">
        <f t="shared" si="48"/>
        <v>3000</v>
      </c>
      <c r="L281" s="4"/>
      <c r="M281" s="2"/>
      <c r="N281" s="3"/>
      <c r="O281" s="2"/>
      <c r="P281" s="3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>
      <c r="A282" s="26">
        <v>0.5</v>
      </c>
      <c r="B282" s="10" t="s">
        <v>18</v>
      </c>
      <c r="C282" s="93" t="s">
        <v>119</v>
      </c>
      <c r="D282" s="22">
        <v>38000.0</v>
      </c>
      <c r="E282" s="15">
        <f t="shared" si="46"/>
        <v>19000</v>
      </c>
      <c r="F282" s="3"/>
      <c r="G282" s="3"/>
      <c r="H282" s="3"/>
      <c r="I282" s="22">
        <v>30000.0</v>
      </c>
      <c r="J282" s="15">
        <f t="shared" si="47"/>
        <v>15000</v>
      </c>
      <c r="K282" s="15">
        <f t="shared" si="48"/>
        <v>4000</v>
      </c>
      <c r="L282" s="4"/>
      <c r="M282" s="2"/>
      <c r="N282" s="3"/>
      <c r="O282" s="2"/>
      <c r="P282" s="3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>
      <c r="A283" s="91">
        <v>5.0</v>
      </c>
      <c r="B283" s="92" t="s">
        <v>33</v>
      </c>
      <c r="C283" s="93" t="s">
        <v>64</v>
      </c>
      <c r="D283" s="22">
        <v>1800.0</v>
      </c>
      <c r="E283" s="15">
        <f t="shared" si="46"/>
        <v>9000</v>
      </c>
      <c r="F283" s="3"/>
      <c r="G283" s="3"/>
      <c r="H283" s="3"/>
      <c r="I283" s="15">
        <f>20000/15</f>
        <v>1333.333333</v>
      </c>
      <c r="J283" s="15">
        <f t="shared" si="47"/>
        <v>6666.666667</v>
      </c>
      <c r="K283" s="15">
        <f t="shared" si="48"/>
        <v>2333.333333</v>
      </c>
      <c r="L283" s="4"/>
      <c r="M283" s="2"/>
      <c r="N283" s="3"/>
      <c r="O283" s="2"/>
      <c r="P283" s="3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>
      <c r="A284" s="91">
        <v>3.0</v>
      </c>
      <c r="B284" s="92" t="s">
        <v>33</v>
      </c>
      <c r="C284" s="93" t="s">
        <v>24</v>
      </c>
      <c r="D284" s="22">
        <v>4500.0</v>
      </c>
      <c r="E284" s="15">
        <f t="shared" si="46"/>
        <v>13500</v>
      </c>
      <c r="F284" s="3"/>
      <c r="G284" s="3"/>
      <c r="H284" s="3"/>
      <c r="I284" s="15">
        <f>25000/8</f>
        <v>3125</v>
      </c>
      <c r="J284" s="15">
        <f t="shared" si="47"/>
        <v>9375</v>
      </c>
      <c r="K284" s="15">
        <f t="shared" si="48"/>
        <v>4125</v>
      </c>
      <c r="L284" s="4"/>
      <c r="M284" s="2"/>
      <c r="N284" s="3"/>
      <c r="O284" s="2"/>
      <c r="P284" s="3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>
      <c r="A285" s="26">
        <v>3.0</v>
      </c>
      <c r="B285" s="92" t="s">
        <v>33</v>
      </c>
      <c r="C285" s="93" t="s">
        <v>86</v>
      </c>
      <c r="D285" s="22">
        <v>4000.0</v>
      </c>
      <c r="E285" s="15">
        <f t="shared" si="46"/>
        <v>12000</v>
      </c>
      <c r="F285" s="3"/>
      <c r="G285" s="3"/>
      <c r="H285" s="3"/>
      <c r="I285" s="22">
        <v>3000.0</v>
      </c>
      <c r="J285" s="15">
        <f t="shared" si="47"/>
        <v>9000</v>
      </c>
      <c r="K285" s="15">
        <f t="shared" si="48"/>
        <v>3000</v>
      </c>
      <c r="L285" s="4"/>
      <c r="M285" s="2"/>
      <c r="N285" s="3"/>
      <c r="O285" s="2"/>
      <c r="P285" s="3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>
      <c r="A286" s="91">
        <v>1.0</v>
      </c>
      <c r="B286" s="92" t="s">
        <v>29</v>
      </c>
      <c r="C286" s="93" t="s">
        <v>72</v>
      </c>
      <c r="D286" s="22">
        <v>28000.0</v>
      </c>
      <c r="E286" s="15">
        <f t="shared" si="46"/>
        <v>28000</v>
      </c>
      <c r="F286" s="3"/>
      <c r="G286" s="3"/>
      <c r="H286" s="3"/>
      <c r="I286" s="22">
        <v>23000.0</v>
      </c>
      <c r="J286" s="15">
        <f t="shared" si="47"/>
        <v>23000</v>
      </c>
      <c r="K286" s="15">
        <f t="shared" si="48"/>
        <v>5000</v>
      </c>
      <c r="L286" s="4"/>
      <c r="M286" s="2"/>
      <c r="N286" s="3"/>
      <c r="O286" s="2"/>
      <c r="P286" s="3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>
      <c r="A287" s="91">
        <v>1.0</v>
      </c>
      <c r="B287" s="92" t="s">
        <v>50</v>
      </c>
      <c r="C287" s="93" t="s">
        <v>12</v>
      </c>
      <c r="D287" s="22">
        <v>3000.0</v>
      </c>
      <c r="E287" s="15">
        <f t="shared" si="46"/>
        <v>3000</v>
      </c>
      <c r="F287" s="3"/>
      <c r="G287" s="3"/>
      <c r="H287" s="3"/>
      <c r="I287" s="22">
        <v>2000.0</v>
      </c>
      <c r="J287" s="15">
        <f t="shared" si="47"/>
        <v>2000</v>
      </c>
      <c r="K287" s="15">
        <f t="shared" si="48"/>
        <v>1000</v>
      </c>
      <c r="L287" s="4"/>
      <c r="M287" s="2"/>
      <c r="N287" s="3"/>
      <c r="O287" s="2"/>
      <c r="P287" s="3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>
      <c r="A288" s="26">
        <v>1.0</v>
      </c>
      <c r="B288" s="92" t="s">
        <v>50</v>
      </c>
      <c r="C288" s="93" t="s">
        <v>14</v>
      </c>
      <c r="D288" s="22">
        <v>3000.0</v>
      </c>
      <c r="E288" s="15">
        <f t="shared" si="46"/>
        <v>3000</v>
      </c>
      <c r="F288" s="3"/>
      <c r="G288" s="3"/>
      <c r="H288" s="3"/>
      <c r="I288" s="22">
        <v>2000.0</v>
      </c>
      <c r="J288" s="15">
        <f t="shared" si="47"/>
        <v>2000</v>
      </c>
      <c r="K288" s="15">
        <f t="shared" si="48"/>
        <v>1000</v>
      </c>
      <c r="L288" s="4"/>
      <c r="M288" s="2"/>
      <c r="N288" s="3"/>
      <c r="O288" s="2"/>
      <c r="P288" s="3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>
      <c r="A289" s="91">
        <v>10.0</v>
      </c>
      <c r="B289" s="92" t="s">
        <v>5</v>
      </c>
      <c r="C289" s="93" t="s">
        <v>87</v>
      </c>
      <c r="D289" s="22">
        <v>1300.0</v>
      </c>
      <c r="E289" s="15">
        <f t="shared" si="46"/>
        <v>13000</v>
      </c>
      <c r="F289" s="3"/>
      <c r="G289" s="3"/>
      <c r="H289" s="3"/>
      <c r="I289" s="15">
        <f>64000/80</f>
        <v>800</v>
      </c>
      <c r="J289" s="15">
        <f t="shared" si="47"/>
        <v>8000</v>
      </c>
      <c r="K289" s="15">
        <f t="shared" si="48"/>
        <v>5000</v>
      </c>
      <c r="L289" s="4"/>
      <c r="M289" s="2"/>
      <c r="N289" s="3"/>
      <c r="O289" s="2"/>
      <c r="P289" s="3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>
      <c r="A290" s="26">
        <v>1.0</v>
      </c>
      <c r="B290" s="92" t="s">
        <v>18</v>
      </c>
      <c r="C290" s="93" t="s">
        <v>65</v>
      </c>
      <c r="D290" s="22">
        <v>9000.0</v>
      </c>
      <c r="E290" s="15">
        <f t="shared" si="46"/>
        <v>9000</v>
      </c>
      <c r="F290" s="3"/>
      <c r="G290" s="3"/>
      <c r="H290" s="3"/>
      <c r="I290" s="22">
        <v>6000.0</v>
      </c>
      <c r="J290" s="15">
        <f t="shared" si="47"/>
        <v>6000</v>
      </c>
      <c r="K290" s="15">
        <f t="shared" si="48"/>
        <v>3000</v>
      </c>
      <c r="L290" s="4"/>
      <c r="M290" s="2"/>
      <c r="N290" s="3"/>
      <c r="O290" s="2"/>
      <c r="P290" s="3"/>
      <c r="Q290" s="3"/>
      <c r="R290" s="2"/>
      <c r="S290" s="3"/>
      <c r="T290" s="3"/>
      <c r="U290" s="1"/>
      <c r="V290" s="3"/>
      <c r="W290" s="3"/>
      <c r="X290" s="3"/>
      <c r="Y290" s="3"/>
      <c r="Z290" s="3"/>
    </row>
    <row r="291">
      <c r="A291" s="91">
        <v>0.5</v>
      </c>
      <c r="B291" s="92" t="s">
        <v>18</v>
      </c>
      <c r="C291" s="93" t="s">
        <v>194</v>
      </c>
      <c r="D291" s="22">
        <v>14000.0</v>
      </c>
      <c r="E291" s="15">
        <f t="shared" si="46"/>
        <v>7000</v>
      </c>
      <c r="F291" s="3"/>
      <c r="G291" s="3"/>
      <c r="H291" s="86" t="s">
        <v>193</v>
      </c>
      <c r="I291" s="15"/>
      <c r="J291" s="15">
        <f t="shared" si="47"/>
        <v>0</v>
      </c>
      <c r="K291" s="15">
        <f t="shared" si="48"/>
        <v>7000</v>
      </c>
      <c r="L291" s="4"/>
      <c r="M291" s="2"/>
      <c r="N291" s="3"/>
      <c r="O291" s="2"/>
      <c r="P291" s="3"/>
      <c r="Q291" s="3"/>
      <c r="R291" s="2"/>
      <c r="S291" s="3"/>
      <c r="T291" s="3"/>
      <c r="U291" s="1"/>
      <c r="V291" s="3"/>
      <c r="W291" s="3"/>
      <c r="X291" s="3"/>
      <c r="Y291" s="3"/>
      <c r="Z291" s="3"/>
    </row>
    <row r="292">
      <c r="A292" s="91">
        <v>0.5</v>
      </c>
      <c r="B292" s="92" t="s">
        <v>18</v>
      </c>
      <c r="C292" s="93" t="s">
        <v>195</v>
      </c>
      <c r="D292" s="22">
        <v>10000.0</v>
      </c>
      <c r="E292" s="15">
        <f t="shared" si="46"/>
        <v>5000</v>
      </c>
      <c r="F292" s="3"/>
      <c r="G292" s="3"/>
      <c r="H292" s="86" t="s">
        <v>193</v>
      </c>
      <c r="I292" s="15"/>
      <c r="J292" s="15">
        <f t="shared" si="47"/>
        <v>0</v>
      </c>
      <c r="K292" s="15">
        <f t="shared" si="48"/>
        <v>5000</v>
      </c>
      <c r="L292" s="4"/>
      <c r="M292" s="2"/>
      <c r="N292" s="3"/>
      <c r="O292" s="2"/>
      <c r="P292" s="3"/>
      <c r="Q292" s="3"/>
      <c r="R292" s="2"/>
      <c r="S292" s="3"/>
      <c r="T292" s="3"/>
      <c r="U292" s="1"/>
      <c r="V292" s="3"/>
      <c r="W292" s="3"/>
      <c r="X292" s="3"/>
      <c r="Y292" s="3"/>
      <c r="Z292" s="3"/>
    </row>
    <row r="293">
      <c r="A293" s="91">
        <v>1.0</v>
      </c>
      <c r="B293" s="92" t="s">
        <v>33</v>
      </c>
      <c r="C293" s="93" t="s">
        <v>177</v>
      </c>
      <c r="D293" s="22">
        <v>1400.0</v>
      </c>
      <c r="E293" s="15">
        <f t="shared" si="46"/>
        <v>1400</v>
      </c>
      <c r="F293" s="3"/>
      <c r="G293" s="3"/>
      <c r="H293" s="3"/>
      <c r="I293" s="15">
        <f>12000/15</f>
        <v>800</v>
      </c>
      <c r="J293" s="15">
        <f t="shared" si="47"/>
        <v>800</v>
      </c>
      <c r="K293" s="15">
        <f t="shared" si="48"/>
        <v>600</v>
      </c>
      <c r="L293" s="4"/>
      <c r="M293" s="2"/>
      <c r="N293" s="3"/>
      <c r="O293" s="2"/>
      <c r="P293" s="3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>
      <c r="A294" s="91">
        <v>0.2</v>
      </c>
      <c r="B294" s="92" t="s">
        <v>33</v>
      </c>
      <c r="C294" s="93" t="s">
        <v>258</v>
      </c>
      <c r="D294" s="22">
        <v>12000.0</v>
      </c>
      <c r="E294" s="15">
        <f t="shared" si="46"/>
        <v>2400</v>
      </c>
      <c r="F294" s="3"/>
      <c r="G294" s="3"/>
      <c r="H294" s="3"/>
      <c r="I294" s="22">
        <v>8000.0</v>
      </c>
      <c r="J294" s="15">
        <f t="shared" si="47"/>
        <v>1600</v>
      </c>
      <c r="K294" s="15">
        <f t="shared" si="48"/>
        <v>800</v>
      </c>
      <c r="L294" s="4"/>
      <c r="M294" s="2"/>
      <c r="N294" s="3"/>
      <c r="O294" s="2"/>
      <c r="P294" s="3"/>
      <c r="Q294" s="3"/>
      <c r="R294" s="2"/>
      <c r="S294" s="3"/>
      <c r="T294" s="3"/>
      <c r="U294" s="1"/>
      <c r="V294" s="3"/>
      <c r="W294" s="3"/>
      <c r="X294" s="3"/>
      <c r="Y294" s="3"/>
      <c r="Z294" s="3"/>
    </row>
    <row r="295">
      <c r="A295" s="91">
        <v>0.25</v>
      </c>
      <c r="B295" s="92" t="s">
        <v>33</v>
      </c>
      <c r="C295" s="93" t="s">
        <v>249</v>
      </c>
      <c r="D295" s="22">
        <v>5500.0</v>
      </c>
      <c r="E295" s="15">
        <f t="shared" si="46"/>
        <v>1375</v>
      </c>
      <c r="F295" s="3"/>
      <c r="G295" s="3"/>
      <c r="H295" s="3"/>
      <c r="I295" s="22">
        <v>4000.0</v>
      </c>
      <c r="J295" s="15">
        <f t="shared" si="47"/>
        <v>1000</v>
      </c>
      <c r="K295" s="15">
        <f t="shared" si="48"/>
        <v>375</v>
      </c>
      <c r="L295" s="4"/>
      <c r="M295" s="2"/>
      <c r="N295" s="3"/>
      <c r="O295" s="2"/>
      <c r="P295" s="3"/>
      <c r="Q295" s="3"/>
      <c r="R295" s="2"/>
      <c r="S295" s="3"/>
      <c r="T295" s="3"/>
      <c r="U295" s="1"/>
      <c r="V295" s="3"/>
      <c r="W295" s="3"/>
      <c r="X295" s="3"/>
      <c r="Y295" s="3"/>
      <c r="Z295" s="3"/>
    </row>
    <row r="296">
      <c r="A296" s="91">
        <v>1.0</v>
      </c>
      <c r="B296" s="92" t="s">
        <v>50</v>
      </c>
      <c r="C296" s="93" t="s">
        <v>205</v>
      </c>
      <c r="D296" s="22">
        <v>3000.0</v>
      </c>
      <c r="E296" s="15">
        <f t="shared" si="46"/>
        <v>3000</v>
      </c>
      <c r="F296" s="3"/>
      <c r="G296" s="3"/>
      <c r="H296" s="3"/>
      <c r="I296" s="22">
        <v>2000.0</v>
      </c>
      <c r="J296" s="15">
        <f t="shared" si="47"/>
        <v>2000</v>
      </c>
      <c r="K296" s="15">
        <f t="shared" si="48"/>
        <v>1000</v>
      </c>
      <c r="L296" s="4"/>
      <c r="M296" s="2"/>
      <c r="N296" s="3"/>
      <c r="O296" s="2"/>
      <c r="P296" s="3"/>
      <c r="Q296" s="3"/>
      <c r="R296" s="2"/>
      <c r="S296" s="3"/>
      <c r="T296" s="3"/>
      <c r="U296" s="1"/>
      <c r="V296" s="3"/>
      <c r="W296" s="3"/>
      <c r="X296" s="3"/>
      <c r="Y296" s="3"/>
      <c r="Z296" s="3"/>
    </row>
    <row r="297">
      <c r="A297" s="91">
        <v>2.0</v>
      </c>
      <c r="B297" s="92" t="s">
        <v>5</v>
      </c>
      <c r="C297" s="93" t="s">
        <v>259</v>
      </c>
      <c r="D297" s="22">
        <v>6000.0</v>
      </c>
      <c r="E297" s="15">
        <f t="shared" si="46"/>
        <v>12000</v>
      </c>
      <c r="F297" s="3"/>
      <c r="G297" s="3"/>
      <c r="H297" s="3"/>
      <c r="I297" s="22">
        <v>4500.0</v>
      </c>
      <c r="J297" s="15">
        <f t="shared" si="47"/>
        <v>9000</v>
      </c>
      <c r="K297" s="15">
        <f t="shared" si="48"/>
        <v>3000</v>
      </c>
      <c r="L297" s="4"/>
      <c r="M297" s="2"/>
      <c r="N297" s="3"/>
      <c r="O297" s="2"/>
      <c r="P297" s="3"/>
      <c r="Q297" s="3"/>
      <c r="R297" s="2"/>
      <c r="S297" s="3"/>
      <c r="T297" s="3"/>
      <c r="U297" s="1"/>
      <c r="V297" s="3"/>
      <c r="W297" s="3"/>
      <c r="X297" s="3"/>
      <c r="Y297" s="3"/>
      <c r="Z297" s="3"/>
    </row>
    <row r="298">
      <c r="A298" s="1"/>
      <c r="B298" s="3"/>
      <c r="C298" s="2"/>
      <c r="D298" s="3"/>
      <c r="E298" s="3"/>
      <c r="F298" s="3"/>
      <c r="G298" s="2"/>
      <c r="H298" s="3"/>
      <c r="I298" s="3"/>
      <c r="J298" s="3"/>
      <c r="K298" s="3"/>
      <c r="L298" s="4"/>
      <c r="M298" s="2"/>
      <c r="N298" s="3"/>
      <c r="O298" s="2"/>
      <c r="P298" s="3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>
      <c r="A299" s="1"/>
      <c r="B299" s="3"/>
      <c r="C299" s="2"/>
      <c r="D299" s="3"/>
      <c r="E299" s="15">
        <f>SUM(E273:E298)</f>
        <v>269675</v>
      </c>
      <c r="F299" s="3"/>
      <c r="G299" s="3"/>
      <c r="H299" s="3"/>
      <c r="I299" s="3"/>
      <c r="J299" s="3"/>
      <c r="K299" s="15">
        <f>SUM(K273:K297)</f>
        <v>82433.33333</v>
      </c>
      <c r="L299" s="23">
        <f>K299/E299</f>
        <v>0.305676586</v>
      </c>
      <c r="M299" s="2"/>
      <c r="N299" s="3"/>
      <c r="O299" s="2"/>
      <c r="P299" s="3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>
      <c r="A300" s="24"/>
      <c r="B300" s="24"/>
      <c r="C300" s="24"/>
      <c r="D300" s="32"/>
      <c r="E300" s="7"/>
      <c r="F300" s="33"/>
      <c r="G300" s="25"/>
      <c r="H300" s="25"/>
      <c r="I300" s="16"/>
      <c r="J300" s="16"/>
      <c r="K300" s="16"/>
      <c r="L300" s="34"/>
      <c r="M300" s="2"/>
      <c r="N300" s="3"/>
      <c r="O300" s="2"/>
      <c r="P300" s="3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>
      <c r="A301" s="24"/>
      <c r="B301" s="24"/>
      <c r="C301" s="24"/>
      <c r="D301" s="32"/>
      <c r="E301" s="7"/>
      <c r="F301" s="33"/>
      <c r="G301" s="25"/>
      <c r="H301" s="25"/>
      <c r="I301" s="16"/>
      <c r="J301" s="16"/>
      <c r="K301" s="16"/>
      <c r="L301" s="34"/>
      <c r="M301" s="2"/>
      <c r="N301" s="3"/>
      <c r="O301" s="2"/>
      <c r="P301" s="3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>
      <c r="A302" s="24"/>
      <c r="B302" s="24"/>
      <c r="C302" s="24"/>
      <c r="D302" s="32"/>
      <c r="E302" s="7"/>
      <c r="F302" s="33"/>
      <c r="G302" s="25"/>
      <c r="H302" s="25"/>
      <c r="I302" s="16"/>
      <c r="J302" s="16"/>
      <c r="K302" s="16"/>
      <c r="L302" s="34"/>
      <c r="M302" s="2"/>
      <c r="N302" s="3"/>
      <c r="O302" s="2"/>
      <c r="P302" s="3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>
      <c r="A303" s="24"/>
      <c r="B303" s="24"/>
      <c r="C303" s="24"/>
      <c r="D303" s="32"/>
      <c r="E303" s="7"/>
      <c r="F303" s="33"/>
      <c r="G303" s="25"/>
      <c r="H303" s="25"/>
      <c r="I303" s="16"/>
      <c r="J303" s="16"/>
      <c r="K303" s="16"/>
      <c r="L303" s="34"/>
      <c r="M303" s="2"/>
      <c r="N303" s="3"/>
      <c r="O303" s="2"/>
      <c r="P303" s="3"/>
      <c r="Q303" s="3"/>
      <c r="R303" s="2"/>
      <c r="S303" s="3"/>
      <c r="T303" s="3"/>
      <c r="U303" s="1"/>
      <c r="V303" s="3"/>
      <c r="W303" s="3"/>
      <c r="X303" s="3"/>
      <c r="Y303" s="3"/>
      <c r="Z303" s="3"/>
    </row>
    <row r="304">
      <c r="A304" s="30"/>
      <c r="B304" s="31"/>
      <c r="C304" s="2"/>
      <c r="D304" s="3"/>
      <c r="E304" s="3"/>
      <c r="F304" s="3"/>
      <c r="G304" s="2"/>
      <c r="H304" s="2"/>
      <c r="I304" s="2"/>
      <c r="J304" s="2"/>
      <c r="K304" s="3"/>
      <c r="L304" s="4"/>
      <c r="M304" s="2"/>
      <c r="N304" s="3"/>
      <c r="O304" s="2"/>
      <c r="P304" s="3"/>
      <c r="Q304" s="3"/>
      <c r="R304" s="2"/>
      <c r="S304" s="3"/>
      <c r="T304" s="3"/>
      <c r="U304" s="1"/>
      <c r="V304" s="3"/>
      <c r="W304" s="3"/>
      <c r="X304" s="3"/>
      <c r="Y304" s="3"/>
      <c r="Z304" s="3"/>
    </row>
    <row r="305">
      <c r="A305" s="30" t="s">
        <v>120</v>
      </c>
      <c r="B305" s="31">
        <f>F26+F59+F89+F108+F130+F150+E169+E196+E205+E240+E265+E299</f>
        <v>4136727.8</v>
      </c>
      <c r="C305" s="2"/>
      <c r="D305" s="3"/>
      <c r="E305" s="3"/>
      <c r="F305" s="3"/>
      <c r="G305" s="2"/>
      <c r="H305" s="2"/>
      <c r="I305" s="2"/>
      <c r="J305" s="2"/>
      <c r="K305" s="3"/>
      <c r="L305" s="4"/>
      <c r="M305" s="2"/>
      <c r="N305" s="3"/>
      <c r="O305" s="2"/>
      <c r="P305" s="3"/>
      <c r="Q305" s="3"/>
      <c r="R305" s="2"/>
      <c r="S305" s="3"/>
      <c r="T305" s="3"/>
      <c r="U305" s="1"/>
      <c r="V305" s="3"/>
      <c r="W305" s="3"/>
      <c r="X305" s="3"/>
      <c r="Y305" s="3"/>
      <c r="Z305" s="3"/>
    </row>
    <row r="306">
      <c r="A306" s="1"/>
      <c r="B306" s="2"/>
      <c r="C306" s="2"/>
      <c r="D306" s="3"/>
      <c r="E306" s="3"/>
      <c r="F306" s="3"/>
      <c r="G306" s="2"/>
      <c r="H306" s="2"/>
      <c r="I306" s="2"/>
      <c r="J306" s="2"/>
      <c r="K306" s="3"/>
      <c r="L306" s="4"/>
      <c r="M306" s="2"/>
      <c r="N306" s="2"/>
      <c r="O306" s="2"/>
      <c r="P306" s="2"/>
      <c r="Q306" s="3"/>
      <c r="R306" s="9"/>
      <c r="S306" s="3"/>
      <c r="T306" s="3"/>
      <c r="U306" s="1"/>
      <c r="V306" s="3"/>
      <c r="W306" s="3"/>
      <c r="X306" s="3"/>
      <c r="Y306" s="3"/>
      <c r="Z306" s="3"/>
    </row>
    <row r="307">
      <c r="A307" s="30" t="s">
        <v>121</v>
      </c>
      <c r="B307" s="31">
        <f>K26+K59+K89+K108+K130+K150+K169+K196+K205+K240+K265+K299</f>
        <v>1404430.478</v>
      </c>
      <c r="C307" s="2"/>
      <c r="D307" s="3"/>
      <c r="E307" s="3"/>
      <c r="F307" s="3"/>
      <c r="G307" s="2"/>
      <c r="H307" s="2"/>
      <c r="I307" s="2"/>
      <c r="J307" s="2"/>
      <c r="K307" s="3"/>
      <c r="L307" s="4"/>
      <c r="M307" s="2"/>
      <c r="N307" s="2"/>
      <c r="O307" s="2"/>
      <c r="P307" s="2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>
      <c r="A308" s="1"/>
      <c r="B308" s="2"/>
      <c r="C308" s="2"/>
      <c r="D308" s="3"/>
      <c r="E308" s="3"/>
      <c r="F308" s="3"/>
      <c r="G308" s="2"/>
      <c r="H308" s="2"/>
      <c r="I308" s="2"/>
      <c r="J308" s="2"/>
      <c r="K308" s="3"/>
      <c r="L308" s="4"/>
      <c r="M308" s="2"/>
      <c r="N308" s="2"/>
      <c r="O308" s="2"/>
      <c r="P308" s="2"/>
      <c r="Q308" s="3"/>
      <c r="R308" s="2"/>
      <c r="S308" s="3"/>
      <c r="T308" s="3"/>
      <c r="U308" s="1"/>
      <c r="V308" s="3"/>
      <c r="W308" s="3"/>
      <c r="X308" s="3"/>
      <c r="Y308" s="3"/>
      <c r="Z308" s="3"/>
    </row>
    <row r="309">
      <c r="A309" s="39" t="s">
        <v>122</v>
      </c>
      <c r="B309" s="40">
        <v>0.0</v>
      </c>
      <c r="C309" s="2"/>
      <c r="D309" s="3"/>
      <c r="E309" s="3"/>
      <c r="F309" s="3"/>
      <c r="G309" s="2"/>
      <c r="H309" s="2"/>
      <c r="I309" s="2"/>
      <c r="J309" s="2"/>
      <c r="K309" s="3"/>
      <c r="L309" s="4"/>
      <c r="M309" s="2"/>
      <c r="N309" s="2"/>
      <c r="O309" s="2"/>
      <c r="P309" s="2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>
      <c r="A310" s="1"/>
      <c r="B310" s="2"/>
      <c r="C310" s="2"/>
      <c r="D310" s="3"/>
      <c r="E310" s="3"/>
      <c r="F310" s="3"/>
      <c r="G310" s="2"/>
      <c r="H310" s="2"/>
      <c r="I310" s="2"/>
      <c r="J310" s="2"/>
      <c r="K310" s="3"/>
      <c r="L310" s="4"/>
      <c r="M310" s="2"/>
      <c r="N310" s="2"/>
      <c r="O310" s="2"/>
      <c r="P310" s="2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>
      <c r="A311" s="30" t="s">
        <v>123</v>
      </c>
      <c r="B311" s="41">
        <f>B307/B305</f>
        <v>0.3395027533</v>
      </c>
      <c r="C311" s="2"/>
      <c r="D311" s="3"/>
      <c r="E311" s="3"/>
      <c r="F311" s="3"/>
      <c r="G311" s="2"/>
      <c r="H311" s="2"/>
      <c r="I311" s="2"/>
      <c r="J311" s="2"/>
      <c r="K311" s="3"/>
      <c r="L311" s="4"/>
      <c r="M311" s="2"/>
      <c r="N311" s="2"/>
      <c r="O311" s="2"/>
      <c r="P311" s="2"/>
      <c r="Q311" s="2"/>
      <c r="R311" s="2"/>
      <c r="S311" s="3"/>
      <c r="T311" s="3"/>
      <c r="U311" s="1"/>
      <c r="V311" s="3"/>
      <c r="W311" s="3"/>
      <c r="X311" s="2"/>
      <c r="Y311" s="2"/>
      <c r="Z311" s="2"/>
    </row>
    <row r="312">
      <c r="A312" s="1"/>
      <c r="B312" s="2"/>
      <c r="C312" s="2"/>
      <c r="D312" s="3"/>
      <c r="E312" s="3"/>
      <c r="F312" s="3"/>
      <c r="G312" s="2"/>
      <c r="H312" s="2"/>
      <c r="I312" s="2"/>
      <c r="J312" s="2"/>
      <c r="K312" s="3"/>
      <c r="L312" s="4"/>
      <c r="M312" s="2"/>
      <c r="N312" s="2"/>
      <c r="O312" s="2"/>
      <c r="P312" s="2"/>
      <c r="Q312" s="3"/>
      <c r="R312" s="9"/>
      <c r="S312" s="3"/>
      <c r="T312" s="3"/>
      <c r="U312" s="1"/>
      <c r="V312" s="3"/>
      <c r="W312" s="3"/>
      <c r="X312" s="3"/>
      <c r="Y312" s="3"/>
      <c r="Z312" s="3"/>
    </row>
    <row r="313" ht="15.75" customHeight="1">
      <c r="A313" s="42" t="s">
        <v>124</v>
      </c>
      <c r="C313" s="43">
        <v>100.0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9"/>
      <c r="S313" s="3"/>
      <c r="T313" s="3"/>
      <c r="U313" s="1"/>
      <c r="V313" s="3"/>
      <c r="W313" s="3"/>
      <c r="X313" s="3"/>
      <c r="Y313" s="3"/>
      <c r="Z313" s="3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2"/>
      <c r="M314" s="2"/>
      <c r="N314" s="2"/>
      <c r="O314" s="2"/>
      <c r="P314" s="2"/>
      <c r="Q314" s="3"/>
      <c r="R314" s="2"/>
      <c r="S314" s="3"/>
      <c r="T314" s="3"/>
      <c r="U314" s="1"/>
      <c r="V314" s="3"/>
      <c r="W314" s="3"/>
      <c r="X314" s="3"/>
      <c r="Y314" s="3"/>
      <c r="Z314" s="3"/>
    </row>
    <row r="315" ht="15.75" customHeight="1">
      <c r="A315" s="1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1"/>
      <c r="V315" s="3"/>
      <c r="W315" s="3"/>
      <c r="X315" s="3"/>
      <c r="Y315" s="3"/>
      <c r="Z315" s="3"/>
    </row>
    <row r="316" ht="15.75" customHeight="1">
      <c r="A316" s="1"/>
      <c r="B316" s="1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1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1"/>
      <c r="X317" s="3"/>
      <c r="Y317" s="3"/>
      <c r="Z317" s="3"/>
    </row>
    <row r="318" ht="15.75" customHeight="1">
      <c r="A318" s="45"/>
      <c r="B318" s="46" t="s">
        <v>125</v>
      </c>
      <c r="C318" s="47" t="s">
        <v>126</v>
      </c>
      <c r="D318" s="48" t="s">
        <v>127</v>
      </c>
      <c r="E318" s="48" t="s">
        <v>128</v>
      </c>
      <c r="F318" s="48" t="s">
        <v>129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1"/>
      <c r="V318" s="3"/>
      <c r="W318" s="9"/>
      <c r="X318" s="3"/>
      <c r="Y318" s="3"/>
      <c r="Z318" s="3"/>
    </row>
    <row r="319" ht="15.75" customHeight="1">
      <c r="A319" s="49"/>
      <c r="B319" s="50">
        <v>2528350.0</v>
      </c>
      <c r="C319" s="51">
        <v>308459.29</v>
      </c>
      <c r="D319" s="51">
        <f>2277828.28-500000-1000000+491000</f>
        <v>1268828.28</v>
      </c>
      <c r="E319" s="51"/>
      <c r="F319" s="51">
        <f>8500000+1101582.8</f>
        <v>9601582.8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1"/>
      <c r="V319" s="3"/>
      <c r="W319" s="3"/>
      <c r="X319" s="3"/>
      <c r="Y319" s="3"/>
      <c r="Z319" s="3"/>
    </row>
    <row r="320" ht="15.75" customHeight="1">
      <c r="A320" s="1"/>
      <c r="B320" s="52"/>
      <c r="C320" s="52"/>
      <c r="D320" s="52"/>
      <c r="E320" s="5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1"/>
      <c r="V320" s="3"/>
      <c r="W320" s="3"/>
      <c r="X320" s="3"/>
      <c r="Y320" s="3"/>
      <c r="Z320" s="3"/>
    </row>
    <row r="321" ht="15.75" customHeight="1">
      <c r="A321" s="46" t="s">
        <v>130</v>
      </c>
      <c r="B321" s="53"/>
      <c r="C321" s="53"/>
      <c r="D321" s="53"/>
      <c r="E321" s="53"/>
      <c r="F321" s="5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1"/>
      <c r="V321" s="3"/>
      <c r="W321" s="3"/>
      <c r="X321" s="3"/>
      <c r="Y321" s="3"/>
      <c r="Z321" s="3"/>
    </row>
    <row r="322" ht="15.75" customHeight="1">
      <c r="A322" s="13" t="s">
        <v>131</v>
      </c>
      <c r="B322" s="55">
        <v>319800.0</v>
      </c>
      <c r="C322" s="55">
        <v>0.0</v>
      </c>
      <c r="D322" s="55">
        <v>0.0</v>
      </c>
      <c r="E322" s="55">
        <v>0.0</v>
      </c>
      <c r="F322" s="55">
        <v>0.0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1"/>
      <c r="V322" s="3"/>
      <c r="W322" s="3"/>
      <c r="X322" s="3"/>
      <c r="Y322" s="3"/>
      <c r="Z322" s="3"/>
    </row>
    <row r="323" ht="15.75" customHeight="1">
      <c r="A323" s="13" t="s">
        <v>132</v>
      </c>
      <c r="B323" s="55">
        <v>0.0</v>
      </c>
      <c r="C323" s="55">
        <v>3625.2</v>
      </c>
      <c r="D323" s="55">
        <v>0.0</v>
      </c>
      <c r="E323" s="55">
        <v>0.0</v>
      </c>
      <c r="F323" s="55">
        <v>0.0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1"/>
      <c r="V323" s="3"/>
      <c r="W323" s="3"/>
      <c r="X323" s="3"/>
      <c r="Y323" s="3"/>
      <c r="Z323" s="3"/>
    </row>
    <row r="324" ht="15.75" customHeight="1">
      <c r="A324" s="13" t="s">
        <v>133</v>
      </c>
      <c r="B324" s="55">
        <v>0.0</v>
      </c>
      <c r="C324" s="55">
        <v>0.0</v>
      </c>
      <c r="D324" s="55">
        <v>1101582.8</v>
      </c>
      <c r="E324" s="55">
        <v>0.0</v>
      </c>
      <c r="F324" s="55">
        <v>0.0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1"/>
      <c r="V324" s="3"/>
      <c r="W324" s="3"/>
      <c r="X324" s="3"/>
      <c r="Y324" s="3"/>
      <c r="Z324" s="3"/>
    </row>
    <row r="325" ht="15.75" customHeight="1">
      <c r="A325" s="13" t="s">
        <v>134</v>
      </c>
      <c r="B325" s="55">
        <v>0.0</v>
      </c>
      <c r="C325" s="55">
        <v>0.0</v>
      </c>
      <c r="D325" s="55">
        <v>0.0</v>
      </c>
      <c r="E325" s="55">
        <v>0.0</v>
      </c>
      <c r="F325" s="55">
        <v>0.0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1"/>
      <c r="V325" s="3"/>
      <c r="W325" s="3"/>
      <c r="X325" s="3"/>
      <c r="Y325" s="3"/>
      <c r="Z325" s="3"/>
    </row>
    <row r="326" ht="15.75" customHeight="1">
      <c r="A326" s="13" t="s">
        <v>135</v>
      </c>
      <c r="B326" s="55">
        <v>0.0</v>
      </c>
      <c r="C326" s="55">
        <v>0.0</v>
      </c>
      <c r="D326" s="55">
        <v>0.0</v>
      </c>
      <c r="E326" s="55">
        <v>0.0</v>
      </c>
      <c r="F326" s="55">
        <v>0.0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1"/>
      <c r="V326" s="3"/>
      <c r="W326" s="3"/>
      <c r="X326" s="3"/>
      <c r="Y326" s="3"/>
      <c r="Z326" s="3"/>
    </row>
    <row r="327" ht="15.75" customHeight="1">
      <c r="A327" s="13" t="s">
        <v>136</v>
      </c>
      <c r="B327" s="55">
        <v>0.0</v>
      </c>
      <c r="C327" s="56">
        <f>C322*0.6%+C325*0.6%</f>
        <v>0</v>
      </c>
      <c r="D327" s="55">
        <f>SUM(D322:D324)*0.6%</f>
        <v>6609.4968</v>
      </c>
      <c r="E327" s="55">
        <v>0.0</v>
      </c>
      <c r="F327" s="55">
        <v>0.0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1"/>
      <c r="V327" s="3"/>
      <c r="W327" s="3"/>
      <c r="X327" s="3"/>
      <c r="Y327" s="3"/>
      <c r="Z327" s="3"/>
    </row>
    <row r="328" ht="15.75" customHeight="1">
      <c r="A328" s="1"/>
      <c r="B328" s="52"/>
      <c r="C328" s="52"/>
      <c r="D328" s="52"/>
      <c r="E328" s="5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1"/>
      <c r="V328" s="3"/>
      <c r="W328" s="3"/>
      <c r="X328" s="3"/>
      <c r="Y328" s="3"/>
      <c r="Z328" s="3"/>
    </row>
    <row r="329" ht="15.75" customHeight="1">
      <c r="A329" s="57" t="s">
        <v>8</v>
      </c>
      <c r="B329" s="58">
        <f>SUM(B319:B327)</f>
        <v>2848150</v>
      </c>
      <c r="C329" s="58">
        <f>C319+C322+C325+C326-C327+C323</f>
        <v>312084.49</v>
      </c>
      <c r="D329" s="59">
        <f>D319+D322+D325+D326-D327+D324</f>
        <v>2363801.583</v>
      </c>
      <c r="E329" s="58">
        <f>E319+E322+E325+E326-E327</f>
        <v>0</v>
      </c>
      <c r="F329" s="60">
        <f>F319+F322+F325+F326-F327-D324</f>
        <v>8500000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1"/>
      <c r="V329" s="3"/>
      <c r="W329" s="3"/>
      <c r="X329" s="3"/>
      <c r="Y329" s="3"/>
      <c r="Z329" s="3"/>
    </row>
    <row r="330" ht="15.75" customHeight="1">
      <c r="A330" s="1"/>
      <c r="B330" s="1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1"/>
      <c r="V330" s="3"/>
      <c r="W330" s="3"/>
      <c r="X330" s="3"/>
      <c r="Y330" s="3"/>
      <c r="Z330" s="3"/>
    </row>
    <row r="331" ht="15.75" customHeight="1">
      <c r="A331" s="46" t="s">
        <v>137</v>
      </c>
      <c r="B331" s="53"/>
      <c r="C331" s="53"/>
      <c r="D331" s="53"/>
      <c r="E331" s="53"/>
      <c r="F331" s="5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1"/>
      <c r="V331" s="3"/>
      <c r="W331" s="3"/>
      <c r="X331" s="3"/>
      <c r="Y331" s="3"/>
      <c r="Z331" s="3"/>
    </row>
    <row r="332" ht="15.75" customHeight="1">
      <c r="A332" s="13" t="s">
        <v>138</v>
      </c>
      <c r="B332" s="61">
        <v>10000.0</v>
      </c>
      <c r="C332" s="61">
        <v>0.0</v>
      </c>
      <c r="D332" s="61">
        <v>0.0</v>
      </c>
      <c r="E332" s="61">
        <v>0.0</v>
      </c>
      <c r="F332" s="3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1"/>
      <c r="V332" s="3"/>
      <c r="W332" s="3"/>
      <c r="X332" s="3"/>
      <c r="Y332" s="3"/>
      <c r="Z332" s="3"/>
    </row>
    <row r="333" ht="15.75" customHeight="1">
      <c r="A333" s="13" t="s">
        <v>139</v>
      </c>
      <c r="B333" s="55">
        <v>0.0</v>
      </c>
      <c r="C333" s="55">
        <v>0.0</v>
      </c>
      <c r="D333" s="55">
        <v>0.0</v>
      </c>
      <c r="E333" s="55">
        <v>0.0</v>
      </c>
      <c r="F333" s="3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1"/>
      <c r="V333" s="3"/>
      <c r="W333" s="3"/>
      <c r="X333" s="3"/>
      <c r="Y333" s="3"/>
      <c r="Z333" s="3"/>
    </row>
    <row r="334" ht="15.75" customHeight="1">
      <c r="A334" s="13" t="s">
        <v>140</v>
      </c>
      <c r="B334" s="61">
        <v>0.0</v>
      </c>
      <c r="C334" s="61">
        <v>0.0</v>
      </c>
      <c r="D334" s="55">
        <v>500000.0</v>
      </c>
      <c r="E334" s="61">
        <v>0.0</v>
      </c>
      <c r="F334" s="3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1"/>
      <c r="V334" s="3"/>
      <c r="W334" s="3"/>
      <c r="X334" s="3"/>
      <c r="Y334" s="3"/>
      <c r="Z334" s="3"/>
    </row>
    <row r="335" ht="15.75" customHeight="1">
      <c r="A335" s="13" t="s">
        <v>141</v>
      </c>
      <c r="B335" s="61">
        <v>0.0</v>
      </c>
      <c r="C335" s="61">
        <v>0.0</v>
      </c>
      <c r="D335" s="61">
        <v>0.0</v>
      </c>
      <c r="E335" s="61">
        <v>0.0</v>
      </c>
      <c r="F335" s="3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1"/>
      <c r="V335" s="3"/>
      <c r="W335" s="3"/>
      <c r="X335" s="3"/>
      <c r="Y335" s="3"/>
      <c r="Z335" s="3"/>
    </row>
    <row r="336" ht="15.75" customHeight="1">
      <c r="A336" s="13" t="s">
        <v>142</v>
      </c>
      <c r="B336" s="61">
        <v>0.0</v>
      </c>
      <c r="C336" s="61">
        <v>395000.0</v>
      </c>
      <c r="D336" s="61">
        <v>0.0</v>
      </c>
      <c r="E336" s="61">
        <v>0.0</v>
      </c>
      <c r="F336" s="3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1"/>
      <c r="V336" s="3"/>
      <c r="W336" s="3"/>
      <c r="X336" s="3"/>
      <c r="Y336" s="3"/>
      <c r="Z336" s="3"/>
    </row>
    <row r="337" ht="15.75" customHeight="1">
      <c r="A337" s="13" t="s">
        <v>143</v>
      </c>
      <c r="B337" s="61">
        <v>40000.0</v>
      </c>
      <c r="C337" s="61">
        <v>0.0</v>
      </c>
      <c r="D337" s="61">
        <v>0.0</v>
      </c>
      <c r="E337" s="61">
        <v>0.0</v>
      </c>
      <c r="F337" s="35"/>
      <c r="G337" s="2"/>
      <c r="H337" s="6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1"/>
      <c r="V337" s="3"/>
      <c r="W337" s="3"/>
      <c r="X337" s="3"/>
      <c r="Y337" s="3"/>
      <c r="Z337" s="3"/>
    </row>
    <row r="338" ht="15.75" customHeight="1">
      <c r="A338" s="13" t="s">
        <v>144</v>
      </c>
      <c r="B338" s="55">
        <v>0.0</v>
      </c>
      <c r="C338" s="55">
        <v>0.0</v>
      </c>
      <c r="D338" s="55">
        <v>0.0</v>
      </c>
      <c r="E338" s="55">
        <v>0.0</v>
      </c>
      <c r="F338" s="3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1"/>
      <c r="V338" s="3"/>
      <c r="W338" s="3"/>
      <c r="X338" s="3"/>
      <c r="Y338" s="3"/>
      <c r="Z338" s="3"/>
    </row>
    <row r="339" ht="15.75" customHeight="1">
      <c r="A339" s="13" t="s">
        <v>145</v>
      </c>
      <c r="B339" s="55">
        <v>0.0</v>
      </c>
      <c r="C339" s="55">
        <v>0.0</v>
      </c>
      <c r="D339" s="55">
        <v>0.0</v>
      </c>
      <c r="E339" s="55">
        <v>0.0</v>
      </c>
      <c r="F339" s="35"/>
      <c r="G339" s="2"/>
      <c r="H339" s="6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1"/>
      <c r="V339" s="3"/>
      <c r="W339" s="3"/>
      <c r="X339" s="3"/>
      <c r="Y339" s="3"/>
      <c r="Z339" s="3"/>
    </row>
    <row r="340" ht="15.75" customHeight="1">
      <c r="A340" s="13" t="s">
        <v>146</v>
      </c>
      <c r="B340" s="55">
        <v>0.0</v>
      </c>
      <c r="C340" s="55">
        <v>0.0</v>
      </c>
      <c r="D340" s="55">
        <v>0.0</v>
      </c>
      <c r="E340" s="55">
        <v>0.0</v>
      </c>
      <c r="F340" s="35"/>
      <c r="G340" s="2"/>
      <c r="H340" s="62"/>
      <c r="I340" s="2"/>
      <c r="J340" s="2"/>
      <c r="K340" s="2"/>
      <c r="L340" s="2"/>
      <c r="M340" s="2"/>
      <c r="N340" s="2"/>
      <c r="O340" s="2"/>
      <c r="P340" s="2"/>
      <c r="Q340" s="3"/>
      <c r="R340" s="9"/>
      <c r="S340" s="3"/>
      <c r="T340" s="3"/>
      <c r="U340" s="1"/>
      <c r="V340" s="3"/>
      <c r="W340" s="3"/>
      <c r="X340" s="3"/>
      <c r="Y340" s="3"/>
      <c r="Z340" s="3"/>
    </row>
    <row r="341" ht="15.75" customHeight="1">
      <c r="A341" s="13" t="s">
        <v>147</v>
      </c>
      <c r="B341" s="61">
        <v>0.0</v>
      </c>
      <c r="C341" s="61">
        <v>0.0</v>
      </c>
      <c r="D341" s="61">
        <v>0.0</v>
      </c>
      <c r="E341" s="61">
        <v>0.0</v>
      </c>
      <c r="F341" s="35"/>
      <c r="G341" s="2"/>
      <c r="H341" s="62"/>
      <c r="I341" s="2"/>
      <c r="J341" s="2"/>
      <c r="K341" s="2"/>
      <c r="L341" s="2"/>
      <c r="M341" s="2"/>
      <c r="N341" s="2"/>
      <c r="O341" s="2"/>
      <c r="P341" s="2"/>
      <c r="Q341" s="3"/>
      <c r="R341" s="9"/>
      <c r="S341" s="3"/>
      <c r="T341" s="3"/>
      <c r="U341" s="1"/>
      <c r="V341" s="3"/>
      <c r="W341" s="3"/>
      <c r="X341" s="3"/>
      <c r="Y341" s="3"/>
      <c r="Z341" s="3"/>
    </row>
    <row r="342" ht="15.75" customHeight="1">
      <c r="A342" s="13" t="s">
        <v>148</v>
      </c>
      <c r="B342" s="61">
        <v>0.0</v>
      </c>
      <c r="C342" s="61">
        <v>50000.0</v>
      </c>
      <c r="D342" s="61">
        <v>0.0</v>
      </c>
      <c r="E342" s="61">
        <v>0.0</v>
      </c>
      <c r="F342" s="35"/>
      <c r="G342" s="2"/>
      <c r="H342" s="62"/>
      <c r="I342" s="2"/>
      <c r="J342" s="2"/>
      <c r="K342" s="2"/>
      <c r="L342" s="2"/>
      <c r="M342" s="2"/>
      <c r="N342" s="2"/>
      <c r="O342" s="2"/>
      <c r="P342" s="2"/>
      <c r="Q342" s="3"/>
      <c r="R342" s="9"/>
      <c r="S342" s="3"/>
      <c r="T342" s="3"/>
      <c r="U342" s="1"/>
      <c r="V342" s="3"/>
      <c r="W342" s="3"/>
      <c r="X342" s="3"/>
      <c r="Y342" s="3"/>
      <c r="Z342" s="3"/>
    </row>
    <row r="343" ht="15.75" customHeight="1">
      <c r="A343" s="13" t="s">
        <v>149</v>
      </c>
      <c r="B343" s="56">
        <v>0.0</v>
      </c>
      <c r="C343" s="56">
        <v>50000.0</v>
      </c>
      <c r="D343" s="55">
        <v>0.0</v>
      </c>
      <c r="E343" s="55">
        <v>0.0</v>
      </c>
      <c r="F343" s="3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1"/>
      <c r="V343" s="3"/>
      <c r="W343" s="3"/>
      <c r="X343" s="3"/>
      <c r="Y343" s="3"/>
      <c r="Z343" s="3"/>
    </row>
    <row r="344" ht="15.75" customHeight="1">
      <c r="A344" s="13" t="s">
        <v>150</v>
      </c>
      <c r="B344" s="56">
        <v>0.0</v>
      </c>
      <c r="C344" s="56">
        <v>0.0</v>
      </c>
      <c r="D344" s="55">
        <v>0.0</v>
      </c>
      <c r="E344" s="55">
        <v>0.0</v>
      </c>
      <c r="F344" s="35"/>
      <c r="G344" s="2"/>
      <c r="H344" s="6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1"/>
      <c r="V344" s="3"/>
      <c r="W344" s="3"/>
      <c r="X344" s="3"/>
      <c r="Y344" s="3"/>
      <c r="Z344" s="3"/>
    </row>
    <row r="345" ht="15.75" customHeight="1">
      <c r="A345" s="13" t="s">
        <v>151</v>
      </c>
      <c r="B345" s="56">
        <v>0.0</v>
      </c>
      <c r="C345" s="56">
        <v>0.0</v>
      </c>
      <c r="D345" s="55">
        <v>0.0</v>
      </c>
      <c r="E345" s="55">
        <v>0.0</v>
      </c>
      <c r="F345" s="3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1"/>
      <c r="V345" s="3"/>
      <c r="W345" s="3"/>
      <c r="X345" s="3"/>
      <c r="Y345" s="3"/>
      <c r="Z345" s="3"/>
    </row>
    <row r="346" ht="15.75" customHeight="1">
      <c r="A346" s="13" t="s">
        <v>152</v>
      </c>
      <c r="B346" s="56">
        <v>0.0</v>
      </c>
      <c r="C346" s="56">
        <v>0.0</v>
      </c>
      <c r="D346" s="55">
        <v>0.0</v>
      </c>
      <c r="E346" s="55">
        <v>0.0</v>
      </c>
      <c r="F346" s="3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9"/>
      <c r="S346" s="3"/>
      <c r="T346" s="3"/>
      <c r="U346" s="1"/>
      <c r="V346" s="3"/>
      <c r="W346" s="3"/>
      <c r="X346" s="3"/>
      <c r="Y346" s="3"/>
      <c r="Z346" s="3"/>
    </row>
    <row r="347" ht="15.75" customHeight="1">
      <c r="A347" s="13" t="s">
        <v>153</v>
      </c>
      <c r="B347" s="56">
        <v>0.0</v>
      </c>
      <c r="C347" s="56">
        <v>0.0</v>
      </c>
      <c r="D347" s="55">
        <v>0.0</v>
      </c>
      <c r="E347" s="55">
        <v>0.0</v>
      </c>
      <c r="F347" s="3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9"/>
      <c r="S347" s="3"/>
      <c r="T347" s="3"/>
      <c r="U347" s="1"/>
      <c r="V347" s="3"/>
      <c r="W347" s="3"/>
      <c r="X347" s="3"/>
      <c r="Y347" s="3"/>
      <c r="Z347" s="3"/>
    </row>
    <row r="348" ht="15.75" customHeight="1">
      <c r="A348" s="13" t="s">
        <v>154</v>
      </c>
      <c r="B348" s="56">
        <v>0.0</v>
      </c>
      <c r="C348" s="56">
        <v>0.0</v>
      </c>
      <c r="D348" s="55">
        <v>0.0</v>
      </c>
      <c r="E348" s="55">
        <v>0.0</v>
      </c>
      <c r="F348" s="3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1"/>
      <c r="V348" s="3"/>
      <c r="W348" s="3"/>
      <c r="X348" s="3"/>
      <c r="Y348" s="3"/>
      <c r="Z348" s="3"/>
    </row>
    <row r="349" ht="15.75" customHeight="1">
      <c r="A349" s="13" t="s">
        <v>155</v>
      </c>
      <c r="B349" s="55">
        <v>20000.0</v>
      </c>
      <c r="C349" s="55">
        <v>0.0</v>
      </c>
      <c r="D349" s="55">
        <v>0.0</v>
      </c>
      <c r="E349" s="55">
        <v>0.0</v>
      </c>
      <c r="F349" s="3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1"/>
      <c r="V349" s="3"/>
      <c r="W349" s="3"/>
      <c r="X349" s="3"/>
      <c r="Y349" s="3"/>
      <c r="Z349" s="3"/>
    </row>
    <row r="350" ht="15.75" customHeight="1">
      <c r="A350" s="13" t="s">
        <v>156</v>
      </c>
      <c r="B350" s="55">
        <v>0.0</v>
      </c>
      <c r="C350" s="55">
        <v>0.0</v>
      </c>
      <c r="D350" s="55">
        <v>12167.06</v>
      </c>
      <c r="E350" s="55">
        <v>0.0</v>
      </c>
      <c r="F350" s="3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1"/>
      <c r="V350" s="3"/>
      <c r="W350" s="3"/>
      <c r="X350" s="3"/>
      <c r="Y350" s="3"/>
      <c r="Z350" s="3"/>
    </row>
    <row r="351" ht="15.75" customHeight="1">
      <c r="A351" s="13" t="s">
        <v>157</v>
      </c>
      <c r="B351" s="55">
        <v>0.0</v>
      </c>
      <c r="C351" s="55">
        <v>0.0</v>
      </c>
      <c r="D351" s="55">
        <v>0.0</v>
      </c>
      <c r="E351" s="55">
        <v>0.0</v>
      </c>
      <c r="F351" s="3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1"/>
      <c r="V351" s="3"/>
      <c r="W351" s="3"/>
      <c r="X351" s="3"/>
      <c r="Y351" s="3"/>
      <c r="Z351" s="3"/>
    </row>
    <row r="352" ht="15.75" customHeight="1">
      <c r="A352" s="13" t="s">
        <v>158</v>
      </c>
      <c r="B352" s="56">
        <v>0.0</v>
      </c>
      <c r="C352" s="56">
        <v>0.0</v>
      </c>
      <c r="D352" s="55">
        <f>SUM(D322:D324)*2%</f>
        <v>22031.656</v>
      </c>
      <c r="E352" s="55">
        <v>0.0</v>
      </c>
      <c r="F352" s="3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1"/>
      <c r="V352" s="3"/>
      <c r="W352" s="3"/>
      <c r="X352" s="3"/>
      <c r="Y352" s="3"/>
      <c r="Z352" s="3"/>
    </row>
    <row r="353" ht="15.75" customHeight="1">
      <c r="A353" s="13" t="s">
        <v>159</v>
      </c>
      <c r="B353" s="55">
        <v>0.0</v>
      </c>
      <c r="C353" s="55">
        <v>0.0</v>
      </c>
      <c r="D353" s="55">
        <v>0.0</v>
      </c>
      <c r="E353" s="55">
        <v>0.0</v>
      </c>
      <c r="F353" s="3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1"/>
      <c r="V353" s="3"/>
      <c r="W353" s="3"/>
      <c r="X353" s="3"/>
      <c r="Y353" s="3"/>
      <c r="Z353" s="3"/>
    </row>
    <row r="354" ht="15.75" customHeight="1">
      <c r="A354" s="13" t="s">
        <v>160</v>
      </c>
      <c r="B354" s="55">
        <v>0.0</v>
      </c>
      <c r="C354" s="55">
        <v>0.0</v>
      </c>
      <c r="D354" s="55">
        <v>0.0</v>
      </c>
      <c r="E354" s="55">
        <v>0.0</v>
      </c>
      <c r="F354" s="3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1"/>
      <c r="V354" s="3"/>
      <c r="W354" s="3"/>
      <c r="X354" s="3"/>
      <c r="Y354" s="3"/>
      <c r="Z354" s="3"/>
    </row>
    <row r="355" ht="15.75" customHeight="1">
      <c r="A355" s="13" t="s">
        <v>161</v>
      </c>
      <c r="B355" s="55">
        <v>0.0</v>
      </c>
      <c r="C355" s="55">
        <v>0.0</v>
      </c>
      <c r="D355" s="55">
        <v>0.0</v>
      </c>
      <c r="E355" s="55">
        <v>0.0</v>
      </c>
      <c r="F355" s="3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1"/>
      <c r="V355" s="3"/>
      <c r="W355" s="3"/>
      <c r="X355" s="3"/>
      <c r="Y355" s="3"/>
      <c r="Z355" s="3"/>
    </row>
    <row r="356" ht="15.75" customHeight="1">
      <c r="A356" s="13" t="s">
        <v>162</v>
      </c>
      <c r="B356" s="55">
        <v>0.0</v>
      </c>
      <c r="C356" s="55">
        <v>0.0</v>
      </c>
      <c r="D356" s="55">
        <v>0.0</v>
      </c>
      <c r="E356" s="55">
        <v>0.0</v>
      </c>
      <c r="F356" s="3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1"/>
      <c r="V356" s="3"/>
      <c r="W356" s="3"/>
      <c r="X356" s="3"/>
      <c r="Y356" s="3"/>
      <c r="Z356" s="3"/>
    </row>
    <row r="357" ht="15.75" customHeight="1">
      <c r="A357" s="63"/>
      <c r="B357" s="55"/>
      <c r="C357" s="55"/>
      <c r="D357" s="55"/>
      <c r="E357" s="55"/>
      <c r="F357" s="3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1"/>
      <c r="V357" s="3"/>
      <c r="W357" s="3"/>
      <c r="X357" s="3"/>
      <c r="Y357" s="3"/>
      <c r="Z357" s="3"/>
    </row>
    <row r="358" ht="15.75" customHeight="1">
      <c r="A358" s="13" t="s">
        <v>163</v>
      </c>
      <c r="B358" s="56">
        <v>0.0</v>
      </c>
      <c r="C358" s="56">
        <f>SUM(C332:C355)*0.6%</f>
        <v>2970</v>
      </c>
      <c r="D358" s="56">
        <f>SUM(D332:D355)*0.6%+(D359*0.6%)</f>
        <v>5737.192296</v>
      </c>
      <c r="E358" s="56">
        <f>(E336*0.6%)+(E337*0.6%)+(E338*0.6%)+(E341*0.6%)+(E342*0.6%)</f>
        <v>0</v>
      </c>
      <c r="F358" s="3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1"/>
      <c r="V358" s="3"/>
      <c r="W358" s="3"/>
      <c r="X358" s="3"/>
      <c r="Y358" s="3"/>
      <c r="Z358" s="3"/>
    </row>
    <row r="359" ht="15.75" customHeight="1">
      <c r="A359" s="13" t="s">
        <v>164</v>
      </c>
      <c r="B359" s="56">
        <v>0.0</v>
      </c>
      <c r="C359" s="56">
        <f t="shared" ref="C359:D359" si="49">272000+150000</f>
        <v>422000</v>
      </c>
      <c r="D359" s="56">
        <f t="shared" si="49"/>
        <v>422000</v>
      </c>
      <c r="E359" s="56">
        <f>SUM(E333:E357)*0.6%+(E360*0.6%)</f>
        <v>0</v>
      </c>
      <c r="F359" s="6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1"/>
      <c r="V359" s="3"/>
      <c r="W359" s="3"/>
      <c r="X359" s="3"/>
      <c r="Y359" s="3"/>
      <c r="Z359" s="3"/>
    </row>
    <row r="360" ht="15.75" customHeight="1">
      <c r="A360" s="63"/>
      <c r="B360" s="63"/>
      <c r="C360" s="35"/>
      <c r="D360" s="2"/>
      <c r="E360" s="35"/>
      <c r="F360" s="3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1"/>
      <c r="V360" s="3"/>
      <c r="W360" s="3"/>
      <c r="X360" s="3"/>
      <c r="Y360" s="3"/>
      <c r="Z360" s="3"/>
    </row>
    <row r="361" ht="15.75" customHeight="1">
      <c r="A361" s="65" t="s">
        <v>165</v>
      </c>
      <c r="B361" s="66">
        <f>SUM(B332:B360)</f>
        <v>70000</v>
      </c>
      <c r="C361" s="66">
        <f>SUM(C332:C358)</f>
        <v>497970</v>
      </c>
      <c r="D361" s="66">
        <f>SUM(D332:D359)</f>
        <v>961935.9083</v>
      </c>
      <c r="E361" s="66">
        <f>E343+E347+E358-E359</f>
        <v>0</v>
      </c>
      <c r="F361" s="67" t="str">
        <f>F336</f>
        <v/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1"/>
      <c r="V361" s="3"/>
      <c r="W361" s="3"/>
      <c r="X361" s="3"/>
      <c r="Y361" s="3"/>
      <c r="Z361" s="3"/>
    </row>
    <row r="362" ht="15.75" customHeight="1">
      <c r="A362" s="63"/>
      <c r="B362" s="63"/>
      <c r="C362" s="35"/>
      <c r="D362" s="35"/>
      <c r="E362" s="35"/>
      <c r="F362" s="3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1"/>
      <c r="V362" s="3"/>
      <c r="W362" s="3"/>
      <c r="X362" s="3"/>
      <c r="Y362" s="3"/>
      <c r="Z362" s="3"/>
    </row>
    <row r="363" ht="15.75" customHeight="1">
      <c r="A363" s="65" t="s">
        <v>166</v>
      </c>
      <c r="B363" s="68">
        <f>B329-B361</f>
        <v>2778150</v>
      </c>
      <c r="C363" s="69">
        <f>C329-C361+C359</f>
        <v>236114.49</v>
      </c>
      <c r="D363" s="69">
        <f t="shared" ref="D363:F363" si="50">D329-D361</f>
        <v>1401865.675</v>
      </c>
      <c r="E363" s="70">
        <f t="shared" si="50"/>
        <v>0</v>
      </c>
      <c r="F363" s="70">
        <f t="shared" si="50"/>
        <v>8500000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1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1"/>
      <c r="V364" s="3"/>
      <c r="W364" s="3"/>
      <c r="X364" s="3"/>
      <c r="Y364" s="3"/>
      <c r="Z364" s="3"/>
    </row>
    <row r="365" ht="15.75" customHeight="1">
      <c r="A365" s="71" t="s">
        <v>167</v>
      </c>
      <c r="B365" s="72">
        <v>249800.0</v>
      </c>
      <c r="C365" s="52"/>
      <c r="D365" s="52"/>
      <c r="E365" s="52"/>
      <c r="F365" s="5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9"/>
      <c r="S365" s="3"/>
      <c r="T365" s="3"/>
      <c r="U365" s="1"/>
      <c r="V365" s="3"/>
      <c r="W365" s="3"/>
      <c r="X365" s="3"/>
      <c r="Y365" s="3"/>
      <c r="Z365" s="3"/>
    </row>
    <row r="366" ht="15.75" customHeight="1">
      <c r="A366" s="71" t="s">
        <v>168</v>
      </c>
      <c r="B366" s="72">
        <v>2528350.0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1"/>
      <c r="V366" s="3"/>
      <c r="W366" s="3"/>
      <c r="X366" s="3"/>
      <c r="Y366" s="3"/>
      <c r="Z366" s="3"/>
    </row>
    <row r="367" ht="15.75" customHeight="1">
      <c r="A367" s="2"/>
      <c r="B367" s="52" t="s">
        <v>13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1"/>
      <c r="V367" s="3"/>
      <c r="W367" s="3"/>
      <c r="X367" s="3"/>
      <c r="Y367" s="3"/>
      <c r="Z367" s="3"/>
    </row>
    <row r="368" ht="15.75" customHeight="1">
      <c r="A368" s="2"/>
      <c r="B368" s="52">
        <f>SUM(B365:B366)</f>
        <v>2778150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1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9"/>
      <c r="S369" s="3"/>
      <c r="T369" s="3"/>
      <c r="U369" s="1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9"/>
      <c r="S370" s="3"/>
      <c r="T370" s="3"/>
      <c r="U370" s="1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1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1"/>
      <c r="V372" s="3"/>
      <c r="W372" s="9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1"/>
      <c r="V373" s="3"/>
      <c r="W373" s="9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1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1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1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1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1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1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1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1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1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1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1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1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1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1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1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1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1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1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1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9"/>
      <c r="S393" s="3"/>
      <c r="T393" s="3"/>
      <c r="U393" s="1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1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1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1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9"/>
      <c r="S397" s="3"/>
      <c r="T397" s="3"/>
      <c r="U397" s="1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9"/>
      <c r="S398" s="3"/>
      <c r="T398" s="3"/>
      <c r="U398" s="1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1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1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1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1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1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1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1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1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1"/>
      <c r="V407" s="3"/>
      <c r="W407" s="9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1"/>
      <c r="V408" s="3"/>
      <c r="W408" s="9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1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1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9"/>
      <c r="S411" s="3"/>
      <c r="T411" s="3"/>
      <c r="U411" s="1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1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1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1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9"/>
      <c r="S415" s="3"/>
      <c r="T415" s="3"/>
      <c r="U415" s="1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9"/>
      <c r="S416" s="3"/>
      <c r="T416" s="3"/>
      <c r="U416" s="1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1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1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1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1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1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1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1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1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1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9"/>
      <c r="S426" s="3"/>
      <c r="T426" s="3"/>
      <c r="U426" s="1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1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1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1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1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1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1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9"/>
      <c r="S433" s="3"/>
      <c r="T433" s="3"/>
      <c r="U433" s="1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1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1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9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9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3"/>
      <c r="T442" s="3"/>
      <c r="U442" s="9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9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9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9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9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2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9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9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9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9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9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3"/>
      <c r="T484" s="3"/>
      <c r="U484" s="9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9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9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2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2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2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9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2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2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2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2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2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2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52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/>
      <c r="R508" s="52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2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52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52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/>
      <c r="R512" s="52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52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/>
      <c r="R514" s="52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3"/>
      <c r="R515" s="52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3"/>
      <c r="R516" s="2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3"/>
      <c r="R517" s="2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"/>
      <c r="R518" s="52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3"/>
      <c r="R519" s="52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/>
      <c r="R520" s="52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/>
      <c r="R521" s="52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/>
      <c r="R522" s="52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3"/>
      <c r="R523" s="52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3"/>
      <c r="R524" s="52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/>
      <c r="R525" s="52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/>
      <c r="R526" s="9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/>
      <c r="R527" s="52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/>
      <c r="R528" s="52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52"/>
      <c r="R529" s="52"/>
      <c r="S529" s="3"/>
      <c r="T529" s="3"/>
      <c r="U529" s="9"/>
      <c r="V529" s="3"/>
      <c r="W529" s="3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3"/>
      <c r="R530" s="9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3"/>
      <c r="R531" s="9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/>
      <c r="R532" s="52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/>
      <c r="R533" s="52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/>
      <c r="R534" s="52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3"/>
      <c r="R535" s="52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/>
      <c r="R536" s="2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/>
      <c r="R537" s="52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/>
      <c r="R538" s="2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/>
      <c r="R539" s="52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/>
      <c r="R540" s="2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/>
      <c r="R541" s="52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/>
      <c r="R542" s="2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/>
      <c r="R543" s="2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/>
      <c r="R544" s="2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/>
      <c r="R545" s="2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/>
      <c r="R546" s="2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/>
      <c r="R547" s="2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  <c r="R548" s="2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3"/>
      <c r="R549" s="2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/>
      <c r="R550" s="2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3"/>
      <c r="R551" s="2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/>
      <c r="R552" s="2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/>
      <c r="R553" s="2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3"/>
      <c r="R554" s="2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/>
      <c r="R555" s="2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/>
      <c r="R556" s="2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3"/>
      <c r="R557" s="2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3"/>
      <c r="R558" s="2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3"/>
      <c r="R559" s="2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"/>
      <c r="R560" s="2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3"/>
      <c r="R561" s="2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3"/>
      <c r="R562" s="2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3"/>
      <c r="R563" s="2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3"/>
      <c r="R564" s="2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3"/>
      <c r="R565" s="2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3"/>
      <c r="R566" s="2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3"/>
      <c r="R567" s="2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/>
      <c r="R568" s="2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3"/>
      <c r="R569" s="2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3"/>
      <c r="R570" s="2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3"/>
      <c r="R571" s="2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3"/>
      <c r="R572" s="9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3"/>
      <c r="R573" s="2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/>
      <c r="R574" s="2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9"/>
      <c r="T575" s="3"/>
      <c r="U575" s="2"/>
      <c r="V575" s="3"/>
      <c r="W575" s="3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3"/>
      <c r="R576" s="9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3"/>
      <c r="R577" s="9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3"/>
      <c r="R578" s="2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3"/>
      <c r="R579" s="2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3"/>
      <c r="R580" s="2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3"/>
      <c r="R581" s="2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3"/>
      <c r="R582" s="2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3"/>
      <c r="R583" s="2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3"/>
      <c r="R584" s="2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3"/>
      <c r="R585" s="2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3"/>
      <c r="R586" s="2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3"/>
      <c r="R587" s="9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3"/>
      <c r="R588" s="2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3"/>
      <c r="R589" s="2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"/>
      <c r="R590" s="2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3"/>
      <c r="R591" s="2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9"/>
      <c r="T592" s="3"/>
      <c r="U592" s="2"/>
      <c r="V592" s="3"/>
      <c r="W592" s="3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3"/>
      <c r="R593" s="9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3"/>
      <c r="R594" s="9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3"/>
      <c r="R595" s="2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3"/>
      <c r="R596" s="2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3"/>
      <c r="R597" s="2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3"/>
      <c r="R598" s="9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3"/>
      <c r="R599" s="2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3"/>
      <c r="R600" s="2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3"/>
      <c r="R602" s="2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9"/>
      <c r="T603" s="3"/>
      <c r="U603" s="2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/>
      <c r="R604" s="2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3"/>
      <c r="R605" s="9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3"/>
      <c r="R606" s="2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3"/>
      <c r="R607" s="2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3"/>
      <c r="R608" s="2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3"/>
      <c r="R609" s="2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/>
      <c r="R610" s="2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3"/>
      <c r="R611" s="2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3"/>
      <c r="R612" s="2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3"/>
      <c r="R613" s="2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3"/>
      <c r="R614" s="2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3"/>
      <c r="R615" s="2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3"/>
      <c r="R616" s="9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3"/>
      <c r="R617" s="2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3"/>
      <c r="R618" s="2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3"/>
      <c r="T619" s="3"/>
      <c r="U619" s="9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3"/>
      <c r="R620" s="2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3"/>
      <c r="R621" s="9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3"/>
      <c r="R622" s="2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3"/>
      <c r="R623" s="2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3"/>
      <c r="R624" s="2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3"/>
      <c r="R625" s="2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3"/>
      <c r="R626" s="2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3"/>
      <c r="R627" s="2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3"/>
      <c r="R628" s="2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3"/>
      <c r="R629" s="2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3"/>
      <c r="R630" s="9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3"/>
      <c r="R631" s="2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3"/>
      <c r="R632" s="2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3"/>
      <c r="T633" s="9"/>
      <c r="U633" s="2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/>
      <c r="R634" s="2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3"/>
      <c r="R635" s="9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3"/>
      <c r="R636" s="2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3"/>
      <c r="R637" s="2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3"/>
      <c r="R638" s="2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3"/>
      <c r="R639" s="2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3"/>
      <c r="R640" s="2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3"/>
      <c r="R641" s="2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3"/>
      <c r="R642" s="9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3"/>
      <c r="R643" s="9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3"/>
      <c r="R644" s="9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3"/>
      <c r="T645" s="9"/>
      <c r="U645" s="2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3"/>
      <c r="R646" s="2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3"/>
      <c r="R647" s="9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3"/>
      <c r="R648" s="2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3"/>
      <c r="R649" s="2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3"/>
      <c r="R650" s="2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3"/>
      <c r="R651" s="2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3"/>
      <c r="R652" s="2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3"/>
      <c r="R653" s="9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3"/>
      <c r="R654" s="2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3"/>
      <c r="R655" s="2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3"/>
      <c r="R656" s="2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3"/>
      <c r="R658" s="2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3"/>
      <c r="R660" s="2"/>
      <c r="S660" s="2"/>
      <c r="T660" s="3"/>
      <c r="U660" s="2"/>
      <c r="V660" s="2"/>
      <c r="W660" s="2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3"/>
      <c r="T661" s="3"/>
      <c r="U661" s="3"/>
      <c r="V661" s="2"/>
      <c r="W661" s="2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44"/>
      <c r="R663" s="44"/>
      <c r="S663" s="44"/>
      <c r="T663" s="44"/>
      <c r="U663" s="44"/>
      <c r="V663" s="44"/>
      <c r="W663" s="44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3"/>
      <c r="T664" s="3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"/>
      <c r="R665" s="2"/>
      <c r="S665" s="3"/>
      <c r="T665" s="3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4"/>
      <c r="R667" s="75"/>
      <c r="S667" s="76"/>
      <c r="T667" s="76"/>
      <c r="U667" s="76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7"/>
      <c r="R668" s="77"/>
      <c r="S668" s="77"/>
      <c r="T668" s="77"/>
      <c r="U668" s="77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52"/>
      <c r="R669" s="52"/>
      <c r="S669" s="52"/>
      <c r="T669" s="5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52"/>
      <c r="R671" s="52"/>
      <c r="S671" s="52"/>
      <c r="T671" s="52"/>
      <c r="U671" s="5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52"/>
      <c r="R672" s="52"/>
      <c r="S672" s="52"/>
      <c r="T672" s="5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52"/>
      <c r="R673" s="52"/>
      <c r="S673" s="52"/>
      <c r="T673" s="5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52"/>
      <c r="R674" s="52"/>
      <c r="S674" s="52"/>
      <c r="T674" s="5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52"/>
      <c r="R675" s="52"/>
      <c r="S675" s="52"/>
      <c r="T675" s="5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8"/>
      <c r="R676" s="78"/>
      <c r="S676" s="78"/>
      <c r="T676" s="78"/>
      <c r="U676" s="79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"/>
      <c r="R677" s="2"/>
      <c r="S677" s="3"/>
      <c r="T677" s="3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62"/>
      <c r="R679" s="62"/>
      <c r="S679" s="62"/>
      <c r="T679" s="6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62"/>
      <c r="R680" s="62"/>
      <c r="S680" s="62"/>
      <c r="T680" s="6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62"/>
      <c r="R681" s="62"/>
      <c r="S681" s="62"/>
      <c r="T681" s="6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62"/>
      <c r="R682" s="62"/>
      <c r="S682" s="62"/>
      <c r="T682" s="6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62"/>
      <c r="R683" s="62"/>
      <c r="S683" s="62"/>
      <c r="T683" s="62"/>
      <c r="U683" s="2"/>
      <c r="V683" s="2"/>
      <c r="W683" s="6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62"/>
      <c r="R684" s="62"/>
      <c r="S684" s="62"/>
      <c r="T684" s="6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62"/>
      <c r="R685" s="62"/>
      <c r="S685" s="62"/>
      <c r="T685" s="62"/>
      <c r="U685" s="2"/>
      <c r="V685" s="2"/>
      <c r="W685" s="6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62"/>
      <c r="R686" s="62"/>
      <c r="S686" s="62"/>
      <c r="T686" s="62"/>
      <c r="U686" s="2"/>
      <c r="V686" s="2"/>
      <c r="W686" s="6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52"/>
      <c r="R687" s="52"/>
      <c r="S687" s="52"/>
      <c r="T687" s="5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52"/>
      <c r="R688" s="52"/>
      <c r="S688" s="52"/>
      <c r="T688" s="52"/>
      <c r="U688" s="2"/>
      <c r="V688" s="2"/>
      <c r="W688" s="6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52"/>
      <c r="R689" s="52"/>
      <c r="S689" s="52"/>
      <c r="T689" s="5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52"/>
      <c r="R690" s="52"/>
      <c r="S690" s="52"/>
      <c r="T690" s="5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52"/>
      <c r="R691" s="52"/>
      <c r="S691" s="52"/>
      <c r="T691" s="5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52"/>
      <c r="R692" s="52"/>
      <c r="S692" s="52"/>
      <c r="T692" s="5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52"/>
      <c r="R693" s="52"/>
      <c r="S693" s="52"/>
      <c r="T693" s="5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52"/>
      <c r="R694" s="52"/>
      <c r="S694" s="52"/>
      <c r="T694" s="5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52"/>
      <c r="R695" s="52"/>
      <c r="S695" s="52"/>
      <c r="T695" s="5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"/>
      <c r="R696" s="52"/>
      <c r="S696" s="52"/>
      <c r="T696" s="5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8"/>
      <c r="R698" s="78"/>
      <c r="S698" s="78"/>
      <c r="T698" s="78"/>
      <c r="U698" s="79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7"/>
      <c r="R700" s="78"/>
      <c r="S700" s="78"/>
      <c r="T700" s="80"/>
      <c r="U700" s="80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52"/>
      <c r="R702" s="52"/>
      <c r="S702" s="52"/>
      <c r="T702" s="52"/>
      <c r="U702" s="5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5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</sheetData>
  <mergeCells count="16">
    <mergeCell ref="A2:C2"/>
    <mergeCell ref="I2:K2"/>
    <mergeCell ref="A28:C28"/>
    <mergeCell ref="I28:K28"/>
    <mergeCell ref="A61:C61"/>
    <mergeCell ref="I61:K61"/>
    <mergeCell ref="I92:K92"/>
    <mergeCell ref="U371:W371"/>
    <mergeCell ref="U406:W406"/>
    <mergeCell ref="I113:K113"/>
    <mergeCell ref="I132:K132"/>
    <mergeCell ref="A313:B313"/>
    <mergeCell ref="U317:W317"/>
    <mergeCell ref="A318:A319"/>
    <mergeCell ref="A321:F321"/>
    <mergeCell ref="A331:F331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4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5" t="s">
        <v>42</v>
      </c>
      <c r="B2" s="88" t="s">
        <v>66</v>
      </c>
      <c r="C2" s="5"/>
      <c r="D2" s="86" t="s">
        <v>62</v>
      </c>
      <c r="E2" s="82">
        <v>46062.0</v>
      </c>
      <c r="F2" s="82"/>
      <c r="G2" s="6"/>
      <c r="H2" s="3"/>
      <c r="I2" s="94" t="s">
        <v>3</v>
      </c>
      <c r="J2" s="8"/>
      <c r="K2" s="8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88" t="s">
        <v>4</v>
      </c>
      <c r="B4" s="92" t="s">
        <v>5</v>
      </c>
      <c r="C4" s="93" t="s">
        <v>6</v>
      </c>
      <c r="D4" s="84" t="s">
        <v>7</v>
      </c>
      <c r="E4" s="92" t="s">
        <v>8</v>
      </c>
      <c r="F4" s="92" t="s">
        <v>9</v>
      </c>
      <c r="G4" s="3"/>
      <c r="H4" s="3"/>
      <c r="I4" s="92" t="s">
        <v>260</v>
      </c>
      <c r="J4" s="92" t="s">
        <v>8</v>
      </c>
      <c r="K4" s="92" t="s">
        <v>10</v>
      </c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2.0</v>
      </c>
      <c r="B5" s="84" t="s">
        <v>5</v>
      </c>
      <c r="C5" s="85" t="s">
        <v>103</v>
      </c>
      <c r="D5" s="22">
        <v>1800.0</v>
      </c>
      <c r="E5" s="15">
        <f t="shared" ref="E5:E28" si="1">A5*D5</f>
        <v>3600</v>
      </c>
      <c r="F5" s="15">
        <f t="shared" ref="F5:F28" si="2">E5*1.105</f>
        <v>3978</v>
      </c>
      <c r="G5" s="3"/>
      <c r="H5" s="3"/>
      <c r="I5" s="22">
        <f>7200/6</f>
        <v>1200</v>
      </c>
      <c r="J5" s="22">
        <f t="shared" ref="J5:J28" si="3">I5*A5</f>
        <v>2400</v>
      </c>
      <c r="K5" s="22">
        <f t="shared" ref="K5:K28" si="4">F5-J5</f>
        <v>1578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2.0</v>
      </c>
      <c r="B6" s="84" t="s">
        <v>38</v>
      </c>
      <c r="C6" s="85" t="s">
        <v>226</v>
      </c>
      <c r="D6" s="22">
        <v>14000.0</v>
      </c>
      <c r="E6" s="15">
        <f t="shared" si="1"/>
        <v>28000</v>
      </c>
      <c r="F6" s="15">
        <f t="shared" si="2"/>
        <v>30940</v>
      </c>
      <c r="G6" s="3"/>
      <c r="H6" s="3"/>
      <c r="I6" s="22">
        <v>13000.0</v>
      </c>
      <c r="J6" s="22">
        <f t="shared" si="3"/>
        <v>26000</v>
      </c>
      <c r="K6" s="22">
        <f t="shared" si="4"/>
        <v>4940</v>
      </c>
      <c r="L6" s="4"/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2.0</v>
      </c>
      <c r="B7" s="84" t="s">
        <v>38</v>
      </c>
      <c r="C7" s="85" t="s">
        <v>45</v>
      </c>
      <c r="D7" s="22">
        <v>13000.0</v>
      </c>
      <c r="E7" s="15">
        <f t="shared" si="1"/>
        <v>26000</v>
      </c>
      <c r="F7" s="15">
        <f t="shared" si="2"/>
        <v>28730</v>
      </c>
      <c r="G7" s="3"/>
      <c r="H7" s="3"/>
      <c r="I7" s="22">
        <v>8000.0</v>
      </c>
      <c r="J7" s="22">
        <f t="shared" si="3"/>
        <v>16000</v>
      </c>
      <c r="K7" s="22">
        <f t="shared" si="4"/>
        <v>12730</v>
      </c>
      <c r="L7" s="4"/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1.0</v>
      </c>
      <c r="B8" s="84" t="s">
        <v>18</v>
      </c>
      <c r="C8" s="85" t="s">
        <v>77</v>
      </c>
      <c r="D8" s="22">
        <v>15000.0</v>
      </c>
      <c r="E8" s="15">
        <f t="shared" si="1"/>
        <v>15000</v>
      </c>
      <c r="F8" s="15">
        <f t="shared" si="2"/>
        <v>16575</v>
      </c>
      <c r="G8" s="3"/>
      <c r="H8" s="22"/>
      <c r="I8" s="22">
        <v>12000.0</v>
      </c>
      <c r="J8" s="22">
        <f t="shared" si="3"/>
        <v>12000</v>
      </c>
      <c r="K8" s="22">
        <f t="shared" si="4"/>
        <v>4575</v>
      </c>
      <c r="L8" s="4"/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1.0</v>
      </c>
      <c r="B9" s="84" t="s">
        <v>11</v>
      </c>
      <c r="C9" s="85" t="s">
        <v>70</v>
      </c>
      <c r="D9" s="22">
        <v>850.0</v>
      </c>
      <c r="E9" s="15">
        <f t="shared" si="1"/>
        <v>850</v>
      </c>
      <c r="F9" s="15">
        <f t="shared" si="2"/>
        <v>939.25</v>
      </c>
      <c r="G9" s="3"/>
      <c r="H9" s="3"/>
      <c r="I9" s="22">
        <v>1600.0</v>
      </c>
      <c r="J9" s="22">
        <f t="shared" si="3"/>
        <v>1600</v>
      </c>
      <c r="K9" s="22">
        <f t="shared" si="4"/>
        <v>-660.75</v>
      </c>
      <c r="L9" s="4"/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2.0</v>
      </c>
      <c r="B10" s="84" t="s">
        <v>5</v>
      </c>
      <c r="C10" s="85" t="s">
        <v>69</v>
      </c>
      <c r="D10" s="22">
        <v>1800.0</v>
      </c>
      <c r="E10" s="15">
        <f t="shared" si="1"/>
        <v>3600</v>
      </c>
      <c r="F10" s="15">
        <f t="shared" si="2"/>
        <v>3978</v>
      </c>
      <c r="G10" s="3"/>
      <c r="H10" s="22"/>
      <c r="I10" s="22">
        <v>1400.0</v>
      </c>
      <c r="J10" s="22">
        <f t="shared" si="3"/>
        <v>2800</v>
      </c>
      <c r="K10" s="22">
        <f t="shared" si="4"/>
        <v>1178</v>
      </c>
      <c r="L10" s="4"/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0.5</v>
      </c>
      <c r="B11" s="84" t="s">
        <v>18</v>
      </c>
      <c r="C11" s="85" t="s">
        <v>192</v>
      </c>
      <c r="D11" s="22">
        <v>10000.0</v>
      </c>
      <c r="E11" s="15">
        <f t="shared" si="1"/>
        <v>5000</v>
      </c>
      <c r="F11" s="15">
        <f t="shared" si="2"/>
        <v>5525</v>
      </c>
      <c r="G11" s="3"/>
      <c r="H11" s="22"/>
      <c r="I11" s="22">
        <v>6000.0</v>
      </c>
      <c r="J11" s="22">
        <f t="shared" si="3"/>
        <v>3000</v>
      </c>
      <c r="K11" s="22">
        <f t="shared" si="4"/>
        <v>2525</v>
      </c>
      <c r="L11" s="4"/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0.5</v>
      </c>
      <c r="B12" s="84" t="s">
        <v>18</v>
      </c>
      <c r="C12" s="85" t="s">
        <v>22</v>
      </c>
      <c r="D12" s="22">
        <v>11000.0</v>
      </c>
      <c r="E12" s="15">
        <f t="shared" si="1"/>
        <v>5500</v>
      </c>
      <c r="F12" s="15">
        <f t="shared" si="2"/>
        <v>6077.5</v>
      </c>
      <c r="G12" s="3"/>
      <c r="H12" s="87"/>
      <c r="I12" s="22">
        <v>7000.0</v>
      </c>
      <c r="J12" s="22">
        <f t="shared" si="3"/>
        <v>3500</v>
      </c>
      <c r="K12" s="22">
        <f t="shared" si="4"/>
        <v>2577.5</v>
      </c>
      <c r="L12" s="4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3.0</v>
      </c>
      <c r="B13" s="84" t="s">
        <v>33</v>
      </c>
      <c r="C13" s="85" t="s">
        <v>23</v>
      </c>
      <c r="D13" s="22">
        <v>1500.0</v>
      </c>
      <c r="E13" s="15">
        <f t="shared" si="1"/>
        <v>4500</v>
      </c>
      <c r="F13" s="15">
        <f t="shared" si="2"/>
        <v>4972.5</v>
      </c>
      <c r="G13" s="3"/>
      <c r="H13" s="87"/>
      <c r="I13" s="22">
        <v>600.0</v>
      </c>
      <c r="J13" s="22">
        <f t="shared" si="3"/>
        <v>1800</v>
      </c>
      <c r="K13" s="22">
        <f t="shared" si="4"/>
        <v>3172.5</v>
      </c>
      <c r="L13" s="4"/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1.0</v>
      </c>
      <c r="B14" s="84" t="s">
        <v>18</v>
      </c>
      <c r="C14" s="85" t="s">
        <v>194</v>
      </c>
      <c r="D14" s="22">
        <v>14000.0</v>
      </c>
      <c r="E14" s="15">
        <f t="shared" si="1"/>
        <v>14000</v>
      </c>
      <c r="F14" s="15">
        <f t="shared" si="2"/>
        <v>15470</v>
      </c>
      <c r="G14" s="3"/>
      <c r="H14" s="3"/>
      <c r="I14" s="22">
        <v>8000.0</v>
      </c>
      <c r="J14" s="22">
        <f t="shared" si="3"/>
        <v>8000</v>
      </c>
      <c r="K14" s="22">
        <f t="shared" si="4"/>
        <v>7470</v>
      </c>
      <c r="L14" s="4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0.5</v>
      </c>
      <c r="B15" s="84" t="s">
        <v>18</v>
      </c>
      <c r="C15" s="85" t="s">
        <v>19</v>
      </c>
      <c r="D15" s="22">
        <v>20000.0</v>
      </c>
      <c r="E15" s="15">
        <f t="shared" si="1"/>
        <v>10000</v>
      </c>
      <c r="F15" s="15">
        <f t="shared" si="2"/>
        <v>11050</v>
      </c>
      <c r="G15" s="3"/>
      <c r="H15" s="3"/>
      <c r="I15" s="22">
        <v>12000.0</v>
      </c>
      <c r="J15" s="22">
        <f t="shared" si="3"/>
        <v>6000</v>
      </c>
      <c r="K15" s="22">
        <f t="shared" si="4"/>
        <v>5050</v>
      </c>
      <c r="L15" s="4"/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0.5</v>
      </c>
      <c r="B16" s="84" t="s">
        <v>38</v>
      </c>
      <c r="C16" s="85" t="s">
        <v>96</v>
      </c>
      <c r="D16" s="22">
        <v>12000.0</v>
      </c>
      <c r="E16" s="15">
        <f t="shared" si="1"/>
        <v>6000</v>
      </c>
      <c r="F16" s="15">
        <f t="shared" si="2"/>
        <v>6630</v>
      </c>
      <c r="G16" s="3"/>
      <c r="H16" s="3"/>
      <c r="I16" s="22">
        <v>8000.0</v>
      </c>
      <c r="J16" s="22">
        <f t="shared" si="3"/>
        <v>4000</v>
      </c>
      <c r="K16" s="22">
        <f t="shared" si="4"/>
        <v>2630</v>
      </c>
      <c r="L16" s="4"/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1.0</v>
      </c>
      <c r="B17" s="84" t="s">
        <v>38</v>
      </c>
      <c r="C17" s="85" t="s">
        <v>67</v>
      </c>
      <c r="D17" s="22">
        <v>13000.0</v>
      </c>
      <c r="E17" s="15">
        <f t="shared" si="1"/>
        <v>13000</v>
      </c>
      <c r="F17" s="15">
        <f t="shared" si="2"/>
        <v>14365</v>
      </c>
      <c r="G17" s="3"/>
      <c r="H17" s="3"/>
      <c r="I17" s="22">
        <v>9000.0</v>
      </c>
      <c r="J17" s="22">
        <f t="shared" si="3"/>
        <v>9000</v>
      </c>
      <c r="K17" s="22">
        <f t="shared" si="4"/>
        <v>5365</v>
      </c>
      <c r="L17" s="4"/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3.0</v>
      </c>
      <c r="B18" s="84" t="s">
        <v>33</v>
      </c>
      <c r="C18" s="85" t="s">
        <v>261</v>
      </c>
      <c r="D18" s="22">
        <v>3800.0</v>
      </c>
      <c r="E18" s="15">
        <f t="shared" si="1"/>
        <v>11400</v>
      </c>
      <c r="F18" s="15">
        <f t="shared" si="2"/>
        <v>12597</v>
      </c>
      <c r="G18" s="3"/>
      <c r="H18" s="22"/>
      <c r="I18" s="22">
        <f>25000/8</f>
        <v>3125</v>
      </c>
      <c r="J18" s="22">
        <f t="shared" si="3"/>
        <v>9375</v>
      </c>
      <c r="K18" s="22">
        <f t="shared" si="4"/>
        <v>3222</v>
      </c>
      <c r="L18" s="4"/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2.7</v>
      </c>
      <c r="B19" s="84" t="s">
        <v>33</v>
      </c>
      <c r="C19" s="85" t="s">
        <v>262</v>
      </c>
      <c r="D19" s="22">
        <v>2800.0</v>
      </c>
      <c r="E19" s="15">
        <f t="shared" si="1"/>
        <v>7560</v>
      </c>
      <c r="F19" s="15">
        <f t="shared" si="2"/>
        <v>8353.8</v>
      </c>
      <c r="G19" s="3"/>
      <c r="H19" s="3"/>
      <c r="I19" s="87">
        <f>12000/7</f>
        <v>1714.285714</v>
      </c>
      <c r="J19" s="22">
        <f t="shared" si="3"/>
        <v>4628.571429</v>
      </c>
      <c r="K19" s="22">
        <f t="shared" si="4"/>
        <v>3725.228571</v>
      </c>
      <c r="L19" s="4"/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2.0</v>
      </c>
      <c r="B20" s="84" t="s">
        <v>33</v>
      </c>
      <c r="C20" s="85" t="s">
        <v>72</v>
      </c>
      <c r="D20" s="22">
        <v>2700.0</v>
      </c>
      <c r="E20" s="15">
        <f t="shared" si="1"/>
        <v>5400</v>
      </c>
      <c r="F20" s="15">
        <f t="shared" si="2"/>
        <v>5967</v>
      </c>
      <c r="G20" s="3"/>
      <c r="H20" s="3"/>
      <c r="I20" s="87">
        <f>28000/18</f>
        <v>1555.555556</v>
      </c>
      <c r="J20" s="22">
        <f t="shared" si="3"/>
        <v>3111.111111</v>
      </c>
      <c r="K20" s="22">
        <f t="shared" si="4"/>
        <v>2855.888889</v>
      </c>
      <c r="L20" s="4"/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2.0</v>
      </c>
      <c r="B21" s="84" t="s">
        <v>5</v>
      </c>
      <c r="C21" s="85" t="s">
        <v>99</v>
      </c>
      <c r="D21" s="22">
        <v>1800.0</v>
      </c>
      <c r="E21" s="15">
        <f t="shared" si="1"/>
        <v>3600</v>
      </c>
      <c r="F21" s="15">
        <f t="shared" si="2"/>
        <v>3978</v>
      </c>
      <c r="G21" s="3"/>
      <c r="H21" s="3"/>
      <c r="I21" s="87">
        <v>1600.0</v>
      </c>
      <c r="J21" s="22">
        <f t="shared" si="3"/>
        <v>3200</v>
      </c>
      <c r="K21" s="22">
        <f t="shared" si="4"/>
        <v>778</v>
      </c>
      <c r="L21" s="4"/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1.0</v>
      </c>
      <c r="B22" s="84" t="s">
        <v>18</v>
      </c>
      <c r="C22" s="85" t="s">
        <v>78</v>
      </c>
      <c r="D22" s="22">
        <v>58000.0</v>
      </c>
      <c r="E22" s="15">
        <f t="shared" si="1"/>
        <v>58000</v>
      </c>
      <c r="F22" s="15">
        <f t="shared" si="2"/>
        <v>64090</v>
      </c>
      <c r="G22" s="3"/>
      <c r="H22" s="3"/>
      <c r="I22" s="87">
        <v>50000.0</v>
      </c>
      <c r="J22" s="22">
        <f t="shared" si="3"/>
        <v>50000</v>
      </c>
      <c r="K22" s="22">
        <f t="shared" si="4"/>
        <v>14090</v>
      </c>
      <c r="L22" s="4"/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1.0</v>
      </c>
      <c r="B23" s="84" t="s">
        <v>18</v>
      </c>
      <c r="C23" s="85" t="s">
        <v>54</v>
      </c>
      <c r="D23" s="22">
        <v>22000.0</v>
      </c>
      <c r="E23" s="15">
        <f t="shared" si="1"/>
        <v>22000</v>
      </c>
      <c r="F23" s="15">
        <f t="shared" si="2"/>
        <v>24310</v>
      </c>
      <c r="G23" s="3"/>
      <c r="H23" s="3"/>
      <c r="I23" s="87">
        <v>18000.0</v>
      </c>
      <c r="J23" s="22">
        <f t="shared" si="3"/>
        <v>18000</v>
      </c>
      <c r="K23" s="22">
        <f t="shared" si="4"/>
        <v>6310</v>
      </c>
      <c r="L23" s="4"/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0.5</v>
      </c>
      <c r="B24" s="84" t="s">
        <v>18</v>
      </c>
      <c r="C24" s="85" t="s">
        <v>55</v>
      </c>
      <c r="D24" s="22">
        <v>35000.0</v>
      </c>
      <c r="E24" s="15">
        <f t="shared" si="1"/>
        <v>17500</v>
      </c>
      <c r="F24" s="15">
        <f t="shared" si="2"/>
        <v>19337.5</v>
      </c>
      <c r="G24" s="3"/>
      <c r="H24" s="3"/>
      <c r="I24" s="87">
        <v>27000.0</v>
      </c>
      <c r="J24" s="22">
        <f t="shared" si="3"/>
        <v>13500</v>
      </c>
      <c r="K24" s="22">
        <f t="shared" si="4"/>
        <v>5837.5</v>
      </c>
      <c r="L24" s="4"/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83">
        <v>2.0</v>
      </c>
      <c r="B25" s="84" t="s">
        <v>33</v>
      </c>
      <c r="C25" s="85" t="s">
        <v>57</v>
      </c>
      <c r="D25" s="22">
        <v>12000.0</v>
      </c>
      <c r="E25" s="15">
        <f t="shared" si="1"/>
        <v>24000</v>
      </c>
      <c r="F25" s="15">
        <f t="shared" si="2"/>
        <v>26520</v>
      </c>
      <c r="G25" s="3"/>
      <c r="H25" s="3"/>
      <c r="I25" s="87">
        <v>10000.0</v>
      </c>
      <c r="J25" s="22">
        <f t="shared" si="3"/>
        <v>20000</v>
      </c>
      <c r="K25" s="22">
        <f t="shared" si="4"/>
        <v>6520</v>
      </c>
      <c r="L25" s="4"/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>
        <v>2.0</v>
      </c>
      <c r="B26" s="84" t="s">
        <v>33</v>
      </c>
      <c r="C26" s="85" t="s">
        <v>53</v>
      </c>
      <c r="D26" s="22">
        <v>10500.0</v>
      </c>
      <c r="E26" s="15">
        <f t="shared" si="1"/>
        <v>21000</v>
      </c>
      <c r="F26" s="15">
        <f t="shared" si="2"/>
        <v>23205</v>
      </c>
      <c r="G26" s="3"/>
      <c r="H26" s="3"/>
      <c r="I26" s="87">
        <f>60000/8</f>
        <v>7500</v>
      </c>
      <c r="J26" s="22">
        <f t="shared" si="3"/>
        <v>15000</v>
      </c>
      <c r="K26" s="22">
        <f t="shared" si="4"/>
        <v>8205</v>
      </c>
      <c r="L26" s="23"/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8">
        <v>2.0</v>
      </c>
      <c r="B27" s="88" t="s">
        <v>33</v>
      </c>
      <c r="C27" s="85" t="s">
        <v>221</v>
      </c>
      <c r="D27" s="22">
        <v>4500.0</v>
      </c>
      <c r="E27" s="15">
        <f t="shared" si="1"/>
        <v>9000</v>
      </c>
      <c r="F27" s="15">
        <f t="shared" si="2"/>
        <v>9945</v>
      </c>
      <c r="G27" s="6"/>
      <c r="H27" s="86"/>
      <c r="I27" s="87">
        <v>3500.0</v>
      </c>
      <c r="J27" s="22">
        <f t="shared" si="3"/>
        <v>7000</v>
      </c>
      <c r="K27" s="22">
        <f t="shared" si="4"/>
        <v>2945</v>
      </c>
      <c r="L27" s="4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88">
        <v>7.0</v>
      </c>
      <c r="B28" s="88" t="s">
        <v>5</v>
      </c>
      <c r="C28" s="85" t="s">
        <v>241</v>
      </c>
      <c r="D28" s="22">
        <v>800.0</v>
      </c>
      <c r="E28" s="15">
        <f t="shared" si="1"/>
        <v>5600</v>
      </c>
      <c r="F28" s="15">
        <f t="shared" si="2"/>
        <v>6188</v>
      </c>
      <c r="G28" s="6"/>
      <c r="H28" s="3"/>
      <c r="I28" s="87">
        <f>4900/7</f>
        <v>700</v>
      </c>
      <c r="J28" s="22">
        <f t="shared" si="3"/>
        <v>4900</v>
      </c>
      <c r="K28" s="22">
        <f t="shared" si="4"/>
        <v>1288</v>
      </c>
      <c r="L28" s="4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"/>
      <c r="B29" s="3"/>
      <c r="C29" s="9"/>
      <c r="D29" s="3"/>
      <c r="E29" s="3"/>
      <c r="F29" s="3"/>
      <c r="G29" s="3"/>
      <c r="H29" s="3"/>
      <c r="I29" s="3"/>
      <c r="J29" s="3"/>
      <c r="K29" s="3"/>
      <c r="L29" s="4"/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5"/>
      <c r="B30" s="10"/>
      <c r="C30" s="11"/>
      <c r="D30" s="12"/>
      <c r="E30" s="92">
        <f t="shared" ref="E30:F30" si="5">SUM(E5:E28)</f>
        <v>320110</v>
      </c>
      <c r="F30" s="92">
        <f t="shared" si="5"/>
        <v>353721.55</v>
      </c>
      <c r="G30" s="3"/>
      <c r="H30" s="3"/>
      <c r="I30" s="10"/>
      <c r="J30" s="10"/>
      <c r="K30" s="92">
        <f>SUM(K5:K28)</f>
        <v>108906.8675</v>
      </c>
      <c r="L30" s="23">
        <f>K30/F30</f>
        <v>0.3078886979</v>
      </c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/>
      <c r="B31" s="84"/>
      <c r="C31" s="85"/>
      <c r="D31" s="22"/>
      <c r="E31" s="15"/>
      <c r="F31" s="15"/>
      <c r="G31" s="3"/>
      <c r="H31" s="3"/>
      <c r="I31" s="87"/>
      <c r="J31" s="15"/>
      <c r="K31" s="15"/>
      <c r="L31" s="4"/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26" t="s">
        <v>60</v>
      </c>
      <c r="B32" s="27">
        <v>0.04</v>
      </c>
      <c r="C32" s="2"/>
      <c r="D32" s="3"/>
      <c r="E32" s="15">
        <f>E30*0.04</f>
        <v>12804.4</v>
      </c>
      <c r="F32" s="3"/>
      <c r="G32" s="2"/>
      <c r="H32" s="3"/>
      <c r="I32" s="3"/>
      <c r="J32" s="3"/>
      <c r="K32" s="3"/>
      <c r="L32" s="4"/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83"/>
      <c r="B33" s="84"/>
      <c r="C33" s="85"/>
      <c r="D33" s="22"/>
      <c r="E33" s="15"/>
      <c r="F33" s="15"/>
      <c r="G33" s="86"/>
      <c r="H33" s="3"/>
      <c r="I33" s="87"/>
      <c r="J33" s="15"/>
      <c r="K33" s="15"/>
      <c r="L33" s="4"/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5" t="s">
        <v>42</v>
      </c>
      <c r="B34" s="5" t="s">
        <v>43</v>
      </c>
      <c r="C34" s="88"/>
      <c r="D34" s="6"/>
      <c r="E34" s="86" t="s">
        <v>74</v>
      </c>
      <c r="F34" s="82">
        <v>46062.0</v>
      </c>
      <c r="G34" s="6"/>
      <c r="H34" s="3"/>
      <c r="I34" s="8" t="s">
        <v>3</v>
      </c>
      <c r="L34" s="4"/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"/>
      <c r="B35" s="3"/>
      <c r="C35" s="9"/>
      <c r="D35" s="3"/>
      <c r="E35" s="3"/>
      <c r="F35" s="3"/>
      <c r="G35" s="3"/>
      <c r="H35" s="3"/>
      <c r="I35" s="3"/>
      <c r="J35" s="3"/>
      <c r="K35" s="3"/>
      <c r="L35" s="4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5" t="s">
        <v>4</v>
      </c>
      <c r="B36" s="10" t="s">
        <v>5</v>
      </c>
      <c r="C36" s="11" t="s">
        <v>6</v>
      </c>
      <c r="D36" s="12" t="s">
        <v>7</v>
      </c>
      <c r="E36" s="10" t="s">
        <v>8</v>
      </c>
      <c r="F36" s="10" t="s">
        <v>9</v>
      </c>
      <c r="G36" s="3"/>
      <c r="H36" s="3"/>
      <c r="I36" s="10" t="s">
        <v>7</v>
      </c>
      <c r="J36" s="10" t="s">
        <v>8</v>
      </c>
      <c r="K36" s="10" t="s">
        <v>10</v>
      </c>
      <c r="L36" s="4"/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>
        <v>1.0</v>
      </c>
      <c r="B37" s="84" t="s">
        <v>38</v>
      </c>
      <c r="C37" s="85" t="s">
        <v>67</v>
      </c>
      <c r="D37" s="22">
        <v>13000.0</v>
      </c>
      <c r="E37" s="15">
        <f t="shared" ref="E37:E57" si="6">A37*D37</f>
        <v>13000</v>
      </c>
      <c r="F37" s="15">
        <f t="shared" ref="F37:F57" si="7">E37*1.105</f>
        <v>14365</v>
      </c>
      <c r="G37" s="3"/>
      <c r="H37" s="3"/>
      <c r="I37" s="22">
        <v>9000.0</v>
      </c>
      <c r="J37" s="15">
        <f t="shared" ref="J37:J57" si="8">I37*A37</f>
        <v>9000</v>
      </c>
      <c r="K37" s="15">
        <f t="shared" ref="K37:K57" si="9">F37-J37</f>
        <v>5365</v>
      </c>
      <c r="L37" s="4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4.0</v>
      </c>
      <c r="B38" s="84" t="s">
        <v>33</v>
      </c>
      <c r="C38" s="85" t="s">
        <v>24</v>
      </c>
      <c r="D38" s="22">
        <v>3800.0</v>
      </c>
      <c r="E38" s="15">
        <f t="shared" si="6"/>
        <v>15200</v>
      </c>
      <c r="F38" s="15">
        <f t="shared" si="7"/>
        <v>16796</v>
      </c>
      <c r="G38" s="3"/>
      <c r="H38" s="3"/>
      <c r="I38" s="22">
        <f>25000/8</f>
        <v>3125</v>
      </c>
      <c r="J38" s="15">
        <f t="shared" si="8"/>
        <v>12500</v>
      </c>
      <c r="K38" s="15">
        <f t="shared" si="9"/>
        <v>4296</v>
      </c>
      <c r="L38" s="4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4.0</v>
      </c>
      <c r="B39" s="84" t="s">
        <v>33</v>
      </c>
      <c r="C39" s="85" t="s">
        <v>25</v>
      </c>
      <c r="D39" s="22">
        <v>2800.0</v>
      </c>
      <c r="E39" s="15">
        <f t="shared" si="6"/>
        <v>11200</v>
      </c>
      <c r="F39" s="15">
        <f t="shared" si="7"/>
        <v>12376</v>
      </c>
      <c r="G39" s="3"/>
      <c r="H39" s="3"/>
      <c r="I39" s="87">
        <f>12000/7</f>
        <v>1714.285714</v>
      </c>
      <c r="J39" s="15">
        <f t="shared" si="8"/>
        <v>6857.142857</v>
      </c>
      <c r="K39" s="15">
        <f t="shared" si="9"/>
        <v>5518.857143</v>
      </c>
      <c r="L39" s="4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3.0</v>
      </c>
      <c r="B40" s="84" t="s">
        <v>50</v>
      </c>
      <c r="C40" s="85" t="s">
        <v>103</v>
      </c>
      <c r="D40" s="22">
        <v>1800.0</v>
      </c>
      <c r="E40" s="15">
        <f t="shared" si="6"/>
        <v>5400</v>
      </c>
      <c r="F40" s="15">
        <f t="shared" si="7"/>
        <v>5967</v>
      </c>
      <c r="G40" s="3"/>
      <c r="H40" s="3"/>
      <c r="I40" s="22">
        <f>7200/6</f>
        <v>1200</v>
      </c>
      <c r="J40" s="15">
        <f t="shared" si="8"/>
        <v>3600</v>
      </c>
      <c r="K40" s="15">
        <f t="shared" si="9"/>
        <v>2367</v>
      </c>
      <c r="L40" s="4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1.0</v>
      </c>
      <c r="B41" s="84" t="s">
        <v>18</v>
      </c>
      <c r="C41" s="85" t="s">
        <v>22</v>
      </c>
      <c r="D41" s="22">
        <v>11000.0</v>
      </c>
      <c r="E41" s="15">
        <f t="shared" si="6"/>
        <v>11000</v>
      </c>
      <c r="F41" s="15">
        <f t="shared" si="7"/>
        <v>12155</v>
      </c>
      <c r="G41" s="3"/>
      <c r="H41" s="3"/>
      <c r="I41" s="87">
        <v>7000.0</v>
      </c>
      <c r="J41" s="15">
        <f t="shared" si="8"/>
        <v>7000</v>
      </c>
      <c r="K41" s="15">
        <f t="shared" si="9"/>
        <v>5155</v>
      </c>
      <c r="L41" s="4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0.5</v>
      </c>
      <c r="B42" s="84" t="s">
        <v>18</v>
      </c>
      <c r="C42" s="85" t="s">
        <v>23</v>
      </c>
      <c r="D42" s="22">
        <v>13000.0</v>
      </c>
      <c r="E42" s="15">
        <f t="shared" si="6"/>
        <v>6500</v>
      </c>
      <c r="F42" s="15">
        <f t="shared" si="7"/>
        <v>7182.5</v>
      </c>
      <c r="G42" s="3"/>
      <c r="H42" s="3"/>
      <c r="I42" s="87">
        <v>6000.0</v>
      </c>
      <c r="J42" s="15">
        <f t="shared" si="8"/>
        <v>3000</v>
      </c>
      <c r="K42" s="15">
        <f t="shared" si="9"/>
        <v>4182.5</v>
      </c>
      <c r="L42" s="4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1.0</v>
      </c>
      <c r="B43" s="84" t="s">
        <v>38</v>
      </c>
      <c r="C43" s="85" t="s">
        <v>47</v>
      </c>
      <c r="D43" s="22">
        <v>12000.0</v>
      </c>
      <c r="E43" s="15">
        <f t="shared" si="6"/>
        <v>12000</v>
      </c>
      <c r="F43" s="15">
        <f t="shared" si="7"/>
        <v>13260</v>
      </c>
      <c r="G43" s="3"/>
      <c r="H43" s="3"/>
      <c r="I43" s="22">
        <v>8000.0</v>
      </c>
      <c r="J43" s="15">
        <f t="shared" si="8"/>
        <v>8000</v>
      </c>
      <c r="K43" s="15">
        <f t="shared" si="9"/>
        <v>5260</v>
      </c>
      <c r="L43" s="4"/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2.0</v>
      </c>
      <c r="B44" s="84" t="s">
        <v>38</v>
      </c>
      <c r="C44" s="85" t="s">
        <v>45</v>
      </c>
      <c r="D44" s="22">
        <v>13000.0</v>
      </c>
      <c r="E44" s="15">
        <f t="shared" si="6"/>
        <v>26000</v>
      </c>
      <c r="F44" s="15">
        <f t="shared" si="7"/>
        <v>28730</v>
      </c>
      <c r="G44" s="3"/>
      <c r="H44" s="3"/>
      <c r="I44" s="87">
        <v>8000.0</v>
      </c>
      <c r="J44" s="15">
        <f t="shared" si="8"/>
        <v>16000</v>
      </c>
      <c r="K44" s="15">
        <f t="shared" si="9"/>
        <v>12730</v>
      </c>
      <c r="L44" s="4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5.0</v>
      </c>
      <c r="B45" s="84" t="s">
        <v>33</v>
      </c>
      <c r="C45" s="85" t="s">
        <v>180</v>
      </c>
      <c r="D45" s="22">
        <v>1500.0</v>
      </c>
      <c r="E45" s="15">
        <f t="shared" si="6"/>
        <v>7500</v>
      </c>
      <c r="F45" s="15">
        <f t="shared" si="7"/>
        <v>8287.5</v>
      </c>
      <c r="G45" s="3"/>
      <c r="H45" s="3"/>
      <c r="I45" s="87">
        <v>1100.0</v>
      </c>
      <c r="J45" s="15">
        <f t="shared" si="8"/>
        <v>5500</v>
      </c>
      <c r="K45" s="15">
        <f t="shared" si="9"/>
        <v>2787.5</v>
      </c>
      <c r="L45" s="4"/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5.0</v>
      </c>
      <c r="B46" s="84" t="s">
        <v>33</v>
      </c>
      <c r="C46" s="85" t="s">
        <v>19</v>
      </c>
      <c r="D46" s="22">
        <v>1500.0</v>
      </c>
      <c r="E46" s="15">
        <f t="shared" si="6"/>
        <v>7500</v>
      </c>
      <c r="F46" s="15">
        <f t="shared" si="7"/>
        <v>8287.5</v>
      </c>
      <c r="G46" s="3"/>
      <c r="H46" s="3"/>
      <c r="I46" s="87">
        <f>12000/18</f>
        <v>666.6666667</v>
      </c>
      <c r="J46" s="15">
        <f t="shared" si="8"/>
        <v>3333.333333</v>
      </c>
      <c r="K46" s="15">
        <f t="shared" si="9"/>
        <v>4954.166667</v>
      </c>
      <c r="L46" s="4"/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2.0</v>
      </c>
      <c r="B47" s="84" t="s">
        <v>50</v>
      </c>
      <c r="C47" s="85" t="s">
        <v>16</v>
      </c>
      <c r="D47" s="22">
        <v>800.0</v>
      </c>
      <c r="E47" s="15">
        <f t="shared" si="6"/>
        <v>1600</v>
      </c>
      <c r="F47" s="15">
        <f t="shared" si="7"/>
        <v>1768</v>
      </c>
      <c r="G47" s="3"/>
      <c r="H47" s="3"/>
      <c r="I47" s="87">
        <f>9000/24</f>
        <v>375</v>
      </c>
      <c r="J47" s="15">
        <f t="shared" si="8"/>
        <v>750</v>
      </c>
      <c r="K47" s="15">
        <f t="shared" si="9"/>
        <v>1018</v>
      </c>
      <c r="L47" s="4"/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10.0</v>
      </c>
      <c r="B48" s="84" t="s">
        <v>5</v>
      </c>
      <c r="C48" s="85" t="s">
        <v>176</v>
      </c>
      <c r="D48" s="22">
        <v>900.0</v>
      </c>
      <c r="E48" s="15">
        <f t="shared" si="6"/>
        <v>9000</v>
      </c>
      <c r="F48" s="15">
        <f t="shared" si="7"/>
        <v>9945</v>
      </c>
      <c r="G48" s="3"/>
      <c r="H48" s="3"/>
      <c r="I48" s="87">
        <f>23000/50</f>
        <v>460</v>
      </c>
      <c r="J48" s="15">
        <f t="shared" si="8"/>
        <v>4600</v>
      </c>
      <c r="K48" s="15">
        <f t="shared" si="9"/>
        <v>5345</v>
      </c>
      <c r="L48" s="4"/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1.0</v>
      </c>
      <c r="B49" s="84" t="s">
        <v>38</v>
      </c>
      <c r="C49" s="85" t="s">
        <v>226</v>
      </c>
      <c r="D49" s="22">
        <v>14000.0</v>
      </c>
      <c r="E49" s="15">
        <f t="shared" si="6"/>
        <v>14000</v>
      </c>
      <c r="F49" s="15">
        <f t="shared" si="7"/>
        <v>15470</v>
      </c>
      <c r="G49" s="3"/>
      <c r="H49" s="3"/>
      <c r="I49" s="87">
        <v>13000.0</v>
      </c>
      <c r="J49" s="15">
        <f t="shared" si="8"/>
        <v>13000</v>
      </c>
      <c r="K49" s="15">
        <f t="shared" si="9"/>
        <v>2470</v>
      </c>
      <c r="L49" s="4"/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0.5</v>
      </c>
      <c r="B50" s="84" t="s">
        <v>18</v>
      </c>
      <c r="C50" s="85" t="s">
        <v>192</v>
      </c>
      <c r="D50" s="22">
        <v>10000.0</v>
      </c>
      <c r="E50" s="15">
        <f t="shared" si="6"/>
        <v>5000</v>
      </c>
      <c r="F50" s="15">
        <f t="shared" si="7"/>
        <v>5525</v>
      </c>
      <c r="G50" s="3"/>
      <c r="H50" s="3"/>
      <c r="I50" s="22">
        <v>6000.0</v>
      </c>
      <c r="J50" s="15">
        <f t="shared" si="8"/>
        <v>3000</v>
      </c>
      <c r="K50" s="15">
        <f t="shared" si="9"/>
        <v>2525</v>
      </c>
      <c r="L50" s="4"/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4.0</v>
      </c>
      <c r="B51" s="84" t="s">
        <v>50</v>
      </c>
      <c r="C51" s="85" t="s">
        <v>69</v>
      </c>
      <c r="D51" s="22">
        <v>1800.0</v>
      </c>
      <c r="E51" s="15">
        <f t="shared" si="6"/>
        <v>7200</v>
      </c>
      <c r="F51" s="15">
        <f t="shared" si="7"/>
        <v>7956</v>
      </c>
      <c r="G51" s="3"/>
      <c r="H51" s="3"/>
      <c r="I51" s="22">
        <v>1400.0</v>
      </c>
      <c r="J51" s="15">
        <f t="shared" si="8"/>
        <v>5600</v>
      </c>
      <c r="K51" s="15">
        <f t="shared" si="9"/>
        <v>2356</v>
      </c>
      <c r="L51" s="4"/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1.5</v>
      </c>
      <c r="B52" s="84" t="s">
        <v>18</v>
      </c>
      <c r="C52" s="85" t="s">
        <v>77</v>
      </c>
      <c r="D52" s="22">
        <v>15000.0</v>
      </c>
      <c r="E52" s="15">
        <f t="shared" si="6"/>
        <v>22500</v>
      </c>
      <c r="F52" s="15">
        <f t="shared" si="7"/>
        <v>24862.5</v>
      </c>
      <c r="G52" s="3"/>
      <c r="H52" s="3"/>
      <c r="I52" s="22">
        <v>12000.0</v>
      </c>
      <c r="J52" s="15">
        <f t="shared" si="8"/>
        <v>18000</v>
      </c>
      <c r="K52" s="15">
        <f t="shared" si="9"/>
        <v>6862.5</v>
      </c>
      <c r="L52" s="4"/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1.0</v>
      </c>
      <c r="B53" s="84" t="s">
        <v>50</v>
      </c>
      <c r="C53" s="85" t="s">
        <v>236</v>
      </c>
      <c r="D53" s="22">
        <v>5500.0</v>
      </c>
      <c r="E53" s="15">
        <f t="shared" si="6"/>
        <v>5500</v>
      </c>
      <c r="F53" s="15">
        <f t="shared" si="7"/>
        <v>6077.5</v>
      </c>
      <c r="G53" s="3"/>
      <c r="H53" s="3"/>
      <c r="I53" s="22">
        <v>4000.0</v>
      </c>
      <c r="J53" s="15">
        <f t="shared" si="8"/>
        <v>4000</v>
      </c>
      <c r="K53" s="15">
        <f t="shared" si="9"/>
        <v>2077.5</v>
      </c>
      <c r="L53" s="4"/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3.0</v>
      </c>
      <c r="B54" s="84" t="s">
        <v>33</v>
      </c>
      <c r="C54" s="85" t="s">
        <v>53</v>
      </c>
      <c r="D54" s="22">
        <v>10500.0</v>
      </c>
      <c r="E54" s="15">
        <f t="shared" si="6"/>
        <v>31500</v>
      </c>
      <c r="F54" s="15">
        <f t="shared" si="7"/>
        <v>34807.5</v>
      </c>
      <c r="G54" s="3"/>
      <c r="H54" s="3"/>
      <c r="I54" s="87">
        <f>60000/8</f>
        <v>7500</v>
      </c>
      <c r="J54" s="15">
        <f t="shared" si="8"/>
        <v>22500</v>
      </c>
      <c r="K54" s="15">
        <f t="shared" si="9"/>
        <v>12307.5</v>
      </c>
      <c r="L54" s="4"/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2.0</v>
      </c>
      <c r="B55" s="84" t="s">
        <v>33</v>
      </c>
      <c r="C55" s="85" t="s">
        <v>57</v>
      </c>
      <c r="D55" s="22">
        <v>12000.0</v>
      </c>
      <c r="E55" s="15">
        <f t="shared" si="6"/>
        <v>24000</v>
      </c>
      <c r="F55" s="15">
        <f t="shared" si="7"/>
        <v>26520</v>
      </c>
      <c r="G55" s="3"/>
      <c r="H55" s="3"/>
      <c r="I55" s="87">
        <v>10000.0</v>
      </c>
      <c r="J55" s="15">
        <f t="shared" si="8"/>
        <v>20000</v>
      </c>
      <c r="K55" s="15">
        <f t="shared" si="9"/>
        <v>6520</v>
      </c>
      <c r="L55" s="4"/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83">
        <v>1.0</v>
      </c>
      <c r="B56" s="84" t="s">
        <v>18</v>
      </c>
      <c r="C56" s="85" t="s">
        <v>55</v>
      </c>
      <c r="D56" s="22">
        <v>35000.0</v>
      </c>
      <c r="E56" s="15">
        <f t="shared" si="6"/>
        <v>35000</v>
      </c>
      <c r="F56" s="15">
        <f t="shared" si="7"/>
        <v>38675</v>
      </c>
      <c r="G56" s="3"/>
      <c r="H56" s="3"/>
      <c r="I56" s="87">
        <v>27000.0</v>
      </c>
      <c r="J56" s="15">
        <f t="shared" si="8"/>
        <v>27000</v>
      </c>
      <c r="K56" s="15">
        <f t="shared" si="9"/>
        <v>11675</v>
      </c>
      <c r="L56" s="4"/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3">
        <v>1.0</v>
      </c>
      <c r="B57" s="84" t="s">
        <v>18</v>
      </c>
      <c r="C57" s="85" t="s">
        <v>78</v>
      </c>
      <c r="D57" s="22">
        <v>58000.0</v>
      </c>
      <c r="E57" s="15">
        <f t="shared" si="6"/>
        <v>58000</v>
      </c>
      <c r="F57" s="15">
        <f t="shared" si="7"/>
        <v>64090</v>
      </c>
      <c r="G57" s="3"/>
      <c r="H57" s="3"/>
      <c r="I57" s="87">
        <v>50000.0</v>
      </c>
      <c r="J57" s="15">
        <f t="shared" si="8"/>
        <v>50000</v>
      </c>
      <c r="K57" s="15">
        <f t="shared" si="9"/>
        <v>14090</v>
      </c>
      <c r="L57" s="4"/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/>
      <c r="B58" s="12"/>
      <c r="C58" s="14"/>
      <c r="D58" s="15"/>
      <c r="E58" s="3"/>
      <c r="F58" s="3"/>
      <c r="G58" s="3"/>
      <c r="H58" s="3"/>
      <c r="I58" s="3"/>
      <c r="J58" s="3"/>
      <c r="K58" s="3"/>
      <c r="L58" s="4"/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3"/>
      <c r="B59" s="12"/>
      <c r="C59" s="14"/>
      <c r="D59" s="15"/>
      <c r="E59" s="15">
        <f t="shared" ref="E59:F59" si="10">SUM(E37:E57)</f>
        <v>328600</v>
      </c>
      <c r="F59" s="15">
        <f t="shared" si="10"/>
        <v>363103</v>
      </c>
      <c r="G59" s="3"/>
      <c r="H59" s="3"/>
      <c r="I59" s="3"/>
      <c r="J59" s="3"/>
      <c r="K59" s="15">
        <f>SUM(K37:K57)</f>
        <v>119862.5238</v>
      </c>
      <c r="L59" s="23">
        <f>K59/F59</f>
        <v>0.3301061236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5"/>
      <c r="B60" s="5"/>
      <c r="C60" s="5"/>
      <c r="D60" s="6"/>
      <c r="E60" s="86"/>
      <c r="F60" s="82"/>
      <c r="G60" s="6"/>
      <c r="H60" s="3"/>
      <c r="I60" s="8"/>
      <c r="J60" s="8"/>
      <c r="K60" s="8"/>
      <c r="L60" s="4"/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26" t="s">
        <v>60</v>
      </c>
      <c r="B61" s="27">
        <v>0.04</v>
      </c>
      <c r="C61" s="2"/>
      <c r="D61" s="3"/>
      <c r="E61" s="15">
        <f>E59*0.04</f>
        <v>13144</v>
      </c>
      <c r="F61" s="3"/>
      <c r="G61" s="2"/>
      <c r="H61" s="3"/>
      <c r="I61" s="3"/>
      <c r="J61" s="3"/>
      <c r="K61" s="3"/>
      <c r="L61" s="4"/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5"/>
      <c r="B62" s="5"/>
      <c r="C62" s="5"/>
      <c r="D62" s="6"/>
      <c r="E62" s="86"/>
      <c r="F62" s="82"/>
      <c r="G62" s="86"/>
      <c r="H62" s="3"/>
      <c r="I62" s="8"/>
      <c r="J62" s="8"/>
      <c r="K62" s="8"/>
      <c r="L62" s="4"/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5"/>
      <c r="B63" s="5"/>
      <c r="C63" s="95"/>
      <c r="D63" s="6"/>
      <c r="E63" s="86"/>
      <c r="F63" s="82"/>
      <c r="G63" s="86"/>
      <c r="H63" s="3"/>
      <c r="I63" s="8"/>
      <c r="J63" s="8"/>
      <c r="K63" s="8"/>
      <c r="L63" s="4"/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5" t="s">
        <v>42</v>
      </c>
      <c r="B64" s="5" t="s">
        <v>43</v>
      </c>
      <c r="C64" s="95" t="s">
        <v>61</v>
      </c>
      <c r="D64" s="6"/>
      <c r="E64" s="86" t="s">
        <v>223</v>
      </c>
      <c r="F64" s="82">
        <v>46062.0</v>
      </c>
      <c r="G64" s="86" t="s">
        <v>13</v>
      </c>
      <c r="H64" s="3"/>
      <c r="I64" s="8" t="s">
        <v>3</v>
      </c>
      <c r="L64" s="4"/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1"/>
      <c r="B65" s="3"/>
      <c r="C65" s="9"/>
      <c r="D65" s="3"/>
      <c r="E65" s="3"/>
      <c r="F65" s="3"/>
      <c r="G65" s="3"/>
      <c r="H65" s="3"/>
      <c r="I65" s="3"/>
      <c r="J65" s="3"/>
      <c r="K65" s="3"/>
      <c r="L65" s="4"/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5" t="s">
        <v>4</v>
      </c>
      <c r="B66" s="10" t="s">
        <v>5</v>
      </c>
      <c r="C66" s="11" t="s">
        <v>6</v>
      </c>
      <c r="D66" s="12" t="s">
        <v>7</v>
      </c>
      <c r="E66" s="10" t="s">
        <v>8</v>
      </c>
      <c r="F66" s="10" t="s">
        <v>9</v>
      </c>
      <c r="G66" s="3"/>
      <c r="H66" s="3"/>
      <c r="I66" s="10" t="s">
        <v>7</v>
      </c>
      <c r="J66" s="10" t="s">
        <v>8</v>
      </c>
      <c r="K66" s="10" t="s">
        <v>10</v>
      </c>
      <c r="L66" s="4"/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83">
        <v>20.0</v>
      </c>
      <c r="B67" s="84" t="s">
        <v>11</v>
      </c>
      <c r="C67" s="85" t="s">
        <v>65</v>
      </c>
      <c r="D67" s="22">
        <v>400.0</v>
      </c>
      <c r="E67" s="15">
        <f t="shared" ref="E67:E71" si="11">A67*D67</f>
        <v>8000</v>
      </c>
      <c r="F67" s="15">
        <f t="shared" ref="F67:F71" si="12">E67*1.105</f>
        <v>8840</v>
      </c>
      <c r="G67" s="3"/>
      <c r="H67" s="3" t="s">
        <v>13</v>
      </c>
      <c r="I67" s="87">
        <f>5000/24</f>
        <v>208.3333333</v>
      </c>
      <c r="J67" s="15">
        <f t="shared" ref="J67:J71" si="13">I67*A67</f>
        <v>4166.666667</v>
      </c>
      <c r="K67" s="15">
        <f t="shared" ref="K67:K71" si="14">F67-J67</f>
        <v>4673.333333</v>
      </c>
      <c r="L67" s="23"/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83">
        <v>10.0</v>
      </c>
      <c r="B68" s="84" t="s">
        <v>33</v>
      </c>
      <c r="C68" s="85" t="s">
        <v>226</v>
      </c>
      <c r="D68" s="22">
        <v>1000.0</v>
      </c>
      <c r="E68" s="15">
        <f t="shared" si="11"/>
        <v>10000</v>
      </c>
      <c r="F68" s="15">
        <f t="shared" si="12"/>
        <v>11050</v>
      </c>
      <c r="G68" s="3"/>
      <c r="H68" s="3" t="s">
        <v>13</v>
      </c>
      <c r="I68" s="87">
        <f>13000/18</f>
        <v>722.2222222</v>
      </c>
      <c r="J68" s="15">
        <f t="shared" si="13"/>
        <v>7222.222222</v>
      </c>
      <c r="K68" s="15">
        <f t="shared" si="14"/>
        <v>3827.777778</v>
      </c>
      <c r="L68" s="23"/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3.0</v>
      </c>
      <c r="B69" s="84" t="s">
        <v>33</v>
      </c>
      <c r="C69" s="85" t="s">
        <v>47</v>
      </c>
      <c r="D69" s="22">
        <v>1400.0</v>
      </c>
      <c r="E69" s="15">
        <f t="shared" si="11"/>
        <v>4200</v>
      </c>
      <c r="F69" s="15">
        <f t="shared" si="12"/>
        <v>4641</v>
      </c>
      <c r="G69" s="3"/>
      <c r="H69" s="3" t="s">
        <v>13</v>
      </c>
      <c r="I69" s="87">
        <v>900.0</v>
      </c>
      <c r="J69" s="15">
        <f t="shared" si="13"/>
        <v>2700</v>
      </c>
      <c r="K69" s="15">
        <f t="shared" si="14"/>
        <v>1941</v>
      </c>
      <c r="L69" s="23"/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3">
        <v>3.0</v>
      </c>
      <c r="B70" s="84" t="s">
        <v>33</v>
      </c>
      <c r="C70" s="85" t="s">
        <v>194</v>
      </c>
      <c r="D70" s="22">
        <v>3500.0</v>
      </c>
      <c r="E70" s="15">
        <f t="shared" si="11"/>
        <v>10500</v>
      </c>
      <c r="F70" s="15">
        <f t="shared" si="12"/>
        <v>11602.5</v>
      </c>
      <c r="G70" s="3"/>
      <c r="H70" s="86"/>
      <c r="I70" s="87">
        <v>1000.0</v>
      </c>
      <c r="J70" s="15">
        <f t="shared" si="13"/>
        <v>3000</v>
      </c>
      <c r="K70" s="15">
        <f t="shared" si="14"/>
        <v>8602.5</v>
      </c>
      <c r="L70" s="23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83">
        <v>2.5</v>
      </c>
      <c r="B71" s="84" t="s">
        <v>33</v>
      </c>
      <c r="C71" s="85" t="s">
        <v>64</v>
      </c>
      <c r="D71" s="22">
        <v>1800.0</v>
      </c>
      <c r="E71" s="15">
        <f t="shared" si="11"/>
        <v>4500</v>
      </c>
      <c r="F71" s="15">
        <f t="shared" si="12"/>
        <v>4972.5</v>
      </c>
      <c r="G71" s="3"/>
      <c r="H71" s="3" t="s">
        <v>13</v>
      </c>
      <c r="I71" s="87">
        <v>1000.0</v>
      </c>
      <c r="J71" s="15">
        <f t="shared" si="13"/>
        <v>2500</v>
      </c>
      <c r="K71" s="15">
        <f t="shared" si="14"/>
        <v>2472.5</v>
      </c>
      <c r="L71" s="23"/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3"/>
      <c r="B72" s="12"/>
      <c r="C72" s="14"/>
      <c r="D72" s="15"/>
      <c r="E72" s="3"/>
      <c r="F72" s="3"/>
      <c r="G72" s="3"/>
      <c r="H72" s="3"/>
      <c r="I72" s="3"/>
      <c r="J72" s="3"/>
      <c r="K72" s="3"/>
      <c r="L72" s="23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13"/>
      <c r="B73" s="12"/>
      <c r="C73" s="14"/>
      <c r="D73" s="15"/>
      <c r="E73" s="15">
        <f t="shared" ref="E73:F73" si="15">SUM(E67:E71)</f>
        <v>37200</v>
      </c>
      <c r="F73" s="15">
        <f t="shared" si="15"/>
        <v>41106</v>
      </c>
      <c r="G73" s="3"/>
      <c r="H73" s="3"/>
      <c r="I73" s="3"/>
      <c r="J73" s="3"/>
      <c r="K73" s="15">
        <f>SUM(K67:K71)</f>
        <v>21517.11111</v>
      </c>
      <c r="L73" s="23">
        <f>K73/F73</f>
        <v>0.5234542673</v>
      </c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5"/>
      <c r="B74" s="5"/>
      <c r="C74" s="5"/>
      <c r="D74" s="6"/>
      <c r="E74" s="86"/>
      <c r="F74" s="82"/>
      <c r="G74" s="6"/>
      <c r="H74" s="3"/>
      <c r="I74" s="8"/>
      <c r="J74" s="8"/>
      <c r="K74" s="8"/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26" t="s">
        <v>60</v>
      </c>
      <c r="B75" s="27">
        <v>0.04</v>
      </c>
      <c r="C75" s="2"/>
      <c r="D75" s="3"/>
      <c r="E75" s="15">
        <f>E73*0.04</f>
        <v>1488</v>
      </c>
      <c r="F75" s="3"/>
      <c r="G75" s="2"/>
      <c r="H75" s="3"/>
      <c r="I75" s="3"/>
      <c r="J75" s="3"/>
      <c r="K75" s="3"/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5"/>
      <c r="B76" s="5"/>
      <c r="C76" s="5"/>
      <c r="D76" s="6"/>
      <c r="E76" s="86"/>
      <c r="F76" s="82"/>
      <c r="G76" s="6"/>
      <c r="H76" s="3"/>
      <c r="I76" s="8"/>
      <c r="J76" s="8"/>
      <c r="K76" s="8"/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5"/>
      <c r="B77" s="5"/>
      <c r="C77" s="5"/>
      <c r="D77" s="6"/>
      <c r="E77" s="86"/>
      <c r="F77" s="82"/>
      <c r="G77" s="6"/>
      <c r="H77" s="3"/>
      <c r="I77" s="8"/>
      <c r="J77" s="8"/>
      <c r="K77" s="8"/>
      <c r="L77" s="4"/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8" t="s">
        <v>92</v>
      </c>
      <c r="B78" s="5"/>
      <c r="C78" s="5"/>
      <c r="D78" s="6"/>
      <c r="E78" s="86" t="s">
        <v>74</v>
      </c>
      <c r="F78" s="82">
        <v>46062.0</v>
      </c>
      <c r="G78" s="6"/>
      <c r="H78" s="3"/>
      <c r="I78" s="8" t="s">
        <v>3</v>
      </c>
      <c r="L78" s="4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"/>
      <c r="B79" s="3"/>
      <c r="C79" s="9"/>
      <c r="D79" s="3"/>
      <c r="E79" s="3"/>
      <c r="F79" s="3"/>
      <c r="G79" s="3"/>
      <c r="H79" s="3"/>
      <c r="I79" s="3"/>
      <c r="J79" s="3"/>
      <c r="K79" s="3"/>
      <c r="L79" s="4"/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5" t="s">
        <v>4</v>
      </c>
      <c r="B80" s="10" t="s">
        <v>5</v>
      </c>
      <c r="C80" s="11" t="s">
        <v>6</v>
      </c>
      <c r="D80" s="12" t="s">
        <v>7</v>
      </c>
      <c r="E80" s="10" t="s">
        <v>8</v>
      </c>
      <c r="F80" s="10" t="s">
        <v>9</v>
      </c>
      <c r="G80" s="3"/>
      <c r="H80" s="3"/>
      <c r="I80" s="10" t="s">
        <v>7</v>
      </c>
      <c r="J80" s="10" t="s">
        <v>8</v>
      </c>
      <c r="K80" s="10" t="s">
        <v>10</v>
      </c>
      <c r="L80" s="4"/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1.0</v>
      </c>
      <c r="B81" s="84" t="s">
        <v>18</v>
      </c>
      <c r="C81" s="85" t="s">
        <v>20</v>
      </c>
      <c r="D81" s="22">
        <v>22000.0</v>
      </c>
      <c r="E81" s="15">
        <f t="shared" ref="E81:E88" si="16">A81*D81</f>
        <v>22000</v>
      </c>
      <c r="F81" s="15">
        <f t="shared" ref="F81:F87" si="17">E81*1.105</f>
        <v>24310</v>
      </c>
      <c r="G81" s="3"/>
      <c r="H81" s="3"/>
      <c r="I81" s="87">
        <v>15000.0</v>
      </c>
      <c r="J81" s="15">
        <f t="shared" ref="J81:J88" si="18">I81*A81</f>
        <v>15000</v>
      </c>
      <c r="K81" s="15">
        <f t="shared" ref="K81:K88" si="19">F81-J81</f>
        <v>9310</v>
      </c>
      <c r="L81" s="4"/>
      <c r="M81" s="20"/>
      <c r="N81" s="21"/>
      <c r="P81" s="21"/>
      <c r="Q81" s="21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6.0</v>
      </c>
      <c r="B82" s="84" t="s">
        <v>11</v>
      </c>
      <c r="C82" s="85" t="s">
        <v>16</v>
      </c>
      <c r="D82" s="22">
        <v>800.0</v>
      </c>
      <c r="E82" s="15">
        <f t="shared" si="16"/>
        <v>4800</v>
      </c>
      <c r="F82" s="15">
        <f t="shared" si="17"/>
        <v>5304</v>
      </c>
      <c r="G82" s="3"/>
      <c r="H82" s="3"/>
      <c r="I82" s="87">
        <f>9000/24</f>
        <v>375</v>
      </c>
      <c r="J82" s="15">
        <f t="shared" si="18"/>
        <v>2250</v>
      </c>
      <c r="K82" s="15">
        <f t="shared" si="19"/>
        <v>3054</v>
      </c>
      <c r="L82" s="4"/>
      <c r="M82" s="20"/>
      <c r="N82" s="21"/>
      <c r="P82" s="21"/>
      <c r="Q82" s="21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>
        <v>1.0</v>
      </c>
      <c r="B83" s="84" t="s">
        <v>18</v>
      </c>
      <c r="C83" s="85" t="s">
        <v>19</v>
      </c>
      <c r="D83" s="22">
        <v>20000.0</v>
      </c>
      <c r="E83" s="15">
        <f t="shared" si="16"/>
        <v>20000</v>
      </c>
      <c r="F83" s="15">
        <f t="shared" si="17"/>
        <v>22100</v>
      </c>
      <c r="G83" s="3"/>
      <c r="H83" s="3"/>
      <c r="I83" s="87">
        <v>12000.0</v>
      </c>
      <c r="J83" s="15">
        <f t="shared" si="18"/>
        <v>12000</v>
      </c>
      <c r="K83" s="15">
        <f t="shared" si="19"/>
        <v>10100</v>
      </c>
      <c r="L83" s="4"/>
      <c r="M83" s="20"/>
      <c r="N83" s="21"/>
      <c r="P83" s="21"/>
      <c r="Q83" s="21"/>
      <c r="R83" s="2"/>
      <c r="S83" s="3"/>
      <c r="T83" s="3"/>
      <c r="U83" s="1"/>
      <c r="V83" s="3"/>
      <c r="W83" s="3"/>
      <c r="X83" s="3"/>
      <c r="Y83" s="3"/>
      <c r="Z83" s="3"/>
    </row>
    <row r="84">
      <c r="A84" s="83">
        <v>1.0</v>
      </c>
      <c r="B84" s="84" t="s">
        <v>18</v>
      </c>
      <c r="C84" s="85" t="s">
        <v>263</v>
      </c>
      <c r="D84" s="22">
        <v>14000.0</v>
      </c>
      <c r="E84" s="15">
        <f t="shared" si="16"/>
        <v>14000</v>
      </c>
      <c r="F84" s="15">
        <f t="shared" si="17"/>
        <v>15470</v>
      </c>
      <c r="G84" s="3"/>
      <c r="H84" s="3"/>
      <c r="I84" s="87">
        <v>10000.0</v>
      </c>
      <c r="J84" s="15">
        <f t="shared" si="18"/>
        <v>10000</v>
      </c>
      <c r="K84" s="15">
        <f t="shared" si="19"/>
        <v>5470</v>
      </c>
      <c r="L84" s="4"/>
      <c r="M84" s="17"/>
      <c r="N84" s="18"/>
      <c r="O84" s="19"/>
      <c r="P84" s="18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2.0</v>
      </c>
      <c r="B85" s="84" t="s">
        <v>38</v>
      </c>
      <c r="C85" s="85" t="s">
        <v>47</v>
      </c>
      <c r="D85" s="22">
        <v>12000.0</v>
      </c>
      <c r="E85" s="15">
        <f t="shared" si="16"/>
        <v>24000</v>
      </c>
      <c r="F85" s="15">
        <f t="shared" si="17"/>
        <v>26520</v>
      </c>
      <c r="G85" s="3"/>
      <c r="H85" s="3"/>
      <c r="I85" s="87">
        <v>8000.0</v>
      </c>
      <c r="J85" s="15">
        <f t="shared" si="18"/>
        <v>16000</v>
      </c>
      <c r="K85" s="15">
        <f t="shared" si="19"/>
        <v>10520</v>
      </c>
      <c r="L85" s="4"/>
      <c r="M85" s="20"/>
      <c r="N85" s="18"/>
      <c r="O85" s="19"/>
      <c r="P85" s="21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83">
        <v>6.2</v>
      </c>
      <c r="B86" s="84" t="s">
        <v>33</v>
      </c>
      <c r="C86" s="85" t="s">
        <v>23</v>
      </c>
      <c r="D86" s="22">
        <v>1400.0</v>
      </c>
      <c r="E86" s="15">
        <f t="shared" si="16"/>
        <v>8680</v>
      </c>
      <c r="F86" s="15">
        <f t="shared" si="17"/>
        <v>9591.4</v>
      </c>
      <c r="G86" s="3"/>
      <c r="H86" s="3"/>
      <c r="I86" s="87">
        <v>600.0</v>
      </c>
      <c r="J86" s="15">
        <f t="shared" si="18"/>
        <v>3720</v>
      </c>
      <c r="K86" s="15">
        <f t="shared" si="19"/>
        <v>5871.4</v>
      </c>
      <c r="L86" s="4"/>
      <c r="M86" s="20"/>
      <c r="N86" s="18"/>
      <c r="O86" s="19"/>
      <c r="P86" s="21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26">
        <v>1.0</v>
      </c>
      <c r="B87" s="10" t="s">
        <v>38</v>
      </c>
      <c r="C87" s="96" t="s">
        <v>45</v>
      </c>
      <c r="D87" s="15">
        <v>13000.0</v>
      </c>
      <c r="E87" s="15">
        <f t="shared" si="16"/>
        <v>13000</v>
      </c>
      <c r="F87" s="15">
        <f t="shared" si="17"/>
        <v>14365</v>
      </c>
      <c r="G87" s="3"/>
      <c r="H87" s="3"/>
      <c r="I87" s="87">
        <v>8000.0</v>
      </c>
      <c r="J87" s="15">
        <f t="shared" si="18"/>
        <v>8000</v>
      </c>
      <c r="K87" s="15">
        <f t="shared" si="19"/>
        <v>6365</v>
      </c>
      <c r="L87" s="4"/>
      <c r="M87" s="1"/>
      <c r="N87" s="3"/>
      <c r="O87" s="97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83">
        <v>1.0</v>
      </c>
      <c r="B88" s="84" t="s">
        <v>18</v>
      </c>
      <c r="C88" s="85" t="s">
        <v>21</v>
      </c>
      <c r="D88" s="22">
        <v>54000.0</v>
      </c>
      <c r="E88" s="15">
        <f t="shared" si="16"/>
        <v>54000</v>
      </c>
      <c r="F88" s="15">
        <f>E88*1.21</f>
        <v>65340</v>
      </c>
      <c r="G88" s="3"/>
      <c r="H88" s="3"/>
      <c r="I88" s="22">
        <v>50000.0</v>
      </c>
      <c r="J88" s="15">
        <f t="shared" si="18"/>
        <v>50000</v>
      </c>
      <c r="K88" s="15">
        <f t="shared" si="19"/>
        <v>15340</v>
      </c>
      <c r="L88" s="4"/>
      <c r="M88" s="20"/>
      <c r="N88" s="21"/>
      <c r="P88" s="21"/>
      <c r="Q88" s="21"/>
      <c r="R88" s="2"/>
      <c r="S88" s="3"/>
      <c r="T88" s="3"/>
      <c r="U88" s="1"/>
      <c r="V88" s="3"/>
      <c r="W88" s="3"/>
      <c r="X88" s="3"/>
      <c r="Y88" s="3"/>
      <c r="Z88" s="3"/>
    </row>
    <row r="89">
      <c r="A89" s="13"/>
      <c r="B89" s="12"/>
      <c r="C89" s="14"/>
      <c r="D89" s="15"/>
      <c r="E89" s="3"/>
      <c r="F89" s="3"/>
      <c r="G89" s="3"/>
      <c r="H89" s="3"/>
      <c r="I89" s="3"/>
      <c r="J89" s="3"/>
      <c r="K89" s="3"/>
      <c r="L89" s="4"/>
      <c r="N89" s="21"/>
      <c r="P89" s="21"/>
      <c r="Q89" s="21"/>
      <c r="R89" s="2"/>
      <c r="S89" s="3"/>
      <c r="T89" s="3"/>
      <c r="U89" s="1"/>
      <c r="V89" s="3"/>
      <c r="W89" s="3"/>
      <c r="X89" s="3"/>
      <c r="Y89" s="3"/>
      <c r="Z89" s="3"/>
    </row>
    <row r="90">
      <c r="A90" s="13"/>
      <c r="B90" s="12"/>
      <c r="C90" s="14"/>
      <c r="D90" s="15"/>
      <c r="E90" s="15">
        <f t="shared" ref="E90:F90" si="20">SUM(E81:E88)</f>
        <v>160480</v>
      </c>
      <c r="F90" s="15">
        <f t="shared" si="20"/>
        <v>183000.4</v>
      </c>
      <c r="G90" s="3"/>
      <c r="H90" s="3"/>
      <c r="I90" s="3"/>
      <c r="J90" s="3"/>
      <c r="K90" s="15">
        <f>SUM(K81:K88)</f>
        <v>66030.4</v>
      </c>
      <c r="L90" s="23">
        <f>K90/F90</f>
        <v>0.3608210692</v>
      </c>
      <c r="M90" s="2"/>
      <c r="N90" s="21"/>
      <c r="P90" s="21"/>
      <c r="Q90" s="21"/>
      <c r="R90" s="2"/>
      <c r="S90" s="3"/>
      <c r="T90" s="3"/>
      <c r="U90" s="1"/>
      <c r="V90" s="3"/>
      <c r="W90" s="3"/>
      <c r="X90" s="3"/>
      <c r="Y90" s="3"/>
      <c r="Z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21"/>
      <c r="P91" s="21"/>
      <c r="Q91" s="21"/>
      <c r="R91" s="2"/>
      <c r="S91" s="3"/>
      <c r="T91" s="3"/>
      <c r="U91" s="1"/>
      <c r="V91" s="3"/>
      <c r="W91" s="3"/>
      <c r="X91" s="3"/>
      <c r="Y91" s="3"/>
      <c r="Z91" s="3"/>
    </row>
    <row r="92">
      <c r="A92" s="26" t="s">
        <v>60</v>
      </c>
      <c r="B92" s="27">
        <v>0.04</v>
      </c>
      <c r="C92" s="2"/>
      <c r="D92" s="3"/>
      <c r="E92" s="15">
        <f>E90*0.04</f>
        <v>6419.2</v>
      </c>
      <c r="F92" s="3"/>
      <c r="G92" s="2"/>
      <c r="H92" s="3"/>
      <c r="I92" s="3"/>
      <c r="J92" s="3"/>
      <c r="K92" s="3"/>
      <c r="L92" s="4"/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8"/>
      <c r="B93" s="5"/>
      <c r="C93" s="5"/>
      <c r="D93" s="6"/>
      <c r="E93" s="86"/>
      <c r="F93" s="82"/>
      <c r="G93" s="86"/>
      <c r="H93" s="3"/>
      <c r="I93" s="8"/>
      <c r="J93" s="8"/>
      <c r="K93" s="8"/>
      <c r="L93" s="4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8" t="s">
        <v>0</v>
      </c>
      <c r="B94" s="5"/>
      <c r="C94" s="5"/>
      <c r="D94" s="6"/>
      <c r="E94" s="86" t="s">
        <v>264</v>
      </c>
      <c r="F94" s="82">
        <v>46062.0</v>
      </c>
      <c r="G94" s="86"/>
      <c r="H94" s="3"/>
      <c r="I94" s="8" t="s">
        <v>3</v>
      </c>
      <c r="L94" s="4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"/>
      <c r="B95" s="3"/>
      <c r="C95" s="9"/>
      <c r="D95" s="3"/>
      <c r="E95" s="3"/>
      <c r="F95" s="3"/>
      <c r="G95" s="3"/>
      <c r="H95" s="3"/>
      <c r="I95" s="3"/>
      <c r="J95" s="3"/>
      <c r="K95" s="3"/>
      <c r="L95" s="4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5" t="s">
        <v>4</v>
      </c>
      <c r="B96" s="10" t="s">
        <v>5</v>
      </c>
      <c r="C96" s="11" t="s">
        <v>6</v>
      </c>
      <c r="D96" s="12" t="s">
        <v>7</v>
      </c>
      <c r="E96" s="10" t="s">
        <v>8</v>
      </c>
      <c r="F96" s="10" t="s">
        <v>9</v>
      </c>
      <c r="G96" s="3"/>
      <c r="H96" s="3"/>
      <c r="I96" s="10" t="s">
        <v>7</v>
      </c>
      <c r="J96" s="10" t="s">
        <v>8</v>
      </c>
      <c r="K96" s="10" t="s">
        <v>10</v>
      </c>
      <c r="L96" s="4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2.0</v>
      </c>
      <c r="B97" s="84" t="s">
        <v>18</v>
      </c>
      <c r="C97" s="85" t="s">
        <v>19</v>
      </c>
      <c r="D97" s="22">
        <v>23000.0</v>
      </c>
      <c r="E97" s="15">
        <f t="shared" ref="E97:E119" si="21">A97*D97</f>
        <v>46000</v>
      </c>
      <c r="F97" s="15">
        <f t="shared" ref="F97:F98" si="22">E97*1.105</f>
        <v>50830</v>
      </c>
      <c r="G97" s="3"/>
      <c r="H97" s="3"/>
      <c r="I97" s="87">
        <v>12000.0</v>
      </c>
      <c r="J97" s="15">
        <f t="shared" ref="J97:J119" si="23">I97*A97</f>
        <v>24000</v>
      </c>
      <c r="K97" s="15">
        <f t="shared" ref="K97:K119" si="24">F97-J97</f>
        <v>26830</v>
      </c>
      <c r="L97" s="4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2.0</v>
      </c>
      <c r="B98" s="84" t="s">
        <v>18</v>
      </c>
      <c r="C98" s="85" t="s">
        <v>20</v>
      </c>
      <c r="D98" s="22">
        <v>30000.0</v>
      </c>
      <c r="E98" s="15">
        <f t="shared" si="21"/>
        <v>60000</v>
      </c>
      <c r="F98" s="15">
        <f t="shared" si="22"/>
        <v>66300</v>
      </c>
      <c r="G98" s="3"/>
      <c r="H98" s="3"/>
      <c r="I98" s="87">
        <v>15000.0</v>
      </c>
      <c r="J98" s="15">
        <f t="shared" si="23"/>
        <v>30000</v>
      </c>
      <c r="K98" s="15">
        <f t="shared" si="24"/>
        <v>36300</v>
      </c>
      <c r="L98" s="4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1.0</v>
      </c>
      <c r="B99" s="84" t="s">
        <v>18</v>
      </c>
      <c r="C99" s="85" t="s">
        <v>21</v>
      </c>
      <c r="D99" s="22">
        <v>56000.0</v>
      </c>
      <c r="E99" s="15">
        <f t="shared" si="21"/>
        <v>56000</v>
      </c>
      <c r="F99" s="15">
        <f>E99*1.21</f>
        <v>67760</v>
      </c>
      <c r="G99" s="3"/>
      <c r="H99" s="3"/>
      <c r="I99" s="22">
        <v>50000.0</v>
      </c>
      <c r="J99" s="15">
        <f t="shared" si="23"/>
        <v>50000</v>
      </c>
      <c r="K99" s="15">
        <f t="shared" si="24"/>
        <v>17760</v>
      </c>
      <c r="L99" s="4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1.0</v>
      </c>
      <c r="B100" s="84" t="s">
        <v>18</v>
      </c>
      <c r="C100" s="85" t="s">
        <v>24</v>
      </c>
      <c r="D100" s="22">
        <v>40000.0</v>
      </c>
      <c r="E100" s="15">
        <f t="shared" si="21"/>
        <v>40000</v>
      </c>
      <c r="F100" s="15">
        <f t="shared" ref="F100:F118" si="25">E100*1.105</f>
        <v>44200</v>
      </c>
      <c r="G100" s="3"/>
      <c r="H100" s="3"/>
      <c r="I100" s="87">
        <v>25000.0</v>
      </c>
      <c r="J100" s="15">
        <f t="shared" si="23"/>
        <v>25000</v>
      </c>
      <c r="K100" s="15">
        <f t="shared" si="24"/>
        <v>19200</v>
      </c>
      <c r="L100" s="4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1.0</v>
      </c>
      <c r="B101" s="84" t="s">
        <v>50</v>
      </c>
      <c r="C101" s="85" t="s">
        <v>68</v>
      </c>
      <c r="D101" s="22">
        <v>3000.0</v>
      </c>
      <c r="E101" s="15">
        <f t="shared" si="21"/>
        <v>3000</v>
      </c>
      <c r="F101" s="15">
        <f t="shared" si="25"/>
        <v>3315</v>
      </c>
      <c r="G101" s="3"/>
      <c r="H101" s="3"/>
      <c r="I101" s="87">
        <v>2000.0</v>
      </c>
      <c r="J101" s="15">
        <f t="shared" si="23"/>
        <v>2000</v>
      </c>
      <c r="K101" s="15">
        <f t="shared" si="24"/>
        <v>1315</v>
      </c>
      <c r="L101" s="4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4.0</v>
      </c>
      <c r="B102" s="84" t="s">
        <v>50</v>
      </c>
      <c r="C102" s="85" t="s">
        <v>16</v>
      </c>
      <c r="D102" s="22">
        <v>800.0</v>
      </c>
      <c r="E102" s="15">
        <f t="shared" si="21"/>
        <v>3200</v>
      </c>
      <c r="F102" s="15">
        <f t="shared" si="25"/>
        <v>3536</v>
      </c>
      <c r="G102" s="3"/>
      <c r="H102" s="3"/>
      <c r="I102" s="87">
        <f>9000/24</f>
        <v>375</v>
      </c>
      <c r="J102" s="15">
        <f t="shared" si="23"/>
        <v>1500</v>
      </c>
      <c r="K102" s="15">
        <f t="shared" si="24"/>
        <v>2036</v>
      </c>
      <c r="L102" s="4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2.0</v>
      </c>
      <c r="B103" s="84" t="s">
        <v>29</v>
      </c>
      <c r="C103" s="85" t="s">
        <v>55</v>
      </c>
      <c r="D103" s="22">
        <v>35000.0</v>
      </c>
      <c r="E103" s="15">
        <f t="shared" si="21"/>
        <v>70000</v>
      </c>
      <c r="F103" s="15">
        <f t="shared" si="25"/>
        <v>77350</v>
      </c>
      <c r="G103" s="86" t="s">
        <v>38</v>
      </c>
      <c r="H103" s="3"/>
      <c r="I103" s="87"/>
      <c r="J103" s="15">
        <f t="shared" si="23"/>
        <v>0</v>
      </c>
      <c r="K103" s="15">
        <f t="shared" si="24"/>
        <v>77350</v>
      </c>
      <c r="L103" s="4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2.0</v>
      </c>
      <c r="B104" s="84" t="s">
        <v>18</v>
      </c>
      <c r="C104" s="85" t="s">
        <v>201</v>
      </c>
      <c r="D104" s="22">
        <v>40000.0</v>
      </c>
      <c r="E104" s="15">
        <f t="shared" si="21"/>
        <v>80000</v>
      </c>
      <c r="F104" s="15">
        <f t="shared" si="25"/>
        <v>88400</v>
      </c>
      <c r="G104" s="3"/>
      <c r="H104" s="3"/>
      <c r="I104" s="87">
        <v>25000.0</v>
      </c>
      <c r="J104" s="15">
        <f t="shared" si="23"/>
        <v>50000</v>
      </c>
      <c r="K104" s="15">
        <f t="shared" si="24"/>
        <v>38400</v>
      </c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2.0</v>
      </c>
      <c r="B105" s="84" t="s">
        <v>18</v>
      </c>
      <c r="C105" s="85" t="s">
        <v>214</v>
      </c>
      <c r="D105" s="22">
        <v>35000.0</v>
      </c>
      <c r="E105" s="15">
        <f t="shared" si="21"/>
        <v>70000</v>
      </c>
      <c r="F105" s="15">
        <f t="shared" si="25"/>
        <v>77350</v>
      </c>
      <c r="G105" s="3"/>
      <c r="H105" s="86"/>
      <c r="I105" s="87">
        <v>24000.0</v>
      </c>
      <c r="J105" s="15">
        <f t="shared" si="23"/>
        <v>48000</v>
      </c>
      <c r="K105" s="15">
        <f t="shared" si="24"/>
        <v>29350</v>
      </c>
      <c r="L105" s="4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83">
        <v>2.0</v>
      </c>
      <c r="B106" s="84" t="s">
        <v>18</v>
      </c>
      <c r="C106" s="85" t="s">
        <v>237</v>
      </c>
      <c r="D106" s="22">
        <v>22000.0</v>
      </c>
      <c r="E106" s="15">
        <f t="shared" si="21"/>
        <v>44000</v>
      </c>
      <c r="F106" s="15">
        <f t="shared" si="25"/>
        <v>48620</v>
      </c>
      <c r="G106" s="3"/>
      <c r="H106" s="86"/>
      <c r="I106" s="87">
        <v>18000.0</v>
      </c>
      <c r="J106" s="15">
        <f t="shared" si="23"/>
        <v>36000</v>
      </c>
      <c r="K106" s="15">
        <f t="shared" si="24"/>
        <v>12620</v>
      </c>
      <c r="L106" s="4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83">
        <v>2.0</v>
      </c>
      <c r="B107" s="84" t="s">
        <v>18</v>
      </c>
      <c r="C107" s="85" t="s">
        <v>213</v>
      </c>
      <c r="D107" s="22">
        <v>42000.0</v>
      </c>
      <c r="E107" s="15">
        <f t="shared" si="21"/>
        <v>84000</v>
      </c>
      <c r="F107" s="15">
        <f t="shared" si="25"/>
        <v>92820</v>
      </c>
      <c r="G107" s="3"/>
      <c r="H107" s="3"/>
      <c r="I107" s="87">
        <v>37000.0</v>
      </c>
      <c r="J107" s="15">
        <f t="shared" si="23"/>
        <v>74000</v>
      </c>
      <c r="K107" s="15">
        <f t="shared" si="24"/>
        <v>18820</v>
      </c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83">
        <v>2.0</v>
      </c>
      <c r="B108" s="84" t="s">
        <v>18</v>
      </c>
      <c r="C108" s="85" t="s">
        <v>216</v>
      </c>
      <c r="D108" s="22">
        <v>22000.0</v>
      </c>
      <c r="E108" s="15">
        <f t="shared" si="21"/>
        <v>44000</v>
      </c>
      <c r="F108" s="15">
        <f t="shared" si="25"/>
        <v>48620</v>
      </c>
      <c r="G108" s="3"/>
      <c r="H108" s="3"/>
      <c r="I108" s="87">
        <v>17000.0</v>
      </c>
      <c r="J108" s="15">
        <f t="shared" si="23"/>
        <v>34000</v>
      </c>
      <c r="K108" s="15">
        <f t="shared" si="24"/>
        <v>14620</v>
      </c>
      <c r="L108" s="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83">
        <v>42.0</v>
      </c>
      <c r="B109" s="84" t="s">
        <v>33</v>
      </c>
      <c r="C109" s="85" t="s">
        <v>34</v>
      </c>
      <c r="D109" s="22">
        <v>1200.0</v>
      </c>
      <c r="E109" s="15">
        <f t="shared" si="21"/>
        <v>50400</v>
      </c>
      <c r="F109" s="15">
        <f t="shared" si="25"/>
        <v>55692</v>
      </c>
      <c r="G109" s="3"/>
      <c r="H109" s="86"/>
      <c r="I109" s="87">
        <v>800.0</v>
      </c>
      <c r="J109" s="15">
        <f t="shared" si="23"/>
        <v>33600</v>
      </c>
      <c r="K109" s="15">
        <f t="shared" si="24"/>
        <v>22092</v>
      </c>
      <c r="L109" s="4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83">
        <v>1.0</v>
      </c>
      <c r="B110" s="84" t="s">
        <v>29</v>
      </c>
      <c r="C110" s="85" t="s">
        <v>30</v>
      </c>
      <c r="D110" s="22">
        <v>63000.0</v>
      </c>
      <c r="E110" s="15">
        <f t="shared" si="21"/>
        <v>63000</v>
      </c>
      <c r="F110" s="15">
        <f t="shared" si="25"/>
        <v>69615</v>
      </c>
      <c r="G110" s="3"/>
      <c r="H110" s="3"/>
      <c r="I110" s="87">
        <v>40000.0</v>
      </c>
      <c r="J110" s="15">
        <f t="shared" si="23"/>
        <v>40000</v>
      </c>
      <c r="K110" s="15">
        <f t="shared" si="24"/>
        <v>29615</v>
      </c>
      <c r="L110" s="4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83">
        <v>1.0</v>
      </c>
      <c r="B111" s="84" t="s">
        <v>29</v>
      </c>
      <c r="C111" s="85" t="s">
        <v>30</v>
      </c>
      <c r="D111" s="22">
        <v>63000.0</v>
      </c>
      <c r="E111" s="15">
        <f t="shared" si="21"/>
        <v>63000</v>
      </c>
      <c r="F111" s="15">
        <f t="shared" si="25"/>
        <v>69615</v>
      </c>
      <c r="G111" s="86" t="s">
        <v>38</v>
      </c>
      <c r="H111" s="3"/>
      <c r="I111" s="87">
        <v>0.0</v>
      </c>
      <c r="J111" s="15">
        <f t="shared" si="23"/>
        <v>0</v>
      </c>
      <c r="K111" s="15">
        <f t="shared" si="24"/>
        <v>69615</v>
      </c>
      <c r="L111" s="4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83">
        <v>1.0</v>
      </c>
      <c r="B112" s="84" t="s">
        <v>18</v>
      </c>
      <c r="C112" s="85" t="s">
        <v>213</v>
      </c>
      <c r="D112" s="22">
        <v>42000.0</v>
      </c>
      <c r="E112" s="15">
        <f t="shared" si="21"/>
        <v>42000</v>
      </c>
      <c r="F112" s="15">
        <f t="shared" si="25"/>
        <v>46410</v>
      </c>
      <c r="G112" s="86" t="s">
        <v>38</v>
      </c>
      <c r="H112" s="3"/>
      <c r="I112" s="87">
        <v>0.0</v>
      </c>
      <c r="J112" s="15">
        <f t="shared" si="23"/>
        <v>0</v>
      </c>
      <c r="K112" s="15">
        <f t="shared" si="24"/>
        <v>46410</v>
      </c>
      <c r="L112" s="4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83">
        <v>1.0</v>
      </c>
      <c r="B113" s="84" t="s">
        <v>18</v>
      </c>
      <c r="C113" s="85" t="s">
        <v>237</v>
      </c>
      <c r="D113" s="22">
        <v>22000.0</v>
      </c>
      <c r="E113" s="15">
        <f t="shared" si="21"/>
        <v>22000</v>
      </c>
      <c r="F113" s="15">
        <f t="shared" si="25"/>
        <v>24310</v>
      </c>
      <c r="G113" s="86" t="s">
        <v>41</v>
      </c>
      <c r="H113" s="3"/>
      <c r="I113" s="87">
        <v>0.0</v>
      </c>
      <c r="J113" s="15">
        <f t="shared" si="23"/>
        <v>0</v>
      </c>
      <c r="K113" s="15">
        <f t="shared" si="24"/>
        <v>24310</v>
      </c>
      <c r="L113" s="4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83">
        <v>3.0</v>
      </c>
      <c r="B114" s="84" t="s">
        <v>18</v>
      </c>
      <c r="C114" s="85" t="s">
        <v>201</v>
      </c>
      <c r="D114" s="22">
        <v>40000.0</v>
      </c>
      <c r="E114" s="15">
        <f t="shared" si="21"/>
        <v>120000</v>
      </c>
      <c r="F114" s="15">
        <f t="shared" si="25"/>
        <v>132600</v>
      </c>
      <c r="G114" s="86" t="s">
        <v>41</v>
      </c>
      <c r="H114" s="3"/>
      <c r="I114" s="87">
        <v>0.0</v>
      </c>
      <c r="J114" s="15">
        <f t="shared" si="23"/>
        <v>0</v>
      </c>
      <c r="K114" s="15">
        <f t="shared" si="24"/>
        <v>132600</v>
      </c>
      <c r="L114" s="4"/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83">
        <v>1.0</v>
      </c>
      <c r="B115" s="84" t="s">
        <v>29</v>
      </c>
      <c r="C115" s="85" t="s">
        <v>55</v>
      </c>
      <c r="D115" s="22">
        <v>35000.0</v>
      </c>
      <c r="E115" s="15">
        <f t="shared" si="21"/>
        <v>35000</v>
      </c>
      <c r="F115" s="15">
        <f t="shared" si="25"/>
        <v>38675</v>
      </c>
      <c r="G115" s="86" t="s">
        <v>41</v>
      </c>
      <c r="H115" s="3"/>
      <c r="I115" s="87">
        <v>0.0</v>
      </c>
      <c r="J115" s="15">
        <f t="shared" si="23"/>
        <v>0</v>
      </c>
      <c r="K115" s="15">
        <f t="shared" si="24"/>
        <v>38675</v>
      </c>
      <c r="L115" s="4"/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83">
        <v>1.0</v>
      </c>
      <c r="B116" s="84" t="s">
        <v>18</v>
      </c>
      <c r="C116" s="85" t="s">
        <v>24</v>
      </c>
      <c r="D116" s="22">
        <v>40000.0</v>
      </c>
      <c r="E116" s="15">
        <f t="shared" si="21"/>
        <v>40000</v>
      </c>
      <c r="F116" s="15">
        <f t="shared" si="25"/>
        <v>44200</v>
      </c>
      <c r="G116" s="86" t="s">
        <v>38</v>
      </c>
      <c r="H116" s="3"/>
      <c r="I116" s="87">
        <v>0.0</v>
      </c>
      <c r="J116" s="15">
        <f t="shared" si="23"/>
        <v>0</v>
      </c>
      <c r="K116" s="15">
        <f t="shared" si="24"/>
        <v>44200</v>
      </c>
      <c r="L116" s="4"/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>
        <v>1.0</v>
      </c>
      <c r="B117" s="84" t="s">
        <v>18</v>
      </c>
      <c r="C117" s="85" t="s">
        <v>20</v>
      </c>
      <c r="D117" s="22">
        <v>30000.0</v>
      </c>
      <c r="E117" s="15">
        <f t="shared" si="21"/>
        <v>30000</v>
      </c>
      <c r="F117" s="15">
        <f t="shared" si="25"/>
        <v>33150</v>
      </c>
      <c r="G117" s="86" t="s">
        <v>38</v>
      </c>
      <c r="H117" s="3"/>
      <c r="I117" s="87">
        <v>0.0</v>
      </c>
      <c r="J117" s="15">
        <f t="shared" si="23"/>
        <v>0</v>
      </c>
      <c r="K117" s="15">
        <f t="shared" si="24"/>
        <v>33150</v>
      </c>
      <c r="L117" s="4"/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83">
        <v>1.0</v>
      </c>
      <c r="B118" s="84" t="s">
        <v>18</v>
      </c>
      <c r="C118" s="85" t="s">
        <v>19</v>
      </c>
      <c r="D118" s="22">
        <v>23000.0</v>
      </c>
      <c r="E118" s="15">
        <f t="shared" si="21"/>
        <v>23000</v>
      </c>
      <c r="F118" s="15">
        <f t="shared" si="25"/>
        <v>25415</v>
      </c>
      <c r="G118" s="86" t="s">
        <v>38</v>
      </c>
      <c r="H118" s="3"/>
      <c r="I118" s="87">
        <v>0.0</v>
      </c>
      <c r="J118" s="15">
        <f t="shared" si="23"/>
        <v>0</v>
      </c>
      <c r="K118" s="15">
        <f t="shared" si="24"/>
        <v>25415</v>
      </c>
      <c r="L118" s="4"/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0.5</v>
      </c>
      <c r="B119" s="84" t="s">
        <v>18</v>
      </c>
      <c r="C119" s="85" t="s">
        <v>21</v>
      </c>
      <c r="D119" s="22">
        <v>56000.0</v>
      </c>
      <c r="E119" s="15">
        <f t="shared" si="21"/>
        <v>28000</v>
      </c>
      <c r="F119" s="15">
        <f>E119*1.21</f>
        <v>33880</v>
      </c>
      <c r="G119" s="86" t="s">
        <v>38</v>
      </c>
      <c r="H119" s="3"/>
      <c r="I119" s="22">
        <v>0.0</v>
      </c>
      <c r="J119" s="15">
        <f t="shared" si="23"/>
        <v>0</v>
      </c>
      <c r="K119" s="15">
        <f t="shared" si="24"/>
        <v>33880</v>
      </c>
      <c r="L119" s="4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/>
      <c r="B120" s="12"/>
      <c r="C120" s="14"/>
      <c r="D120" s="15"/>
      <c r="E120" s="3"/>
      <c r="F120" s="3"/>
      <c r="G120" s="3"/>
      <c r="H120" s="3"/>
      <c r="I120" s="3"/>
      <c r="J120" s="3"/>
      <c r="K120" s="3"/>
      <c r="L120" s="4"/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/>
      <c r="B121" s="12"/>
      <c r="C121" s="14"/>
      <c r="D121" s="15"/>
      <c r="E121" s="15">
        <f t="shared" ref="E121:F121" si="26">SUM(E97:E119)</f>
        <v>1116600</v>
      </c>
      <c r="F121" s="15">
        <f t="shared" si="26"/>
        <v>1242663</v>
      </c>
      <c r="G121" s="3"/>
      <c r="H121" s="3"/>
      <c r="I121" s="3"/>
      <c r="J121" s="3"/>
      <c r="K121" s="15">
        <f>SUM(K97:K119)</f>
        <v>794563</v>
      </c>
      <c r="L121" s="23">
        <f>K121/F121</f>
        <v>0.6394034424</v>
      </c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24"/>
      <c r="B122" s="24"/>
      <c r="C122" s="24"/>
      <c r="D122" s="32"/>
      <c r="E122" s="7"/>
      <c r="F122" s="33"/>
      <c r="G122" s="25"/>
      <c r="H122" s="25"/>
      <c r="I122" s="16"/>
      <c r="J122" s="16"/>
      <c r="K122" s="16"/>
      <c r="L122" s="34"/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24"/>
      <c r="B123" s="24"/>
      <c r="C123" s="24"/>
      <c r="D123" s="32"/>
      <c r="E123" s="7"/>
      <c r="F123" s="33"/>
      <c r="G123" s="25"/>
      <c r="H123" s="25"/>
      <c r="I123" s="16"/>
      <c r="J123" s="16"/>
      <c r="K123" s="16"/>
      <c r="L123" s="34"/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24"/>
      <c r="B124" s="24"/>
      <c r="C124" s="24"/>
      <c r="D124" s="32"/>
      <c r="E124" s="82"/>
      <c r="F124" s="33"/>
      <c r="G124" s="25"/>
      <c r="H124" s="25"/>
      <c r="I124" s="16"/>
      <c r="J124" s="16"/>
      <c r="K124" s="16"/>
      <c r="L124" s="34"/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9" t="s">
        <v>206</v>
      </c>
      <c r="B125" s="24"/>
      <c r="C125" s="24"/>
      <c r="D125" s="81" t="s">
        <v>265</v>
      </c>
      <c r="E125" s="82">
        <v>46062.0</v>
      </c>
      <c r="F125" s="33" t="s">
        <v>13</v>
      </c>
      <c r="G125" s="25"/>
      <c r="H125" s="25"/>
      <c r="I125" s="16"/>
      <c r="J125" s="16"/>
      <c r="K125" s="16"/>
      <c r="L125" s="3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B126" s="25"/>
      <c r="C126" s="35"/>
      <c r="D126" s="25"/>
      <c r="E126" s="25"/>
      <c r="F126" s="25"/>
      <c r="G126" s="25"/>
      <c r="H126" s="25"/>
      <c r="I126" s="16"/>
      <c r="J126" s="16"/>
      <c r="K126" s="16"/>
      <c r="L126" s="34"/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5" t="s">
        <v>4</v>
      </c>
      <c r="B127" s="10" t="s">
        <v>5</v>
      </c>
      <c r="C127" s="11" t="s">
        <v>6</v>
      </c>
      <c r="D127" s="12" t="s">
        <v>7</v>
      </c>
      <c r="E127" s="10" t="s">
        <v>8</v>
      </c>
      <c r="F127" s="12"/>
      <c r="G127" s="25"/>
      <c r="H127" s="25"/>
      <c r="I127" s="12" t="s">
        <v>7</v>
      </c>
      <c r="J127" s="12" t="s">
        <v>8</v>
      </c>
      <c r="K127" s="12" t="s">
        <v>10</v>
      </c>
      <c r="L127" s="34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>
        <v>1.0</v>
      </c>
      <c r="B128" s="84" t="s">
        <v>38</v>
      </c>
      <c r="C128" s="85" t="s">
        <v>45</v>
      </c>
      <c r="D128" s="22">
        <v>13000.0</v>
      </c>
      <c r="E128" s="15">
        <f t="shared" ref="E128:E135" si="27">A128*D128</f>
        <v>13000</v>
      </c>
      <c r="F128" s="16"/>
      <c r="G128" s="25"/>
      <c r="H128" s="37"/>
      <c r="I128" s="22">
        <v>8000.0</v>
      </c>
      <c r="J128" s="16">
        <f t="shared" ref="J128:J135" si="28">I128*A128</f>
        <v>8000</v>
      </c>
      <c r="K128" s="16">
        <f t="shared" ref="K128:K135" si="29">E128-J128</f>
        <v>5000</v>
      </c>
      <c r="L128" s="36"/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83">
        <v>2.0</v>
      </c>
      <c r="B129" s="84" t="s">
        <v>38</v>
      </c>
      <c r="C129" s="85" t="s">
        <v>247</v>
      </c>
      <c r="D129" s="22">
        <v>21000.0</v>
      </c>
      <c r="E129" s="15">
        <f t="shared" si="27"/>
        <v>42000</v>
      </c>
      <c r="F129" s="16"/>
      <c r="G129" s="25"/>
      <c r="H129" s="37"/>
      <c r="I129" s="22">
        <v>19000.0</v>
      </c>
      <c r="J129" s="16">
        <f t="shared" si="28"/>
        <v>38000</v>
      </c>
      <c r="K129" s="16">
        <f t="shared" si="29"/>
        <v>4000</v>
      </c>
      <c r="L129" s="36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83">
        <v>1.0</v>
      </c>
      <c r="B130" s="84" t="s">
        <v>18</v>
      </c>
      <c r="C130" s="85" t="s">
        <v>19</v>
      </c>
      <c r="D130" s="22">
        <v>20000.0</v>
      </c>
      <c r="E130" s="15">
        <f t="shared" si="27"/>
        <v>20000</v>
      </c>
      <c r="F130" s="16"/>
      <c r="G130" s="25"/>
      <c r="H130" s="37"/>
      <c r="I130" s="22">
        <v>12000.0</v>
      </c>
      <c r="J130" s="16">
        <f t="shared" si="28"/>
        <v>12000</v>
      </c>
      <c r="K130" s="16">
        <f t="shared" si="29"/>
        <v>8000</v>
      </c>
      <c r="L130" s="36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83">
        <v>1.0</v>
      </c>
      <c r="B131" s="84" t="s">
        <v>29</v>
      </c>
      <c r="C131" s="85" t="s">
        <v>72</v>
      </c>
      <c r="D131" s="22">
        <v>32000.0</v>
      </c>
      <c r="E131" s="15">
        <f t="shared" si="27"/>
        <v>32000</v>
      </c>
      <c r="F131" s="16"/>
      <c r="G131" s="25"/>
      <c r="H131" s="37"/>
      <c r="I131" s="22">
        <v>28000.0</v>
      </c>
      <c r="J131" s="16">
        <f t="shared" si="28"/>
        <v>28000</v>
      </c>
      <c r="K131" s="16">
        <f t="shared" si="29"/>
        <v>4000</v>
      </c>
      <c r="L131" s="36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83">
        <v>1.0</v>
      </c>
      <c r="B132" s="84" t="s">
        <v>18</v>
      </c>
      <c r="C132" s="85" t="s">
        <v>39</v>
      </c>
      <c r="D132" s="22">
        <v>16000.0</v>
      </c>
      <c r="E132" s="15">
        <f t="shared" si="27"/>
        <v>16000</v>
      </c>
      <c r="F132" s="16"/>
      <c r="G132" s="25"/>
      <c r="H132" s="37"/>
      <c r="I132" s="22">
        <v>11000.0</v>
      </c>
      <c r="J132" s="16">
        <f t="shared" si="28"/>
        <v>11000</v>
      </c>
      <c r="K132" s="16">
        <f t="shared" si="29"/>
        <v>5000</v>
      </c>
      <c r="L132" s="29"/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83">
        <v>1.0</v>
      </c>
      <c r="B133" s="84" t="s">
        <v>29</v>
      </c>
      <c r="C133" s="85" t="s">
        <v>87</v>
      </c>
      <c r="D133" s="22">
        <v>70000.0</v>
      </c>
      <c r="E133" s="15">
        <f t="shared" si="27"/>
        <v>70000</v>
      </c>
      <c r="F133" s="16"/>
      <c r="G133" s="25"/>
      <c r="H133" s="37"/>
      <c r="I133" s="22">
        <v>62000.0</v>
      </c>
      <c r="J133" s="16">
        <f t="shared" si="28"/>
        <v>62000</v>
      </c>
      <c r="K133" s="16">
        <f t="shared" si="29"/>
        <v>8000</v>
      </c>
      <c r="L133" s="29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83">
        <v>1.0</v>
      </c>
      <c r="B134" s="84" t="s">
        <v>38</v>
      </c>
      <c r="C134" s="85" t="s">
        <v>117</v>
      </c>
      <c r="D134" s="22">
        <v>27000.0</v>
      </c>
      <c r="E134" s="15">
        <f t="shared" si="27"/>
        <v>27000</v>
      </c>
      <c r="F134" s="16"/>
      <c r="G134" s="25"/>
      <c r="H134" s="37"/>
      <c r="I134" s="22">
        <v>24000.0</v>
      </c>
      <c r="J134" s="16">
        <f t="shared" si="28"/>
        <v>24000</v>
      </c>
      <c r="K134" s="16">
        <f t="shared" si="29"/>
        <v>3000</v>
      </c>
      <c r="L134" s="29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3">
        <v>1.0</v>
      </c>
      <c r="B135" s="84" t="s">
        <v>208</v>
      </c>
      <c r="C135" s="85" t="s">
        <v>20</v>
      </c>
      <c r="D135" s="22">
        <v>12500.0</v>
      </c>
      <c r="E135" s="15">
        <f t="shared" si="27"/>
        <v>12500</v>
      </c>
      <c r="F135" s="16"/>
      <c r="G135" s="25"/>
      <c r="H135" s="37"/>
      <c r="I135" s="22">
        <v>7500.0</v>
      </c>
      <c r="J135" s="16">
        <f t="shared" si="28"/>
        <v>7500</v>
      </c>
      <c r="K135" s="16">
        <f t="shared" si="29"/>
        <v>5000</v>
      </c>
      <c r="L135" s="29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3"/>
      <c r="B136" s="12"/>
      <c r="C136" s="14"/>
      <c r="D136" s="15"/>
      <c r="E136" s="16"/>
      <c r="F136" s="16"/>
      <c r="G136" s="25"/>
      <c r="H136" s="25"/>
      <c r="I136" s="16"/>
      <c r="J136" s="16"/>
      <c r="K136" s="16"/>
      <c r="L136" s="36"/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13"/>
      <c r="B137" s="12"/>
      <c r="C137" s="14"/>
      <c r="D137" s="15"/>
      <c r="E137" s="16">
        <f>SUM(E128:E135)</f>
        <v>232500</v>
      </c>
      <c r="F137" s="16"/>
      <c r="G137" s="25"/>
      <c r="H137" s="25"/>
      <c r="I137" s="16"/>
      <c r="J137" s="16"/>
      <c r="K137" s="16">
        <f>SUM(K128:K135)</f>
        <v>42000</v>
      </c>
      <c r="L137" s="36">
        <f>K137/E137</f>
        <v>0.1806451613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30"/>
      <c r="B138" s="31"/>
      <c r="C138" s="2"/>
      <c r="D138" s="3"/>
      <c r="E138" s="3"/>
      <c r="F138" s="3"/>
      <c r="G138" s="2"/>
      <c r="H138" s="2"/>
      <c r="I138" s="2"/>
      <c r="J138" s="2"/>
      <c r="K138" s="3"/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21"/>
      <c r="P139" s="21"/>
      <c r="Q139" s="21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30"/>
      <c r="B140" s="31"/>
      <c r="C140" s="2"/>
      <c r="D140" s="3"/>
      <c r="E140" s="3"/>
      <c r="F140" s="3"/>
      <c r="G140" s="2"/>
      <c r="H140" s="2"/>
      <c r="I140" s="2"/>
      <c r="J140" s="2"/>
      <c r="K140" s="3"/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88" t="s">
        <v>266</v>
      </c>
      <c r="B141" s="88" t="s">
        <v>267</v>
      </c>
      <c r="C141" s="88"/>
      <c r="D141" s="6"/>
      <c r="E141" s="86" t="s">
        <v>74</v>
      </c>
      <c r="F141" s="82">
        <v>46062.0</v>
      </c>
      <c r="G141" s="6"/>
      <c r="H141" s="3"/>
      <c r="I141" s="8" t="s">
        <v>3</v>
      </c>
      <c r="L141" s="4"/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"/>
      <c r="B142" s="3"/>
      <c r="C142" s="9"/>
      <c r="D142" s="3"/>
      <c r="E142" s="3"/>
      <c r="F142" s="3"/>
      <c r="G142" s="3"/>
      <c r="H142" s="3"/>
      <c r="I142" s="3"/>
      <c r="J142" s="3"/>
      <c r="K142" s="3"/>
      <c r="L142" s="4"/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5" t="s">
        <v>4</v>
      </c>
      <c r="B143" s="10" t="s">
        <v>5</v>
      </c>
      <c r="C143" s="11" t="s">
        <v>6</v>
      </c>
      <c r="D143" s="12" t="s">
        <v>7</v>
      </c>
      <c r="E143" s="10" t="s">
        <v>8</v>
      </c>
      <c r="F143" s="10" t="s">
        <v>9</v>
      </c>
      <c r="G143" s="3"/>
      <c r="H143" s="3"/>
      <c r="I143" s="10" t="s">
        <v>7</v>
      </c>
      <c r="J143" s="10" t="s">
        <v>8</v>
      </c>
      <c r="K143" s="10" t="s">
        <v>10</v>
      </c>
      <c r="L143" s="4"/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83">
        <v>3.0</v>
      </c>
      <c r="B144" s="84" t="s">
        <v>33</v>
      </c>
      <c r="C144" s="85" t="s">
        <v>24</v>
      </c>
      <c r="D144" s="22">
        <v>4000.0</v>
      </c>
      <c r="E144" s="15">
        <f t="shared" ref="E144:E159" si="30">A144*D144</f>
        <v>12000</v>
      </c>
      <c r="F144" s="15">
        <f t="shared" ref="F144:F159" si="31">E144*1.105</f>
        <v>13260</v>
      </c>
      <c r="G144" s="3"/>
      <c r="H144" s="3"/>
      <c r="I144" s="22">
        <f>25000/8</f>
        <v>3125</v>
      </c>
      <c r="J144" s="15">
        <f t="shared" ref="J144:J159" si="32">I144*A144</f>
        <v>9375</v>
      </c>
      <c r="K144" s="15">
        <f t="shared" ref="K144:K159" si="33">F144-J144</f>
        <v>3885</v>
      </c>
      <c r="L144" s="4"/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83">
        <v>1.0</v>
      </c>
      <c r="B145" s="84" t="s">
        <v>33</v>
      </c>
      <c r="C145" s="85" t="s">
        <v>26</v>
      </c>
      <c r="D145" s="22">
        <v>4000.0</v>
      </c>
      <c r="E145" s="15">
        <f t="shared" si="30"/>
        <v>4000</v>
      </c>
      <c r="F145" s="15">
        <f t="shared" si="31"/>
        <v>4420</v>
      </c>
      <c r="G145" s="3"/>
      <c r="H145" s="3"/>
      <c r="I145" s="87">
        <f>20000/8</f>
        <v>2500</v>
      </c>
      <c r="J145" s="15">
        <f t="shared" si="32"/>
        <v>2500</v>
      </c>
      <c r="K145" s="15">
        <f t="shared" si="33"/>
        <v>1920</v>
      </c>
      <c r="L145" s="4"/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83">
        <v>2.0</v>
      </c>
      <c r="B146" s="84" t="s">
        <v>33</v>
      </c>
      <c r="C146" s="85" t="s">
        <v>22</v>
      </c>
      <c r="D146" s="22">
        <v>1500.0</v>
      </c>
      <c r="E146" s="15">
        <f t="shared" si="30"/>
        <v>3000</v>
      </c>
      <c r="F146" s="15">
        <f t="shared" si="31"/>
        <v>3315</v>
      </c>
      <c r="G146" s="3"/>
      <c r="H146" s="3"/>
      <c r="I146" s="87">
        <f>7000/15</f>
        <v>466.6666667</v>
      </c>
      <c r="J146" s="15">
        <f t="shared" si="32"/>
        <v>933.3333333</v>
      </c>
      <c r="K146" s="15">
        <f t="shared" si="33"/>
        <v>2381.666667</v>
      </c>
      <c r="L146" s="4"/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83">
        <v>2.0</v>
      </c>
      <c r="B147" s="84" t="s">
        <v>11</v>
      </c>
      <c r="C147" s="85" t="s">
        <v>236</v>
      </c>
      <c r="D147" s="22">
        <v>5500.0</v>
      </c>
      <c r="E147" s="15">
        <f t="shared" si="30"/>
        <v>11000</v>
      </c>
      <c r="F147" s="15">
        <f t="shared" si="31"/>
        <v>12155</v>
      </c>
      <c r="G147" s="3"/>
      <c r="H147" s="3"/>
      <c r="I147" s="22">
        <v>4000.0</v>
      </c>
      <c r="J147" s="15">
        <f t="shared" si="32"/>
        <v>8000</v>
      </c>
      <c r="K147" s="15">
        <f t="shared" si="33"/>
        <v>4155</v>
      </c>
      <c r="L147" s="4"/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83">
        <v>1.0</v>
      </c>
      <c r="B148" s="84" t="s">
        <v>208</v>
      </c>
      <c r="C148" s="85" t="s">
        <v>268</v>
      </c>
      <c r="D148" s="22">
        <v>5000.0</v>
      </c>
      <c r="E148" s="15">
        <f t="shared" si="30"/>
        <v>5000</v>
      </c>
      <c r="F148" s="15">
        <f t="shared" si="31"/>
        <v>5525</v>
      </c>
      <c r="G148" s="3"/>
      <c r="H148" s="3"/>
      <c r="I148" s="87">
        <v>4000.0</v>
      </c>
      <c r="J148" s="15">
        <f t="shared" si="32"/>
        <v>4000</v>
      </c>
      <c r="K148" s="15">
        <f t="shared" si="33"/>
        <v>1525</v>
      </c>
      <c r="L148" s="4"/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83">
        <v>0.25</v>
      </c>
      <c r="B149" s="84" t="s">
        <v>33</v>
      </c>
      <c r="C149" s="85" t="s">
        <v>183</v>
      </c>
      <c r="D149" s="22">
        <v>22000.0</v>
      </c>
      <c r="E149" s="15">
        <f t="shared" si="30"/>
        <v>5500</v>
      </c>
      <c r="F149" s="15">
        <f t="shared" si="31"/>
        <v>6077.5</v>
      </c>
      <c r="G149" s="3"/>
      <c r="H149" s="3"/>
      <c r="I149" s="87">
        <v>19000.0</v>
      </c>
      <c r="J149" s="15">
        <f t="shared" si="32"/>
        <v>4750</v>
      </c>
      <c r="K149" s="15">
        <f t="shared" si="33"/>
        <v>1327.5</v>
      </c>
      <c r="L149" s="4"/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83">
        <v>0.5</v>
      </c>
      <c r="B150" s="84" t="s">
        <v>33</v>
      </c>
      <c r="C150" s="85" t="s">
        <v>269</v>
      </c>
      <c r="D150" s="15">
        <v>9500.0</v>
      </c>
      <c r="E150" s="15">
        <f t="shared" si="30"/>
        <v>4750</v>
      </c>
      <c r="F150" s="15">
        <f t="shared" si="31"/>
        <v>5248.75</v>
      </c>
      <c r="G150" s="3"/>
      <c r="H150" s="3"/>
      <c r="I150" s="87">
        <v>6000.0</v>
      </c>
      <c r="J150" s="15">
        <f t="shared" si="32"/>
        <v>3000</v>
      </c>
      <c r="K150" s="15">
        <f t="shared" si="33"/>
        <v>2248.75</v>
      </c>
      <c r="L150" s="4"/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83">
        <v>0.5</v>
      </c>
      <c r="B151" s="84" t="s">
        <v>33</v>
      </c>
      <c r="C151" s="85" t="s">
        <v>270</v>
      </c>
      <c r="D151" s="15">
        <v>9500.0</v>
      </c>
      <c r="E151" s="15">
        <f t="shared" si="30"/>
        <v>4750</v>
      </c>
      <c r="F151" s="15">
        <f t="shared" si="31"/>
        <v>5248.75</v>
      </c>
      <c r="G151" s="3"/>
      <c r="H151" s="3"/>
      <c r="I151" s="87">
        <v>6000.0</v>
      </c>
      <c r="J151" s="15">
        <f t="shared" si="32"/>
        <v>3000</v>
      </c>
      <c r="K151" s="15">
        <f t="shared" si="33"/>
        <v>2248.75</v>
      </c>
      <c r="L151" s="4"/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83">
        <v>1.0</v>
      </c>
      <c r="B152" s="84" t="s">
        <v>5</v>
      </c>
      <c r="C152" s="85" t="s">
        <v>271</v>
      </c>
      <c r="D152" s="22">
        <v>3000.0</v>
      </c>
      <c r="E152" s="15">
        <f t="shared" si="30"/>
        <v>3000</v>
      </c>
      <c r="F152" s="15">
        <f t="shared" si="31"/>
        <v>3315</v>
      </c>
      <c r="G152" s="3"/>
      <c r="H152" s="3"/>
      <c r="I152" s="87">
        <v>2000.0</v>
      </c>
      <c r="J152" s="15">
        <f t="shared" si="32"/>
        <v>2000</v>
      </c>
      <c r="K152" s="15">
        <f t="shared" si="33"/>
        <v>1315</v>
      </c>
      <c r="L152" s="4"/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83">
        <v>0.5</v>
      </c>
      <c r="B153" s="84" t="s">
        <v>38</v>
      </c>
      <c r="C153" s="85" t="s">
        <v>179</v>
      </c>
      <c r="D153" s="22">
        <v>22000.0</v>
      </c>
      <c r="E153" s="15">
        <f t="shared" si="30"/>
        <v>11000</v>
      </c>
      <c r="F153" s="15">
        <f t="shared" si="31"/>
        <v>12155</v>
      </c>
      <c r="G153" s="3"/>
      <c r="H153" s="3"/>
      <c r="I153" s="87">
        <v>19000.0</v>
      </c>
      <c r="J153" s="15">
        <f t="shared" si="32"/>
        <v>9500</v>
      </c>
      <c r="K153" s="15">
        <f t="shared" si="33"/>
        <v>2655</v>
      </c>
      <c r="L153" s="4"/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83">
        <v>1.0</v>
      </c>
      <c r="B154" s="84" t="s">
        <v>38</v>
      </c>
      <c r="C154" s="85" t="s">
        <v>180</v>
      </c>
      <c r="D154" s="22">
        <v>14000.0</v>
      </c>
      <c r="E154" s="15">
        <f t="shared" si="30"/>
        <v>14000</v>
      </c>
      <c r="F154" s="15">
        <f t="shared" si="31"/>
        <v>15470</v>
      </c>
      <c r="G154" s="3"/>
      <c r="H154" s="3"/>
      <c r="I154" s="87">
        <v>11000.0</v>
      </c>
      <c r="J154" s="15">
        <f t="shared" si="32"/>
        <v>11000</v>
      </c>
      <c r="K154" s="15">
        <f t="shared" si="33"/>
        <v>4470</v>
      </c>
      <c r="L154" s="4"/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83">
        <v>3.0</v>
      </c>
      <c r="B155" s="84" t="s">
        <v>33</v>
      </c>
      <c r="C155" s="85" t="s">
        <v>174</v>
      </c>
      <c r="D155" s="22">
        <v>1600.0</v>
      </c>
      <c r="E155" s="15">
        <f t="shared" si="30"/>
        <v>4800</v>
      </c>
      <c r="F155" s="15">
        <f t="shared" si="31"/>
        <v>5304</v>
      </c>
      <c r="G155" s="3"/>
      <c r="H155" s="3"/>
      <c r="I155" s="87">
        <v>1000.0</v>
      </c>
      <c r="J155" s="15">
        <f t="shared" si="32"/>
        <v>3000</v>
      </c>
      <c r="K155" s="15">
        <f t="shared" si="33"/>
        <v>2304</v>
      </c>
      <c r="L155" s="4"/>
      <c r="M155" s="1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83">
        <v>1.0</v>
      </c>
      <c r="B156" s="84" t="s">
        <v>33</v>
      </c>
      <c r="C156" s="85" t="s">
        <v>67</v>
      </c>
      <c r="D156" s="22">
        <v>800.0</v>
      </c>
      <c r="E156" s="15">
        <f t="shared" si="30"/>
        <v>800</v>
      </c>
      <c r="F156" s="15">
        <f t="shared" si="31"/>
        <v>884</v>
      </c>
      <c r="G156" s="3"/>
      <c r="H156" s="3"/>
      <c r="I156" s="87">
        <v>500.0</v>
      </c>
      <c r="J156" s="15">
        <f t="shared" si="32"/>
        <v>500</v>
      </c>
      <c r="K156" s="15">
        <f t="shared" si="33"/>
        <v>384</v>
      </c>
      <c r="L156" s="4"/>
      <c r="M156" s="1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83">
        <v>0.5</v>
      </c>
      <c r="B157" s="84" t="s">
        <v>33</v>
      </c>
      <c r="C157" s="85" t="s">
        <v>177</v>
      </c>
      <c r="D157" s="22">
        <v>1400.0</v>
      </c>
      <c r="E157" s="15">
        <f t="shared" si="30"/>
        <v>700</v>
      </c>
      <c r="F157" s="15">
        <f t="shared" si="31"/>
        <v>773.5</v>
      </c>
      <c r="G157" s="3"/>
      <c r="H157" s="3"/>
      <c r="I157" s="15">
        <f>12000/15</f>
        <v>800</v>
      </c>
      <c r="J157" s="15">
        <f t="shared" si="32"/>
        <v>400</v>
      </c>
      <c r="K157" s="15">
        <f t="shared" si="33"/>
        <v>373.5</v>
      </c>
      <c r="L157" s="4"/>
      <c r="M157" s="1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83">
        <v>3.0</v>
      </c>
      <c r="B158" s="84" t="s">
        <v>33</v>
      </c>
      <c r="C158" s="85" t="s">
        <v>86</v>
      </c>
      <c r="D158" s="22">
        <v>4000.0</v>
      </c>
      <c r="E158" s="15">
        <f t="shared" si="30"/>
        <v>12000</v>
      </c>
      <c r="F158" s="15">
        <f t="shared" si="31"/>
        <v>13260</v>
      </c>
      <c r="G158" s="3"/>
      <c r="H158" s="3"/>
      <c r="I158" s="22">
        <v>3000.0</v>
      </c>
      <c r="J158" s="15">
        <f t="shared" si="32"/>
        <v>9000</v>
      </c>
      <c r="K158" s="15">
        <f t="shared" si="33"/>
        <v>4260</v>
      </c>
      <c r="L158" s="4"/>
      <c r="M158" s="1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83">
        <v>1.0</v>
      </c>
      <c r="B159" s="84" t="s">
        <v>18</v>
      </c>
      <c r="C159" s="85" t="s">
        <v>72</v>
      </c>
      <c r="D159" s="22">
        <v>28000.0</v>
      </c>
      <c r="E159" s="15">
        <f t="shared" si="30"/>
        <v>28000</v>
      </c>
      <c r="F159" s="15">
        <f t="shared" si="31"/>
        <v>30940</v>
      </c>
      <c r="G159" s="3"/>
      <c r="H159" s="3"/>
      <c r="I159" s="87">
        <v>28000.0</v>
      </c>
      <c r="J159" s="15">
        <f t="shared" si="32"/>
        <v>28000</v>
      </c>
      <c r="K159" s="15">
        <f t="shared" si="33"/>
        <v>2940</v>
      </c>
      <c r="L159" s="4"/>
      <c r="M159" s="1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13"/>
      <c r="B160" s="12"/>
      <c r="C160" s="14"/>
      <c r="D160" s="15"/>
      <c r="E160" s="3"/>
      <c r="F160" s="3"/>
      <c r="G160" s="3"/>
      <c r="H160" s="3"/>
      <c r="I160" s="3"/>
      <c r="J160" s="3"/>
      <c r="K160" s="3"/>
      <c r="L160" s="4"/>
      <c r="M160" s="1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13"/>
      <c r="B161" s="12"/>
      <c r="C161" s="14"/>
      <c r="D161" s="15"/>
      <c r="E161" s="15">
        <f t="shared" ref="E161:F161" si="34">SUM(E144:E159)</f>
        <v>124300</v>
      </c>
      <c r="F161" s="15">
        <f t="shared" si="34"/>
        <v>137351.5</v>
      </c>
      <c r="G161" s="3"/>
      <c r="H161" s="3"/>
      <c r="I161" s="3"/>
      <c r="J161" s="3"/>
      <c r="K161" s="15">
        <f>SUM(K144:K159)</f>
        <v>38393.16667</v>
      </c>
      <c r="L161" s="23">
        <f>K161/F161</f>
        <v>0.2795249172</v>
      </c>
      <c r="M161" s="1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24"/>
      <c r="B162" s="24"/>
      <c r="C162" s="24"/>
      <c r="D162" s="32"/>
      <c r="E162" s="7"/>
      <c r="F162" s="33"/>
      <c r="G162" s="25"/>
      <c r="H162" s="25"/>
      <c r="I162" s="16"/>
      <c r="J162" s="16"/>
      <c r="K162" s="16"/>
      <c r="L162" s="34"/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26" t="s">
        <v>60</v>
      </c>
      <c r="B163" s="27">
        <v>0.04</v>
      </c>
      <c r="C163" s="2"/>
      <c r="D163" s="3"/>
      <c r="E163" s="15">
        <f>E161*0.04</f>
        <v>4972</v>
      </c>
      <c r="F163" s="3"/>
      <c r="G163" s="2"/>
      <c r="H163" s="3"/>
      <c r="I163" s="3"/>
      <c r="J163" s="3"/>
      <c r="K163" s="3"/>
      <c r="L163" s="4"/>
      <c r="M163" s="1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13"/>
      <c r="B164" s="12"/>
      <c r="C164" s="14"/>
      <c r="D164" s="15"/>
      <c r="E164" s="3"/>
      <c r="F164" s="3"/>
      <c r="G164" s="2"/>
      <c r="H164" s="2"/>
      <c r="I164" s="2"/>
      <c r="J164" s="2"/>
      <c r="K164" s="3"/>
      <c r="L164" s="4"/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88"/>
      <c r="B165" s="1"/>
      <c r="C165" s="1"/>
      <c r="D165" s="81"/>
      <c r="E165" s="82"/>
      <c r="F165" s="71"/>
      <c r="G165" s="3"/>
      <c r="H165" s="3"/>
      <c r="I165" s="3"/>
      <c r="J165" s="3"/>
      <c r="K165" s="3"/>
      <c r="L165" s="4"/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88" t="s">
        <v>190</v>
      </c>
      <c r="B166" s="1"/>
      <c r="C166" s="1"/>
      <c r="D166" s="81" t="s">
        <v>74</v>
      </c>
      <c r="E166" s="82">
        <v>46062.0</v>
      </c>
      <c r="F166" s="71" t="s">
        <v>13</v>
      </c>
      <c r="G166" s="3"/>
      <c r="H166" s="3"/>
      <c r="I166" s="3"/>
      <c r="J166" s="3"/>
      <c r="K166" s="3"/>
      <c r="L166" s="4"/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1"/>
      <c r="B167" s="3"/>
      <c r="C167" s="1"/>
      <c r="D167" s="3"/>
      <c r="E167" s="3"/>
      <c r="F167" s="3"/>
      <c r="G167" s="3"/>
      <c r="H167" s="3"/>
      <c r="I167" s="3"/>
      <c r="J167" s="3"/>
      <c r="K167" s="3"/>
      <c r="L167" s="4"/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5" t="s">
        <v>4</v>
      </c>
      <c r="B168" s="10" t="s">
        <v>5</v>
      </c>
      <c r="C168" s="5" t="s">
        <v>6</v>
      </c>
      <c r="D168" s="10" t="s">
        <v>7</v>
      </c>
      <c r="E168" s="10" t="s">
        <v>8</v>
      </c>
      <c r="F168" s="3"/>
      <c r="G168" s="3"/>
      <c r="H168" s="3"/>
      <c r="I168" s="10" t="s">
        <v>7</v>
      </c>
      <c r="J168" s="10" t="s">
        <v>8</v>
      </c>
      <c r="K168" s="10" t="s">
        <v>10</v>
      </c>
      <c r="L168" s="4"/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91">
        <v>5.0</v>
      </c>
      <c r="B169" s="92" t="s">
        <v>38</v>
      </c>
      <c r="C169" s="88" t="s">
        <v>272</v>
      </c>
      <c r="D169" s="22">
        <v>18000.0</v>
      </c>
      <c r="E169" s="15">
        <f t="shared" ref="E169:E172" si="35">A169*D169</f>
        <v>90000</v>
      </c>
      <c r="F169" s="3"/>
      <c r="G169" s="3"/>
      <c r="H169" s="3"/>
      <c r="I169" s="22">
        <v>12000.0</v>
      </c>
      <c r="J169" s="15">
        <f t="shared" ref="J169:J172" si="36">I169*A169</f>
        <v>60000</v>
      </c>
      <c r="K169" s="15">
        <f t="shared" ref="K169:K172" si="37">E169-J169</f>
        <v>30000</v>
      </c>
      <c r="L169" s="23"/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91">
        <v>3.0</v>
      </c>
      <c r="B170" s="92" t="s">
        <v>18</v>
      </c>
      <c r="C170" s="88" t="s">
        <v>22</v>
      </c>
      <c r="D170" s="22">
        <v>10000.0</v>
      </c>
      <c r="E170" s="15">
        <f t="shared" si="35"/>
        <v>30000</v>
      </c>
      <c r="F170" s="3"/>
      <c r="G170" s="3"/>
      <c r="H170" s="3"/>
      <c r="I170" s="22">
        <v>5000.0</v>
      </c>
      <c r="J170" s="15">
        <f t="shared" si="36"/>
        <v>15000</v>
      </c>
      <c r="K170" s="15">
        <f t="shared" si="37"/>
        <v>15000</v>
      </c>
      <c r="L170" s="23"/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91">
        <v>3.0</v>
      </c>
      <c r="B171" s="92" t="s">
        <v>18</v>
      </c>
      <c r="C171" s="88" t="s">
        <v>23</v>
      </c>
      <c r="D171" s="22">
        <v>12000.0</v>
      </c>
      <c r="E171" s="15">
        <f t="shared" si="35"/>
        <v>36000</v>
      </c>
      <c r="F171" s="3"/>
      <c r="G171" s="3"/>
      <c r="H171" s="3"/>
      <c r="I171" s="22">
        <v>6000.0</v>
      </c>
      <c r="J171" s="15">
        <f t="shared" si="36"/>
        <v>18000</v>
      </c>
      <c r="K171" s="15">
        <f t="shared" si="37"/>
        <v>18000</v>
      </c>
      <c r="L171" s="23"/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91">
        <v>3.0</v>
      </c>
      <c r="B172" s="92" t="s">
        <v>18</v>
      </c>
      <c r="C172" s="88" t="s">
        <v>192</v>
      </c>
      <c r="D172" s="22">
        <v>10000.0</v>
      </c>
      <c r="E172" s="15">
        <f t="shared" si="35"/>
        <v>30000</v>
      </c>
      <c r="F172" s="3"/>
      <c r="G172" s="3"/>
      <c r="H172" s="3"/>
      <c r="I172" s="22">
        <v>6000.0</v>
      </c>
      <c r="J172" s="15">
        <f t="shared" si="36"/>
        <v>18000</v>
      </c>
      <c r="K172" s="15">
        <f t="shared" si="37"/>
        <v>12000</v>
      </c>
      <c r="L172" s="23"/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1"/>
      <c r="B173" s="3"/>
      <c r="C173" s="1"/>
      <c r="D173" s="3"/>
      <c r="E173" s="3"/>
      <c r="F173" s="3"/>
      <c r="G173" s="3"/>
      <c r="H173" s="3"/>
      <c r="I173" s="22" t="s">
        <v>13</v>
      </c>
      <c r="J173" s="15"/>
      <c r="K173" s="3"/>
      <c r="L173" s="23"/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1"/>
      <c r="B174" s="3"/>
      <c r="C174" s="1"/>
      <c r="D174" s="3"/>
      <c r="E174" s="15">
        <f>SUM(E169:E173)</f>
        <v>186000</v>
      </c>
      <c r="F174" s="3"/>
      <c r="G174" s="3"/>
      <c r="H174" s="3"/>
      <c r="I174" s="3"/>
      <c r="J174" s="3"/>
      <c r="K174" s="15">
        <f>SUM(K169:K172)</f>
        <v>75000</v>
      </c>
      <c r="L174" s="23">
        <f>K174/E174</f>
        <v>0.4032258065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24"/>
      <c r="B175" s="24"/>
      <c r="C175" s="24"/>
      <c r="D175" s="32"/>
      <c r="E175" s="7"/>
      <c r="F175" s="33"/>
      <c r="G175" s="25"/>
      <c r="H175" s="25"/>
      <c r="I175" s="16"/>
      <c r="J175" s="16"/>
      <c r="K175" s="16"/>
      <c r="L175" s="34"/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24"/>
      <c r="B176" s="24"/>
      <c r="C176" s="24"/>
      <c r="D176" s="32"/>
      <c r="E176" s="7"/>
      <c r="F176" s="33"/>
      <c r="G176" s="25"/>
      <c r="H176" s="25"/>
      <c r="I176" s="16"/>
      <c r="J176" s="16"/>
      <c r="K176" s="16"/>
      <c r="L176" s="34"/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5" t="s">
        <v>108</v>
      </c>
      <c r="B177" s="1"/>
      <c r="C177" s="1"/>
      <c r="D177" s="22" t="s">
        <v>227</v>
      </c>
      <c r="E177" s="82">
        <v>46062.0</v>
      </c>
      <c r="F177" s="3"/>
      <c r="G177" s="3"/>
      <c r="H177" s="3"/>
      <c r="I177" s="3"/>
      <c r="J177" s="3"/>
      <c r="K177" s="3"/>
      <c r="L177" s="4"/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1"/>
      <c r="B178" s="3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2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5" t="s">
        <v>4</v>
      </c>
      <c r="B179" s="10" t="s">
        <v>5</v>
      </c>
      <c r="C179" s="11" t="s">
        <v>6</v>
      </c>
      <c r="D179" s="10" t="s">
        <v>7</v>
      </c>
      <c r="E179" s="10" t="s">
        <v>8</v>
      </c>
      <c r="F179" s="3"/>
      <c r="G179" s="3"/>
      <c r="H179" s="3"/>
      <c r="I179" s="10" t="s">
        <v>7</v>
      </c>
      <c r="J179" s="10" t="s">
        <v>8</v>
      </c>
      <c r="K179" s="10" t="s">
        <v>10</v>
      </c>
      <c r="L179" s="4"/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91">
        <v>0.5</v>
      </c>
      <c r="B180" s="92" t="s">
        <v>18</v>
      </c>
      <c r="C180" s="93" t="s">
        <v>72</v>
      </c>
      <c r="D180" s="22">
        <v>32000.0</v>
      </c>
      <c r="E180" s="15">
        <f t="shared" ref="E180:E199" si="38">A180*D180</f>
        <v>16000</v>
      </c>
      <c r="F180" s="3"/>
      <c r="G180" s="3"/>
      <c r="H180" s="3"/>
      <c r="I180" s="22">
        <v>28000.0</v>
      </c>
      <c r="J180" s="15">
        <f t="shared" ref="J180:J199" si="39">I180*A180</f>
        <v>14000</v>
      </c>
      <c r="K180" s="15">
        <f t="shared" ref="K180:K199" si="40">E180-J180</f>
        <v>2000</v>
      </c>
      <c r="L180" s="4"/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91">
        <v>0.5</v>
      </c>
      <c r="B181" s="92" t="s">
        <v>18</v>
      </c>
      <c r="C181" s="93" t="s">
        <v>39</v>
      </c>
      <c r="D181" s="22">
        <v>16000.0</v>
      </c>
      <c r="E181" s="15">
        <f t="shared" si="38"/>
        <v>8000</v>
      </c>
      <c r="F181" s="3"/>
      <c r="G181" s="3"/>
      <c r="H181" s="3"/>
      <c r="I181" s="22">
        <v>11000.0</v>
      </c>
      <c r="J181" s="15">
        <f t="shared" si="39"/>
        <v>5500</v>
      </c>
      <c r="K181" s="15">
        <f t="shared" si="40"/>
        <v>2500</v>
      </c>
      <c r="L181" s="4"/>
      <c r="M181" s="2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91">
        <v>1.0</v>
      </c>
      <c r="B182" s="92" t="s">
        <v>33</v>
      </c>
      <c r="C182" s="93" t="s">
        <v>86</v>
      </c>
      <c r="D182" s="22">
        <v>4000.0</v>
      </c>
      <c r="E182" s="15">
        <f t="shared" si="38"/>
        <v>4000</v>
      </c>
      <c r="F182" s="3"/>
      <c r="G182" s="3"/>
      <c r="H182" s="86"/>
      <c r="I182" s="22">
        <v>3000.0</v>
      </c>
      <c r="J182" s="15">
        <f t="shared" si="39"/>
        <v>3000</v>
      </c>
      <c r="K182" s="15">
        <f t="shared" si="40"/>
        <v>1000</v>
      </c>
      <c r="L182" s="4"/>
      <c r="M182" s="2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91">
        <v>1.0</v>
      </c>
      <c r="B183" s="92" t="s">
        <v>38</v>
      </c>
      <c r="C183" s="93" t="s">
        <v>67</v>
      </c>
      <c r="D183" s="22">
        <v>13000.0</v>
      </c>
      <c r="E183" s="15">
        <f t="shared" si="38"/>
        <v>13000</v>
      </c>
      <c r="F183" s="3"/>
      <c r="G183" s="3"/>
      <c r="H183" s="3"/>
      <c r="I183" s="22">
        <v>9000.0</v>
      </c>
      <c r="J183" s="15">
        <f t="shared" si="39"/>
        <v>9000</v>
      </c>
      <c r="K183" s="15">
        <f t="shared" si="40"/>
        <v>4000</v>
      </c>
      <c r="L183" s="4"/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91">
        <v>20.0</v>
      </c>
      <c r="B184" s="92" t="s">
        <v>5</v>
      </c>
      <c r="C184" s="93" t="s">
        <v>87</v>
      </c>
      <c r="D184" s="22">
        <v>1300.0</v>
      </c>
      <c r="E184" s="15">
        <f t="shared" si="38"/>
        <v>26000</v>
      </c>
      <c r="F184" s="3"/>
      <c r="G184" s="3"/>
      <c r="H184" s="3"/>
      <c r="I184" s="87">
        <f>64000/80</f>
        <v>800</v>
      </c>
      <c r="J184" s="15">
        <f t="shared" si="39"/>
        <v>16000</v>
      </c>
      <c r="K184" s="15">
        <f t="shared" si="40"/>
        <v>10000</v>
      </c>
      <c r="L184" s="4"/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91">
        <v>1.0</v>
      </c>
      <c r="B185" s="92" t="s">
        <v>18</v>
      </c>
      <c r="C185" s="93" t="s">
        <v>195</v>
      </c>
      <c r="D185" s="22">
        <v>13000.0</v>
      </c>
      <c r="E185" s="15">
        <f t="shared" si="38"/>
        <v>13000</v>
      </c>
      <c r="F185" s="3"/>
      <c r="G185" s="3"/>
      <c r="H185" s="3"/>
      <c r="I185" s="22">
        <v>10000.0</v>
      </c>
      <c r="J185" s="15">
        <f t="shared" si="39"/>
        <v>10000</v>
      </c>
      <c r="K185" s="15">
        <f t="shared" si="40"/>
        <v>3000</v>
      </c>
      <c r="L185" s="4"/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91">
        <v>3.0</v>
      </c>
      <c r="B186" s="92" t="s">
        <v>33</v>
      </c>
      <c r="C186" s="93" t="s">
        <v>174</v>
      </c>
      <c r="D186" s="22">
        <v>1600.0</v>
      </c>
      <c r="E186" s="15">
        <f t="shared" si="38"/>
        <v>4800</v>
      </c>
      <c r="F186" s="3"/>
      <c r="G186" s="3"/>
      <c r="H186" s="3"/>
      <c r="I186" s="87">
        <v>1000.0</v>
      </c>
      <c r="J186" s="15">
        <f t="shared" si="39"/>
        <v>3000</v>
      </c>
      <c r="K186" s="15">
        <f t="shared" si="40"/>
        <v>1800</v>
      </c>
      <c r="L186" s="4"/>
      <c r="M186" s="2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91">
        <v>1.0</v>
      </c>
      <c r="B187" s="92" t="s">
        <v>33</v>
      </c>
      <c r="C187" s="93" t="s">
        <v>25</v>
      </c>
      <c r="D187" s="22">
        <v>2500.0</v>
      </c>
      <c r="E187" s="15">
        <f t="shared" si="38"/>
        <v>2500</v>
      </c>
      <c r="F187" s="3"/>
      <c r="G187" s="3"/>
      <c r="H187" s="3"/>
      <c r="I187" s="87">
        <f>12000/7</f>
        <v>1714.285714</v>
      </c>
      <c r="J187" s="15">
        <f t="shared" si="39"/>
        <v>1714.285714</v>
      </c>
      <c r="K187" s="15">
        <f t="shared" si="40"/>
        <v>785.7142857</v>
      </c>
      <c r="L187" s="4"/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91">
        <v>1.0</v>
      </c>
      <c r="B188" s="92" t="s">
        <v>18</v>
      </c>
      <c r="C188" s="93" t="s">
        <v>21</v>
      </c>
      <c r="D188" s="22">
        <v>58000.0</v>
      </c>
      <c r="E188" s="15">
        <f t="shared" si="38"/>
        <v>58000</v>
      </c>
      <c r="F188" s="3"/>
      <c r="G188" s="3"/>
      <c r="H188" s="3"/>
      <c r="I188" s="22">
        <v>50000.0</v>
      </c>
      <c r="J188" s="15">
        <f t="shared" si="39"/>
        <v>50000</v>
      </c>
      <c r="K188" s="15">
        <f t="shared" si="40"/>
        <v>8000</v>
      </c>
      <c r="L188" s="4"/>
      <c r="M188" s="2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91">
        <v>2.0</v>
      </c>
      <c r="B189" s="92" t="s">
        <v>5</v>
      </c>
      <c r="C189" s="93" t="s">
        <v>118</v>
      </c>
      <c r="D189" s="22">
        <v>2500.0</v>
      </c>
      <c r="E189" s="15">
        <f t="shared" si="38"/>
        <v>5000</v>
      </c>
      <c r="F189" s="3"/>
      <c r="G189" s="3"/>
      <c r="H189" s="3"/>
      <c r="I189" s="15">
        <f>15000/13</f>
        <v>1153.846154</v>
      </c>
      <c r="J189" s="15">
        <f t="shared" si="39"/>
        <v>2307.692308</v>
      </c>
      <c r="K189" s="15">
        <f t="shared" si="40"/>
        <v>2692.307692</v>
      </c>
      <c r="L189" s="4"/>
      <c r="M189" s="2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91">
        <v>1.0</v>
      </c>
      <c r="B190" s="92" t="s">
        <v>33</v>
      </c>
      <c r="C190" s="93" t="s">
        <v>26</v>
      </c>
      <c r="D190" s="22">
        <v>4000.0</v>
      </c>
      <c r="E190" s="15">
        <f t="shared" si="38"/>
        <v>4000</v>
      </c>
      <c r="F190" s="3"/>
      <c r="G190" s="3"/>
      <c r="H190" s="3"/>
      <c r="I190" s="87">
        <f>20000/8</f>
        <v>2500</v>
      </c>
      <c r="J190" s="15">
        <f t="shared" si="39"/>
        <v>2500</v>
      </c>
      <c r="K190" s="15">
        <f t="shared" si="40"/>
        <v>1500</v>
      </c>
      <c r="L190" s="4"/>
      <c r="M190" s="2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91">
        <v>1.0</v>
      </c>
      <c r="B191" s="10" t="s">
        <v>33</v>
      </c>
      <c r="C191" s="93" t="s">
        <v>22</v>
      </c>
      <c r="D191" s="22">
        <v>1200.0</v>
      </c>
      <c r="E191" s="15">
        <f t="shared" si="38"/>
        <v>1200</v>
      </c>
      <c r="F191" s="3"/>
      <c r="G191" s="3"/>
      <c r="H191" s="86"/>
      <c r="I191" s="87">
        <f>7000/15</f>
        <v>466.6666667</v>
      </c>
      <c r="J191" s="15">
        <f t="shared" si="39"/>
        <v>466.6666667</v>
      </c>
      <c r="K191" s="15">
        <f t="shared" si="40"/>
        <v>733.3333333</v>
      </c>
      <c r="L191" s="4"/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91">
        <v>1.0</v>
      </c>
      <c r="B192" s="92" t="s">
        <v>33</v>
      </c>
      <c r="C192" s="93" t="s">
        <v>23</v>
      </c>
      <c r="D192" s="22">
        <v>1800.0</v>
      </c>
      <c r="E192" s="15">
        <f t="shared" si="38"/>
        <v>1800</v>
      </c>
      <c r="F192" s="3"/>
      <c r="G192" s="3"/>
      <c r="H192" s="3"/>
      <c r="I192" s="22">
        <v>600.0</v>
      </c>
      <c r="J192" s="15">
        <f t="shared" si="39"/>
        <v>600</v>
      </c>
      <c r="K192" s="15">
        <f t="shared" si="40"/>
        <v>1200</v>
      </c>
      <c r="L192" s="4"/>
      <c r="M192" s="2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91">
        <v>5.0</v>
      </c>
      <c r="B193" s="92" t="s">
        <v>5</v>
      </c>
      <c r="C193" s="93" t="s">
        <v>176</v>
      </c>
      <c r="D193" s="22">
        <v>900.0</v>
      </c>
      <c r="E193" s="15">
        <f t="shared" si="38"/>
        <v>4500</v>
      </c>
      <c r="F193" s="3"/>
      <c r="G193" s="3"/>
      <c r="H193" s="3"/>
      <c r="I193" s="87">
        <f>23000/50</f>
        <v>460</v>
      </c>
      <c r="J193" s="15">
        <f t="shared" si="39"/>
        <v>2300</v>
      </c>
      <c r="K193" s="15">
        <f t="shared" si="40"/>
        <v>2200</v>
      </c>
      <c r="L193" s="4"/>
      <c r="M193" s="2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91">
        <v>4.0</v>
      </c>
      <c r="B194" s="92" t="s">
        <v>38</v>
      </c>
      <c r="C194" s="93" t="s">
        <v>179</v>
      </c>
      <c r="D194" s="22">
        <v>22000.0</v>
      </c>
      <c r="E194" s="15">
        <f t="shared" si="38"/>
        <v>88000</v>
      </c>
      <c r="F194" s="3"/>
      <c r="G194" s="3"/>
      <c r="H194" s="3"/>
      <c r="I194" s="22">
        <v>19000.0</v>
      </c>
      <c r="J194" s="15">
        <f t="shared" si="39"/>
        <v>76000</v>
      </c>
      <c r="K194" s="15">
        <f t="shared" si="40"/>
        <v>12000</v>
      </c>
      <c r="L194" s="4"/>
      <c r="M194" s="2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91">
        <v>1.0</v>
      </c>
      <c r="B195" s="10" t="s">
        <v>18</v>
      </c>
      <c r="C195" s="93" t="s">
        <v>65</v>
      </c>
      <c r="D195" s="22">
        <v>9000.0</v>
      </c>
      <c r="E195" s="15">
        <f t="shared" si="38"/>
        <v>9000</v>
      </c>
      <c r="F195" s="3"/>
      <c r="G195" s="3"/>
      <c r="H195" s="3"/>
      <c r="I195" s="22">
        <v>5000.0</v>
      </c>
      <c r="J195" s="15">
        <f t="shared" si="39"/>
        <v>5000</v>
      </c>
      <c r="K195" s="15">
        <f t="shared" si="40"/>
        <v>4000</v>
      </c>
      <c r="L195" s="4"/>
      <c r="M195" s="2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91">
        <v>1.0</v>
      </c>
      <c r="B196" s="92" t="s">
        <v>18</v>
      </c>
      <c r="C196" s="93" t="s">
        <v>194</v>
      </c>
      <c r="D196" s="22">
        <v>14000.0</v>
      </c>
      <c r="E196" s="15">
        <f t="shared" si="38"/>
        <v>14000</v>
      </c>
      <c r="F196" s="3"/>
      <c r="G196" s="3"/>
      <c r="H196" s="3"/>
      <c r="I196" s="22">
        <v>8000.0</v>
      </c>
      <c r="J196" s="15">
        <f t="shared" si="39"/>
        <v>8000</v>
      </c>
      <c r="K196" s="15">
        <f t="shared" si="40"/>
        <v>6000</v>
      </c>
      <c r="L196" s="4"/>
      <c r="M196" s="2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91">
        <v>6.0</v>
      </c>
      <c r="B197" s="92" t="s">
        <v>33</v>
      </c>
      <c r="C197" s="93" t="s">
        <v>64</v>
      </c>
      <c r="D197" s="22">
        <v>1800.0</v>
      </c>
      <c r="E197" s="15">
        <f t="shared" si="38"/>
        <v>10800</v>
      </c>
      <c r="F197" s="3"/>
      <c r="G197" s="3"/>
      <c r="H197" s="3"/>
      <c r="I197" s="22">
        <v>1000.0</v>
      </c>
      <c r="J197" s="15">
        <f t="shared" si="39"/>
        <v>6000</v>
      </c>
      <c r="K197" s="15">
        <f t="shared" si="40"/>
        <v>4800</v>
      </c>
      <c r="L197" s="4"/>
      <c r="M197" s="2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>
      <c r="A198" s="91">
        <v>2.0</v>
      </c>
      <c r="B198" s="92" t="s">
        <v>50</v>
      </c>
      <c r="C198" s="93" t="s">
        <v>16</v>
      </c>
      <c r="D198" s="22">
        <v>800.0</v>
      </c>
      <c r="E198" s="15">
        <f t="shared" si="38"/>
        <v>1600</v>
      </c>
      <c r="F198" s="3"/>
      <c r="G198" s="3"/>
      <c r="H198" s="3"/>
      <c r="I198" s="87">
        <f>9000/24</f>
        <v>375</v>
      </c>
      <c r="J198" s="15">
        <f t="shared" si="39"/>
        <v>750</v>
      </c>
      <c r="K198" s="15">
        <f t="shared" si="40"/>
        <v>850</v>
      </c>
      <c r="L198" s="4"/>
      <c r="M198" s="2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>
      <c r="A199" s="91">
        <v>1.0</v>
      </c>
      <c r="B199" s="92" t="s">
        <v>50</v>
      </c>
      <c r="C199" s="93" t="s">
        <v>68</v>
      </c>
      <c r="D199" s="22">
        <v>3000.0</v>
      </c>
      <c r="E199" s="15">
        <f t="shared" si="38"/>
        <v>3000</v>
      </c>
      <c r="F199" s="3"/>
      <c r="G199" s="3"/>
      <c r="H199" s="3"/>
      <c r="I199" s="87">
        <v>2000.0</v>
      </c>
      <c r="J199" s="15">
        <f t="shared" si="39"/>
        <v>2000</v>
      </c>
      <c r="K199" s="15">
        <f t="shared" si="40"/>
        <v>1000</v>
      </c>
      <c r="L199" s="4"/>
      <c r="M199" s="2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1"/>
      <c r="B200" s="3"/>
      <c r="C200" s="2"/>
      <c r="D200" s="3"/>
      <c r="E200" s="3"/>
      <c r="F200" s="3"/>
      <c r="G200" s="2"/>
      <c r="H200" s="3"/>
      <c r="I200" s="3"/>
      <c r="J200" s="3"/>
      <c r="K200" s="3"/>
      <c r="L200" s="4"/>
      <c r="M200" s="2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A201" s="1"/>
      <c r="B201" s="3"/>
      <c r="C201" s="2"/>
      <c r="D201" s="3"/>
      <c r="E201" s="15">
        <f>SUM(E180:E200)</f>
        <v>288200</v>
      </c>
      <c r="F201" s="3"/>
      <c r="G201" s="3"/>
      <c r="H201" s="3"/>
      <c r="I201" s="3"/>
      <c r="J201" s="3"/>
      <c r="K201" s="15">
        <f>SUM(K180:K199)</f>
        <v>70061.35531</v>
      </c>
      <c r="L201" s="23">
        <f>K201/E201</f>
        <v>0.2430997755</v>
      </c>
      <c r="M201" s="2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30"/>
      <c r="B202" s="31"/>
      <c r="C202" s="2"/>
      <c r="D202" s="3"/>
      <c r="E202" s="3"/>
      <c r="F202" s="3"/>
      <c r="G202" s="2"/>
      <c r="H202" s="2"/>
      <c r="I202" s="2"/>
      <c r="J202" s="2"/>
      <c r="K202" s="3"/>
      <c r="L202" s="4"/>
      <c r="M202" s="2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30"/>
      <c r="B203" s="31"/>
      <c r="C203" s="2"/>
      <c r="D203" s="3"/>
      <c r="E203" s="3"/>
      <c r="F203" s="3"/>
      <c r="G203" s="2"/>
      <c r="H203" s="2"/>
      <c r="I203" s="2"/>
      <c r="J203" s="2"/>
      <c r="K203" s="3"/>
      <c r="L203" s="4"/>
      <c r="M203" s="2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30"/>
      <c r="B204" s="31"/>
      <c r="C204" s="2"/>
      <c r="D204" s="3"/>
      <c r="E204" s="3"/>
      <c r="F204" s="3"/>
      <c r="G204" s="2"/>
      <c r="H204" s="2"/>
      <c r="I204" s="2"/>
      <c r="J204" s="2"/>
      <c r="K204" s="3"/>
      <c r="L204" s="4"/>
      <c r="M204" s="2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30"/>
      <c r="B205" s="31"/>
      <c r="C205" s="2"/>
      <c r="D205" s="3"/>
      <c r="E205" s="3"/>
      <c r="F205" s="3"/>
      <c r="G205" s="2"/>
      <c r="H205" s="2"/>
      <c r="I205" s="2"/>
      <c r="J205" s="2"/>
      <c r="K205" s="3"/>
      <c r="L205" s="4"/>
      <c r="M205" s="2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24" t="s">
        <v>115</v>
      </c>
      <c r="B206" s="1"/>
      <c r="C206" s="1"/>
      <c r="D206" s="22" t="s">
        <v>273</v>
      </c>
      <c r="E206" s="82">
        <v>46062.0</v>
      </c>
      <c r="F206" s="6"/>
      <c r="G206" s="3"/>
      <c r="H206" s="3"/>
      <c r="I206" s="3"/>
      <c r="J206" s="3"/>
      <c r="K206" s="3"/>
      <c r="L206" s="4"/>
      <c r="M206" s="2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1"/>
      <c r="B207" s="3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2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5" t="s">
        <v>4</v>
      </c>
      <c r="B208" s="10" t="s">
        <v>5</v>
      </c>
      <c r="C208" s="11" t="s">
        <v>6</v>
      </c>
      <c r="D208" s="10" t="s">
        <v>7</v>
      </c>
      <c r="E208" s="10" t="s">
        <v>8</v>
      </c>
      <c r="F208" s="3"/>
      <c r="G208" s="3"/>
      <c r="H208" s="3"/>
      <c r="I208" s="10" t="s">
        <v>7</v>
      </c>
      <c r="J208" s="10" t="s">
        <v>8</v>
      </c>
      <c r="K208" s="10" t="s">
        <v>10</v>
      </c>
      <c r="L208" s="4"/>
      <c r="M208" s="2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>
      <c r="A209" s="91">
        <v>2.0</v>
      </c>
      <c r="B209" s="92" t="s">
        <v>38</v>
      </c>
      <c r="C209" s="93" t="s">
        <v>179</v>
      </c>
      <c r="D209" s="22">
        <v>22000.0</v>
      </c>
      <c r="E209" s="15">
        <f t="shared" ref="E209:E225" si="41">A209*D209</f>
        <v>44000</v>
      </c>
      <c r="F209" s="3"/>
      <c r="G209" s="3"/>
      <c r="H209" s="3"/>
      <c r="I209" s="22">
        <v>19000.0</v>
      </c>
      <c r="J209" s="15">
        <f t="shared" ref="J209:J225" si="42">I209*A209</f>
        <v>38000</v>
      </c>
      <c r="K209" s="15">
        <f t="shared" ref="K209:K225" si="43">E209-J209</f>
        <v>6000</v>
      </c>
      <c r="L209" s="4"/>
      <c r="M209" s="2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91">
        <v>0.5</v>
      </c>
      <c r="B210" s="10" t="s">
        <v>18</v>
      </c>
      <c r="C210" s="93" t="s">
        <v>21</v>
      </c>
      <c r="D210" s="22">
        <v>58000.0</v>
      </c>
      <c r="E210" s="15">
        <f t="shared" si="41"/>
        <v>29000</v>
      </c>
      <c r="F210" s="3"/>
      <c r="G210" s="3"/>
      <c r="H210" s="3"/>
      <c r="I210" s="22">
        <v>50000.0</v>
      </c>
      <c r="J210" s="15">
        <f t="shared" si="42"/>
        <v>25000</v>
      </c>
      <c r="K210" s="15">
        <f t="shared" si="43"/>
        <v>4000</v>
      </c>
      <c r="L210" s="4"/>
      <c r="M210" s="2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91">
        <v>4.0</v>
      </c>
      <c r="B211" s="92" t="s">
        <v>5</v>
      </c>
      <c r="C211" s="93" t="s">
        <v>176</v>
      </c>
      <c r="D211" s="22">
        <v>900.0</v>
      </c>
      <c r="E211" s="15">
        <f t="shared" si="41"/>
        <v>3600</v>
      </c>
      <c r="F211" s="3"/>
      <c r="G211" s="3"/>
      <c r="H211" s="3"/>
      <c r="I211" s="87">
        <f>23000/50</f>
        <v>460</v>
      </c>
      <c r="J211" s="15">
        <f t="shared" si="42"/>
        <v>1840</v>
      </c>
      <c r="K211" s="15">
        <f t="shared" si="43"/>
        <v>1760</v>
      </c>
      <c r="L211" s="4"/>
      <c r="M211" s="2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>
      <c r="A212" s="91">
        <v>1.0</v>
      </c>
      <c r="B212" s="92" t="s">
        <v>50</v>
      </c>
      <c r="C212" s="93" t="s">
        <v>104</v>
      </c>
      <c r="D212" s="22">
        <v>2000.0</v>
      </c>
      <c r="E212" s="15">
        <f t="shared" si="41"/>
        <v>2000</v>
      </c>
      <c r="F212" s="3"/>
      <c r="G212" s="3"/>
      <c r="H212" s="3"/>
      <c r="I212" s="22">
        <v>1500.0</v>
      </c>
      <c r="J212" s="15">
        <f t="shared" si="42"/>
        <v>1500</v>
      </c>
      <c r="K212" s="15">
        <f t="shared" si="43"/>
        <v>500</v>
      </c>
      <c r="L212" s="4"/>
      <c r="M212" s="2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91">
        <v>0.5</v>
      </c>
      <c r="B213" s="92" t="s">
        <v>18</v>
      </c>
      <c r="C213" s="93" t="s">
        <v>237</v>
      </c>
      <c r="D213" s="22">
        <v>16000.0</v>
      </c>
      <c r="E213" s="15">
        <f t="shared" si="41"/>
        <v>8000</v>
      </c>
      <c r="F213" s="3"/>
      <c r="G213" s="3"/>
      <c r="H213" s="3"/>
      <c r="I213" s="22">
        <v>11000.0</v>
      </c>
      <c r="J213" s="15">
        <f t="shared" si="42"/>
        <v>5500</v>
      </c>
      <c r="K213" s="15">
        <f t="shared" si="43"/>
        <v>2500</v>
      </c>
      <c r="L213" s="4"/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91">
        <v>0.5</v>
      </c>
      <c r="B214" s="92" t="s">
        <v>18</v>
      </c>
      <c r="C214" s="93" t="s">
        <v>72</v>
      </c>
      <c r="D214" s="22">
        <v>32000.0</v>
      </c>
      <c r="E214" s="15">
        <f t="shared" si="41"/>
        <v>16000</v>
      </c>
      <c r="F214" s="3"/>
      <c r="G214" s="3"/>
      <c r="H214" s="3"/>
      <c r="I214" s="22">
        <v>28000.0</v>
      </c>
      <c r="J214" s="15">
        <f t="shared" si="42"/>
        <v>14000</v>
      </c>
      <c r="K214" s="15">
        <f t="shared" si="43"/>
        <v>2000</v>
      </c>
      <c r="L214" s="4"/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91">
        <v>6.0</v>
      </c>
      <c r="B215" s="10" t="s">
        <v>33</v>
      </c>
      <c r="C215" s="93" t="s">
        <v>64</v>
      </c>
      <c r="D215" s="22">
        <v>1800.0</v>
      </c>
      <c r="E215" s="15">
        <f t="shared" si="41"/>
        <v>10800</v>
      </c>
      <c r="F215" s="3"/>
      <c r="G215" s="3"/>
      <c r="H215" s="3"/>
      <c r="I215" s="22">
        <v>1000.0</v>
      </c>
      <c r="J215" s="15">
        <f t="shared" si="42"/>
        <v>6000</v>
      </c>
      <c r="K215" s="15">
        <f t="shared" si="43"/>
        <v>4800</v>
      </c>
      <c r="L215" s="4"/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>
      <c r="A216" s="91">
        <v>6.0</v>
      </c>
      <c r="B216" s="92" t="s">
        <v>33</v>
      </c>
      <c r="C216" s="93" t="s">
        <v>67</v>
      </c>
      <c r="D216" s="22">
        <v>900.0</v>
      </c>
      <c r="E216" s="15">
        <f t="shared" si="41"/>
        <v>5400</v>
      </c>
      <c r="F216" s="3"/>
      <c r="G216" s="3"/>
      <c r="H216" s="3"/>
      <c r="I216" s="22">
        <v>500.0</v>
      </c>
      <c r="J216" s="15">
        <f t="shared" si="42"/>
        <v>3000</v>
      </c>
      <c r="K216" s="15">
        <f t="shared" si="43"/>
        <v>2400</v>
      </c>
      <c r="L216" s="4"/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A217" s="91">
        <v>3.0</v>
      </c>
      <c r="B217" s="92" t="s">
        <v>33</v>
      </c>
      <c r="C217" s="93" t="s">
        <v>24</v>
      </c>
      <c r="D217" s="22">
        <v>4000.0</v>
      </c>
      <c r="E217" s="15">
        <f t="shared" si="41"/>
        <v>12000</v>
      </c>
      <c r="F217" s="3"/>
      <c r="G217" s="3"/>
      <c r="H217" s="3"/>
      <c r="I217" s="22">
        <f>25000/8</f>
        <v>3125</v>
      </c>
      <c r="J217" s="15">
        <f t="shared" si="42"/>
        <v>9375</v>
      </c>
      <c r="K217" s="15">
        <f t="shared" si="43"/>
        <v>2625</v>
      </c>
      <c r="L217" s="4"/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A218" s="91">
        <v>12.0</v>
      </c>
      <c r="B218" s="92" t="s">
        <v>5</v>
      </c>
      <c r="C218" s="93" t="s">
        <v>87</v>
      </c>
      <c r="D218" s="22">
        <v>1300.0</v>
      </c>
      <c r="E218" s="15">
        <f t="shared" si="41"/>
        <v>15600</v>
      </c>
      <c r="F218" s="3"/>
      <c r="G218" s="3"/>
      <c r="H218" s="3"/>
      <c r="I218" s="87">
        <f>64000/80</f>
        <v>800</v>
      </c>
      <c r="J218" s="15">
        <f t="shared" si="42"/>
        <v>9600</v>
      </c>
      <c r="K218" s="15">
        <f t="shared" si="43"/>
        <v>6000</v>
      </c>
      <c r="L218" s="4"/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91">
        <v>1.0</v>
      </c>
      <c r="B219" s="92" t="s">
        <v>50</v>
      </c>
      <c r="C219" s="93" t="s">
        <v>171</v>
      </c>
      <c r="D219" s="22">
        <v>3000.0</v>
      </c>
      <c r="E219" s="15">
        <f t="shared" si="41"/>
        <v>3000</v>
      </c>
      <c r="F219" s="3"/>
      <c r="G219" s="3"/>
      <c r="H219" s="3"/>
      <c r="I219" s="22">
        <v>2000.0</v>
      </c>
      <c r="J219" s="15">
        <f t="shared" si="42"/>
        <v>2000</v>
      </c>
      <c r="K219" s="15">
        <f t="shared" si="43"/>
        <v>1000</v>
      </c>
      <c r="L219" s="4"/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>
      <c r="A220" s="91">
        <v>1.0</v>
      </c>
      <c r="B220" s="92" t="s">
        <v>50</v>
      </c>
      <c r="C220" s="93" t="s">
        <v>235</v>
      </c>
      <c r="D220" s="22">
        <v>3000.0</v>
      </c>
      <c r="E220" s="15">
        <f t="shared" si="41"/>
        <v>3000</v>
      </c>
      <c r="F220" s="3"/>
      <c r="G220" s="3"/>
      <c r="H220" s="3"/>
      <c r="I220" s="22">
        <v>2000.0</v>
      </c>
      <c r="J220" s="15">
        <f t="shared" si="42"/>
        <v>2000</v>
      </c>
      <c r="K220" s="15">
        <f t="shared" si="43"/>
        <v>1000</v>
      </c>
      <c r="L220" s="4"/>
      <c r="M220" s="2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>
      <c r="A221" s="91">
        <v>1.0</v>
      </c>
      <c r="B221" s="92" t="s">
        <v>18</v>
      </c>
      <c r="C221" s="93" t="s">
        <v>65</v>
      </c>
      <c r="D221" s="22">
        <v>9000.0</v>
      </c>
      <c r="E221" s="15">
        <f t="shared" si="41"/>
        <v>9000</v>
      </c>
      <c r="F221" s="3"/>
      <c r="G221" s="3"/>
      <c r="H221" s="3"/>
      <c r="I221" s="22">
        <v>5000.0</v>
      </c>
      <c r="J221" s="15">
        <f t="shared" si="42"/>
        <v>5000</v>
      </c>
      <c r="K221" s="15">
        <f t="shared" si="43"/>
        <v>4000</v>
      </c>
      <c r="L221" s="4"/>
      <c r="M221" s="2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>
      <c r="A222" s="91">
        <v>0.5</v>
      </c>
      <c r="B222" s="92" t="s">
        <v>18</v>
      </c>
      <c r="C222" s="93" t="s">
        <v>194</v>
      </c>
      <c r="D222" s="22">
        <v>14000.0</v>
      </c>
      <c r="E222" s="15">
        <f t="shared" si="41"/>
        <v>7000</v>
      </c>
      <c r="F222" s="3"/>
      <c r="G222" s="3"/>
      <c r="H222" s="3"/>
      <c r="I222" s="22">
        <v>8000.0</v>
      </c>
      <c r="J222" s="15">
        <f t="shared" si="42"/>
        <v>4000</v>
      </c>
      <c r="K222" s="15">
        <f t="shared" si="43"/>
        <v>3000</v>
      </c>
      <c r="L222" s="4"/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>
      <c r="A223" s="91">
        <v>0.5</v>
      </c>
      <c r="B223" s="92" t="s">
        <v>18</v>
      </c>
      <c r="C223" s="93" t="s">
        <v>195</v>
      </c>
      <c r="D223" s="22">
        <v>13000.0</v>
      </c>
      <c r="E223" s="15">
        <f t="shared" si="41"/>
        <v>6500</v>
      </c>
      <c r="F223" s="3"/>
      <c r="G223" s="3"/>
      <c r="H223" s="3"/>
      <c r="I223" s="22">
        <v>10000.0</v>
      </c>
      <c r="J223" s="15">
        <f t="shared" si="42"/>
        <v>5000</v>
      </c>
      <c r="K223" s="15">
        <f t="shared" si="43"/>
        <v>1500</v>
      </c>
      <c r="L223" s="4"/>
      <c r="M223" s="2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91">
        <v>1.0</v>
      </c>
      <c r="B224" s="92" t="s">
        <v>18</v>
      </c>
      <c r="C224" s="93" t="s">
        <v>20</v>
      </c>
      <c r="D224" s="22">
        <v>25000.0</v>
      </c>
      <c r="E224" s="15">
        <f t="shared" si="41"/>
        <v>25000</v>
      </c>
      <c r="F224" s="3"/>
      <c r="G224" s="3"/>
      <c r="H224" s="3"/>
      <c r="I224" s="22">
        <v>12000.0</v>
      </c>
      <c r="J224" s="15">
        <f t="shared" si="42"/>
        <v>12000</v>
      </c>
      <c r="K224" s="15">
        <f t="shared" si="43"/>
        <v>13000</v>
      </c>
      <c r="L224" s="4"/>
      <c r="M224" s="2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>
      <c r="A225" s="26">
        <v>1.0</v>
      </c>
      <c r="B225" s="92" t="s">
        <v>18</v>
      </c>
      <c r="C225" s="93" t="s">
        <v>86</v>
      </c>
      <c r="D225" s="22">
        <v>4000.0</v>
      </c>
      <c r="E225" s="15">
        <f t="shared" si="41"/>
        <v>4000</v>
      </c>
      <c r="F225" s="3"/>
      <c r="G225" s="3"/>
      <c r="H225" s="3"/>
      <c r="I225" s="22">
        <v>3000.0</v>
      </c>
      <c r="J225" s="15">
        <f t="shared" si="42"/>
        <v>3000</v>
      </c>
      <c r="K225" s="15">
        <f t="shared" si="43"/>
        <v>1000</v>
      </c>
      <c r="L225" s="4"/>
      <c r="M225" s="2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>
      <c r="A226" s="1"/>
      <c r="B226" s="3"/>
      <c r="C226" s="2"/>
      <c r="D226" s="3"/>
      <c r="E226" s="3"/>
      <c r="F226" s="3"/>
      <c r="G226" s="2"/>
      <c r="H226" s="3"/>
      <c r="I226" s="3"/>
      <c r="J226" s="3"/>
      <c r="K226" s="3"/>
      <c r="L226" s="4"/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>
      <c r="A227" s="1"/>
      <c r="B227" s="3"/>
      <c r="C227" s="2"/>
      <c r="D227" s="3"/>
      <c r="E227" s="15">
        <f>SUM(E209:E226)</f>
        <v>203900</v>
      </c>
      <c r="F227" s="3"/>
      <c r="G227" s="3"/>
      <c r="H227" s="3"/>
      <c r="I227" s="3"/>
      <c r="J227" s="3"/>
      <c r="K227" s="15">
        <f>SUM(K209:K225)</f>
        <v>57085</v>
      </c>
      <c r="L227" s="23">
        <f>K227/E227</f>
        <v>0.2799656694</v>
      </c>
      <c r="M227" s="2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24"/>
      <c r="B228" s="24"/>
      <c r="C228" s="24"/>
      <c r="D228" s="32"/>
      <c r="E228" s="7"/>
      <c r="F228" s="33"/>
      <c r="G228" s="25"/>
      <c r="H228" s="25"/>
      <c r="I228" s="16"/>
      <c r="J228" s="16"/>
      <c r="K228" s="16"/>
      <c r="L228" s="34"/>
      <c r="M228" s="2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>
      <c r="A229" s="89" t="s">
        <v>73</v>
      </c>
      <c r="B229" s="1"/>
      <c r="C229" s="1"/>
      <c r="D229" s="22" t="s">
        <v>223</v>
      </c>
      <c r="E229" s="82">
        <v>46062.0</v>
      </c>
      <c r="F229" s="6"/>
      <c r="G229" s="3"/>
      <c r="H229" s="3"/>
      <c r="I229" s="3"/>
      <c r="J229" s="3"/>
      <c r="K229" s="3"/>
      <c r="L229" s="4"/>
      <c r="M229" s="2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1"/>
      <c r="B230" s="3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2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>
      <c r="A231" s="5" t="s">
        <v>4</v>
      </c>
      <c r="B231" s="10" t="s">
        <v>5</v>
      </c>
      <c r="C231" s="11" t="s">
        <v>6</v>
      </c>
      <c r="D231" s="10" t="s">
        <v>7</v>
      </c>
      <c r="E231" s="10" t="s">
        <v>8</v>
      </c>
      <c r="F231" s="3"/>
      <c r="G231" s="3"/>
      <c r="H231" s="3"/>
      <c r="I231" s="10" t="s">
        <v>7</v>
      </c>
      <c r="J231" s="10" t="s">
        <v>8</v>
      </c>
      <c r="K231" s="10" t="s">
        <v>10</v>
      </c>
      <c r="L231" s="4"/>
      <c r="M231" s="2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>
      <c r="A232" s="91">
        <v>18.0</v>
      </c>
      <c r="B232" s="92" t="s">
        <v>231</v>
      </c>
      <c r="C232" s="93" t="s">
        <v>21</v>
      </c>
      <c r="D232" s="22">
        <v>5200.0</v>
      </c>
      <c r="E232" s="15">
        <f t="shared" ref="E232:E249" si="44">A232*D232</f>
        <v>93600</v>
      </c>
      <c r="F232" s="3"/>
      <c r="G232" s="3"/>
      <c r="H232" s="3"/>
      <c r="I232" s="22">
        <f>50000/12</f>
        <v>4166.666667</v>
      </c>
      <c r="J232" s="15">
        <f t="shared" ref="J232:J249" si="45">I232*A232</f>
        <v>75000</v>
      </c>
      <c r="K232" s="15">
        <f t="shared" ref="K232:K249" si="46">E232-J232</f>
        <v>18600</v>
      </c>
      <c r="L232" s="4"/>
      <c r="M232" s="2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>
      <c r="A233" s="91">
        <v>1.0</v>
      </c>
      <c r="B233" s="92" t="s">
        <v>33</v>
      </c>
      <c r="C233" s="93" t="s">
        <v>24</v>
      </c>
      <c r="D233" s="22">
        <v>4000.0</v>
      </c>
      <c r="E233" s="15">
        <f t="shared" si="44"/>
        <v>4000</v>
      </c>
      <c r="F233" s="3"/>
      <c r="G233" s="3"/>
      <c r="H233" s="3"/>
      <c r="I233" s="22">
        <f>25000/8</f>
        <v>3125</v>
      </c>
      <c r="J233" s="15">
        <f t="shared" si="45"/>
        <v>3125</v>
      </c>
      <c r="K233" s="15">
        <f t="shared" si="46"/>
        <v>875</v>
      </c>
      <c r="L233" s="4"/>
      <c r="M233" s="2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91">
        <v>1.0</v>
      </c>
      <c r="B234" s="92" t="s">
        <v>18</v>
      </c>
      <c r="C234" s="93" t="s">
        <v>192</v>
      </c>
      <c r="D234" s="22">
        <v>12000.0</v>
      </c>
      <c r="E234" s="15">
        <f t="shared" si="44"/>
        <v>12000</v>
      </c>
      <c r="F234" s="3"/>
      <c r="G234" s="3"/>
      <c r="H234" s="3"/>
      <c r="I234" s="22">
        <v>6000.0</v>
      </c>
      <c r="J234" s="15">
        <f t="shared" si="45"/>
        <v>6000</v>
      </c>
      <c r="K234" s="15">
        <f t="shared" si="46"/>
        <v>6000</v>
      </c>
      <c r="L234" s="4"/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>
      <c r="A235" s="91">
        <v>2.0</v>
      </c>
      <c r="B235" s="92" t="s">
        <v>38</v>
      </c>
      <c r="C235" s="93" t="s">
        <v>45</v>
      </c>
      <c r="D235" s="22">
        <v>13000.0</v>
      </c>
      <c r="E235" s="15">
        <f t="shared" si="44"/>
        <v>26000</v>
      </c>
      <c r="F235" s="3"/>
      <c r="G235" s="3"/>
      <c r="H235" s="3"/>
      <c r="I235" s="22">
        <v>8000.0</v>
      </c>
      <c r="J235" s="15">
        <f t="shared" si="45"/>
        <v>16000</v>
      </c>
      <c r="K235" s="15">
        <f t="shared" si="46"/>
        <v>10000</v>
      </c>
      <c r="L235" s="4"/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>
      <c r="A236" s="91">
        <v>10.0</v>
      </c>
      <c r="B236" s="92" t="s">
        <v>33</v>
      </c>
      <c r="C236" s="93" t="s">
        <v>19</v>
      </c>
      <c r="D236" s="22">
        <v>1800.0</v>
      </c>
      <c r="E236" s="15">
        <f t="shared" si="44"/>
        <v>18000</v>
      </c>
      <c r="F236" s="3"/>
      <c r="G236" s="3"/>
      <c r="H236" s="3"/>
      <c r="I236" s="15">
        <f>12000/18</f>
        <v>666.6666667</v>
      </c>
      <c r="J236" s="15">
        <f t="shared" si="45"/>
        <v>6666.666667</v>
      </c>
      <c r="K236" s="15">
        <f t="shared" si="46"/>
        <v>11333.33333</v>
      </c>
      <c r="L236" s="4"/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>
      <c r="A237" s="91">
        <v>2.0</v>
      </c>
      <c r="B237" s="92" t="s">
        <v>33</v>
      </c>
      <c r="C237" s="93" t="s">
        <v>48</v>
      </c>
      <c r="D237" s="22">
        <v>3500.0</v>
      </c>
      <c r="E237" s="15">
        <f t="shared" si="44"/>
        <v>7000</v>
      </c>
      <c r="F237" s="3"/>
      <c r="G237" s="3"/>
      <c r="H237" s="86" t="s">
        <v>274</v>
      </c>
      <c r="I237" s="22">
        <v>0.0</v>
      </c>
      <c r="J237" s="15">
        <f t="shared" si="45"/>
        <v>0</v>
      </c>
      <c r="K237" s="15">
        <f t="shared" si="46"/>
        <v>7000</v>
      </c>
      <c r="L237" s="4"/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>
      <c r="A238" s="91">
        <v>1.0</v>
      </c>
      <c r="B238" s="92" t="s">
        <v>18</v>
      </c>
      <c r="C238" s="93" t="s">
        <v>77</v>
      </c>
      <c r="D238" s="22">
        <v>15000.0</v>
      </c>
      <c r="E238" s="15">
        <f t="shared" si="44"/>
        <v>15000</v>
      </c>
      <c r="F238" s="3"/>
      <c r="G238" s="3"/>
      <c r="H238" s="3"/>
      <c r="I238" s="22">
        <v>12000.0</v>
      </c>
      <c r="J238" s="15">
        <f t="shared" si="45"/>
        <v>12000</v>
      </c>
      <c r="K238" s="15">
        <f t="shared" si="46"/>
        <v>3000</v>
      </c>
      <c r="L238" s="4"/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91">
        <v>4.0</v>
      </c>
      <c r="B239" s="92" t="s">
        <v>5</v>
      </c>
      <c r="C239" s="93" t="s">
        <v>176</v>
      </c>
      <c r="D239" s="22">
        <v>900.0</v>
      </c>
      <c r="E239" s="15">
        <f t="shared" si="44"/>
        <v>3600</v>
      </c>
      <c r="F239" s="3"/>
      <c r="G239" s="3"/>
      <c r="H239" s="3"/>
      <c r="I239" s="87">
        <f>23000/50</f>
        <v>460</v>
      </c>
      <c r="J239" s="15">
        <f t="shared" si="45"/>
        <v>1840</v>
      </c>
      <c r="K239" s="15">
        <f t="shared" si="46"/>
        <v>1760</v>
      </c>
      <c r="L239" s="4"/>
      <c r="M239" s="2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91">
        <v>3.0</v>
      </c>
      <c r="B240" s="92" t="s">
        <v>50</v>
      </c>
      <c r="C240" s="93" t="s">
        <v>16</v>
      </c>
      <c r="D240" s="22">
        <v>900.0</v>
      </c>
      <c r="E240" s="15">
        <f t="shared" si="44"/>
        <v>2700</v>
      </c>
      <c r="F240" s="3"/>
      <c r="G240" s="3"/>
      <c r="H240" s="3"/>
      <c r="I240" s="87">
        <f>9000/24</f>
        <v>375</v>
      </c>
      <c r="J240" s="15">
        <f t="shared" si="45"/>
        <v>1125</v>
      </c>
      <c r="K240" s="15">
        <f t="shared" si="46"/>
        <v>1575</v>
      </c>
      <c r="L240" s="4"/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91">
        <v>1.0</v>
      </c>
      <c r="B241" s="92" t="s">
        <v>38</v>
      </c>
      <c r="C241" s="93" t="s">
        <v>47</v>
      </c>
      <c r="D241" s="22">
        <v>12000.0</v>
      </c>
      <c r="E241" s="15">
        <f t="shared" si="44"/>
        <v>12000</v>
      </c>
      <c r="F241" s="3"/>
      <c r="G241" s="3"/>
      <c r="H241" s="3"/>
      <c r="I241" s="22">
        <v>8000.0</v>
      </c>
      <c r="J241" s="15">
        <f t="shared" si="45"/>
        <v>8000</v>
      </c>
      <c r="K241" s="15">
        <f t="shared" si="46"/>
        <v>4000</v>
      </c>
      <c r="L241" s="4"/>
      <c r="M241" s="2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91">
        <v>1.0</v>
      </c>
      <c r="B242" s="92" t="s">
        <v>38</v>
      </c>
      <c r="C242" s="93" t="s">
        <v>67</v>
      </c>
      <c r="D242" s="22">
        <v>13000.0</v>
      </c>
      <c r="E242" s="15">
        <f t="shared" si="44"/>
        <v>13000</v>
      </c>
      <c r="F242" s="3"/>
      <c r="G242" s="3"/>
      <c r="H242" s="3"/>
      <c r="I242" s="22">
        <v>9000.0</v>
      </c>
      <c r="J242" s="15">
        <f t="shared" si="45"/>
        <v>9000</v>
      </c>
      <c r="K242" s="15">
        <f t="shared" si="46"/>
        <v>4000</v>
      </c>
      <c r="L242" s="4"/>
      <c r="M242" s="2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>
      <c r="A243" s="91">
        <v>3.0</v>
      </c>
      <c r="B243" s="92" t="s">
        <v>29</v>
      </c>
      <c r="C243" s="93" t="s">
        <v>31</v>
      </c>
      <c r="D243" s="22">
        <v>35000.0</v>
      </c>
      <c r="E243" s="15">
        <f t="shared" si="44"/>
        <v>105000</v>
      </c>
      <c r="F243" s="3"/>
      <c r="G243" s="3"/>
      <c r="H243" s="3"/>
      <c r="I243" s="87">
        <v>27000.0</v>
      </c>
      <c r="J243" s="15">
        <f t="shared" si="45"/>
        <v>81000</v>
      </c>
      <c r="K243" s="15">
        <f t="shared" si="46"/>
        <v>24000</v>
      </c>
      <c r="L243" s="4"/>
      <c r="M243" s="2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>
      <c r="A244" s="91">
        <v>2.0</v>
      </c>
      <c r="B244" s="92" t="s">
        <v>29</v>
      </c>
      <c r="C244" s="93" t="s">
        <v>78</v>
      </c>
      <c r="D244" s="22">
        <v>38000.0</v>
      </c>
      <c r="E244" s="15">
        <f t="shared" si="44"/>
        <v>76000</v>
      </c>
      <c r="F244" s="3"/>
      <c r="G244" s="3"/>
      <c r="H244" s="3"/>
      <c r="I244" s="22">
        <v>30000.0</v>
      </c>
      <c r="J244" s="15">
        <f t="shared" si="45"/>
        <v>60000</v>
      </c>
      <c r="K244" s="15">
        <f t="shared" si="46"/>
        <v>16000</v>
      </c>
      <c r="L244" s="4"/>
      <c r="M244" s="2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91">
        <v>3.0</v>
      </c>
      <c r="B245" s="92" t="s">
        <v>50</v>
      </c>
      <c r="C245" s="93" t="s">
        <v>69</v>
      </c>
      <c r="D245" s="22">
        <v>1800.0</v>
      </c>
      <c r="E245" s="15">
        <f t="shared" si="44"/>
        <v>5400</v>
      </c>
      <c r="F245" s="3"/>
      <c r="G245" s="3"/>
      <c r="H245" s="3"/>
      <c r="I245" s="22">
        <v>1400.0</v>
      </c>
      <c r="J245" s="15">
        <f t="shared" si="45"/>
        <v>4200</v>
      </c>
      <c r="K245" s="15">
        <f t="shared" si="46"/>
        <v>1200</v>
      </c>
      <c r="L245" s="4"/>
      <c r="M245" s="2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>
      <c r="A246" s="91">
        <v>1.0</v>
      </c>
      <c r="B246" s="92" t="s">
        <v>33</v>
      </c>
      <c r="C246" s="93" t="s">
        <v>72</v>
      </c>
      <c r="D246" s="22">
        <v>2800.0</v>
      </c>
      <c r="E246" s="15">
        <f t="shared" si="44"/>
        <v>2800</v>
      </c>
      <c r="F246" s="3"/>
      <c r="G246" s="3"/>
      <c r="H246" s="3"/>
      <c r="I246" s="87">
        <f>28000/18</f>
        <v>1555.555556</v>
      </c>
      <c r="J246" s="15">
        <f t="shared" si="45"/>
        <v>1555.555556</v>
      </c>
      <c r="K246" s="15">
        <f t="shared" si="46"/>
        <v>1244.444444</v>
      </c>
      <c r="L246" s="4"/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A247" s="91">
        <v>3.0</v>
      </c>
      <c r="B247" s="92" t="s">
        <v>38</v>
      </c>
      <c r="C247" s="93" t="s">
        <v>226</v>
      </c>
      <c r="D247" s="22">
        <v>15000.0</v>
      </c>
      <c r="E247" s="15">
        <f t="shared" si="44"/>
        <v>45000</v>
      </c>
      <c r="F247" s="3"/>
      <c r="G247" s="3"/>
      <c r="H247" s="3"/>
      <c r="I247" s="22">
        <v>13000.0</v>
      </c>
      <c r="J247" s="15">
        <f t="shared" si="45"/>
        <v>39000</v>
      </c>
      <c r="K247" s="15">
        <f t="shared" si="46"/>
        <v>6000</v>
      </c>
      <c r="L247" s="4"/>
      <c r="M247" s="2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26">
        <v>1.0</v>
      </c>
      <c r="B248" s="92" t="s">
        <v>18</v>
      </c>
      <c r="C248" s="93" t="s">
        <v>39</v>
      </c>
      <c r="D248" s="22">
        <v>16000.0</v>
      </c>
      <c r="E248" s="15">
        <f t="shared" si="44"/>
        <v>16000</v>
      </c>
      <c r="F248" s="3"/>
      <c r="G248" s="3"/>
      <c r="H248" s="3"/>
      <c r="I248" s="22">
        <v>11000.0</v>
      </c>
      <c r="J248" s="15">
        <f t="shared" si="45"/>
        <v>11000</v>
      </c>
      <c r="K248" s="15">
        <f t="shared" si="46"/>
        <v>5000</v>
      </c>
      <c r="L248" s="4"/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>
      <c r="A249" s="26">
        <v>1.0</v>
      </c>
      <c r="B249" s="92" t="s">
        <v>50</v>
      </c>
      <c r="C249" s="93" t="s">
        <v>236</v>
      </c>
      <c r="D249" s="22">
        <v>5500.0</v>
      </c>
      <c r="E249" s="15">
        <f t="shared" si="44"/>
        <v>5500</v>
      </c>
      <c r="F249" s="3"/>
      <c r="G249" s="3"/>
      <c r="H249" s="3"/>
      <c r="I249" s="22">
        <v>4000.0</v>
      </c>
      <c r="J249" s="15">
        <f t="shared" si="45"/>
        <v>4000</v>
      </c>
      <c r="K249" s="15">
        <f t="shared" si="46"/>
        <v>1500</v>
      </c>
      <c r="L249" s="4"/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1"/>
      <c r="B250" s="3"/>
      <c r="C250" s="2"/>
      <c r="D250" s="3"/>
      <c r="E250" s="3"/>
      <c r="F250" s="3"/>
      <c r="G250" s="2"/>
      <c r="H250" s="3"/>
      <c r="I250" s="3"/>
      <c r="J250" s="3"/>
      <c r="K250" s="3"/>
      <c r="L250" s="4"/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1"/>
      <c r="B251" s="3"/>
      <c r="C251" s="2"/>
      <c r="D251" s="3"/>
      <c r="E251" s="15">
        <f>SUM(E232:E250)</f>
        <v>462600</v>
      </c>
      <c r="F251" s="3"/>
      <c r="G251" s="3"/>
      <c r="H251" s="3"/>
      <c r="I251" s="3"/>
      <c r="J251" s="3"/>
      <c r="K251" s="15">
        <f>SUM(K232:K249)</f>
        <v>123087.7778</v>
      </c>
      <c r="L251" s="23">
        <f>K251/E251</f>
        <v>0.2660782053</v>
      </c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24"/>
      <c r="B252" s="24"/>
      <c r="C252" s="24"/>
      <c r="D252" s="32"/>
      <c r="E252" s="7"/>
      <c r="F252" s="33"/>
      <c r="G252" s="25"/>
      <c r="H252" s="25"/>
      <c r="I252" s="16"/>
      <c r="J252" s="16"/>
      <c r="K252" s="16"/>
      <c r="L252" s="34"/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24"/>
      <c r="B253" s="24"/>
      <c r="C253" s="24"/>
      <c r="D253" s="32"/>
      <c r="E253" s="7"/>
      <c r="F253" s="33"/>
      <c r="G253" s="25"/>
      <c r="H253" s="25"/>
      <c r="I253" s="16"/>
      <c r="J253" s="16"/>
      <c r="K253" s="16"/>
      <c r="L253" s="34"/>
      <c r="M253" s="2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A254" s="24"/>
      <c r="B254" s="24"/>
      <c r="C254" s="24"/>
      <c r="D254" s="32"/>
      <c r="E254" s="7"/>
      <c r="F254" s="33"/>
      <c r="G254" s="25"/>
      <c r="H254" s="25"/>
      <c r="I254" s="16"/>
      <c r="J254" s="16"/>
      <c r="K254" s="16"/>
      <c r="L254" s="34"/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>
      <c r="A255" s="89" t="s">
        <v>80</v>
      </c>
      <c r="B255" s="1"/>
      <c r="C255" s="1"/>
      <c r="D255" s="22" t="s">
        <v>227</v>
      </c>
      <c r="E255" s="82">
        <v>46062.0</v>
      </c>
      <c r="F255" s="6"/>
      <c r="G255" s="3"/>
      <c r="H255" s="3"/>
      <c r="I255" s="3"/>
      <c r="J255" s="3"/>
      <c r="K255" s="3"/>
      <c r="L255" s="4"/>
      <c r="M255" s="2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>
      <c r="A256" s="1"/>
      <c r="B256" s="3"/>
      <c r="C256" s="2"/>
      <c r="D256" s="3"/>
      <c r="E256" s="3"/>
      <c r="F256" s="3"/>
      <c r="G256" s="3"/>
      <c r="H256" s="3"/>
      <c r="I256" s="3"/>
      <c r="J256" s="3"/>
      <c r="K256" s="3"/>
      <c r="L256" s="4"/>
      <c r="M256" s="2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>
      <c r="A257" s="5" t="s">
        <v>4</v>
      </c>
      <c r="B257" s="10" t="s">
        <v>5</v>
      </c>
      <c r="C257" s="11" t="s">
        <v>6</v>
      </c>
      <c r="D257" s="10" t="s">
        <v>7</v>
      </c>
      <c r="E257" s="10" t="s">
        <v>8</v>
      </c>
      <c r="F257" s="3"/>
      <c r="G257" s="3"/>
      <c r="H257" s="3"/>
      <c r="I257" s="10" t="s">
        <v>7</v>
      </c>
      <c r="J257" s="10" t="s">
        <v>8</v>
      </c>
      <c r="K257" s="10" t="s">
        <v>10</v>
      </c>
      <c r="L257" s="4"/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>
      <c r="A258" s="91">
        <v>1.0</v>
      </c>
      <c r="B258" s="92" t="s">
        <v>38</v>
      </c>
      <c r="C258" s="93" t="s">
        <v>45</v>
      </c>
      <c r="D258" s="22">
        <v>13000.0</v>
      </c>
      <c r="E258" s="15">
        <f t="shared" ref="E258:E274" si="47">A258*D258</f>
        <v>13000</v>
      </c>
      <c r="F258" s="3"/>
      <c r="G258" s="3"/>
      <c r="H258" s="3"/>
      <c r="I258" s="22">
        <v>8000.0</v>
      </c>
      <c r="J258" s="15">
        <f t="shared" ref="J258:J274" si="48">I258*A258</f>
        <v>8000</v>
      </c>
      <c r="K258" s="15">
        <f t="shared" ref="K258:K274" si="49">E258-J258</f>
        <v>5000</v>
      </c>
      <c r="L258" s="4"/>
      <c r="M258" s="2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>
      <c r="A259" s="91">
        <v>0.5</v>
      </c>
      <c r="B259" s="92" t="s">
        <v>38</v>
      </c>
      <c r="C259" s="93" t="s">
        <v>226</v>
      </c>
      <c r="D259" s="22">
        <v>16000.0</v>
      </c>
      <c r="E259" s="15">
        <f t="shared" si="47"/>
        <v>8000</v>
      </c>
      <c r="F259" s="3"/>
      <c r="G259" s="3"/>
      <c r="H259" s="3"/>
      <c r="I259" s="22">
        <v>13000.0</v>
      </c>
      <c r="J259" s="15">
        <f t="shared" si="48"/>
        <v>6500</v>
      </c>
      <c r="K259" s="15">
        <f t="shared" si="49"/>
        <v>1500</v>
      </c>
      <c r="L259" s="4"/>
      <c r="M259" s="2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>
      <c r="A260" s="91">
        <v>1.0</v>
      </c>
      <c r="B260" s="92" t="s">
        <v>38</v>
      </c>
      <c r="C260" s="93" t="s">
        <v>47</v>
      </c>
      <c r="D260" s="22">
        <v>12000.0</v>
      </c>
      <c r="E260" s="15">
        <f t="shared" si="47"/>
        <v>12000</v>
      </c>
      <c r="F260" s="3"/>
      <c r="G260" s="3"/>
      <c r="H260" s="3"/>
      <c r="I260" s="22">
        <v>8000.0</v>
      </c>
      <c r="J260" s="15">
        <f t="shared" si="48"/>
        <v>8000</v>
      </c>
      <c r="K260" s="15">
        <f t="shared" si="49"/>
        <v>4000</v>
      </c>
      <c r="L260" s="4"/>
      <c r="M260" s="2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>
      <c r="A261" s="91">
        <v>1.0</v>
      </c>
      <c r="B261" s="92" t="s">
        <v>38</v>
      </c>
      <c r="C261" s="93" t="s">
        <v>67</v>
      </c>
      <c r="D261" s="22">
        <v>13000.0</v>
      </c>
      <c r="E261" s="15">
        <f t="shared" si="47"/>
        <v>13000</v>
      </c>
      <c r="F261" s="3"/>
      <c r="G261" s="3"/>
      <c r="H261" s="3"/>
      <c r="I261" s="22">
        <v>9000.0</v>
      </c>
      <c r="J261" s="15">
        <f t="shared" si="48"/>
        <v>9000</v>
      </c>
      <c r="K261" s="15">
        <f t="shared" si="49"/>
        <v>4000</v>
      </c>
      <c r="L261" s="4"/>
      <c r="M261" s="2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>
      <c r="A262" s="91">
        <v>1.0</v>
      </c>
      <c r="B262" s="92" t="s">
        <v>18</v>
      </c>
      <c r="C262" s="93" t="s">
        <v>77</v>
      </c>
      <c r="D262" s="22">
        <v>15000.0</v>
      </c>
      <c r="E262" s="15">
        <f t="shared" si="47"/>
        <v>15000</v>
      </c>
      <c r="F262" s="3"/>
      <c r="G262" s="3"/>
      <c r="H262" s="3"/>
      <c r="I262" s="22">
        <v>12000.0</v>
      </c>
      <c r="J262" s="15">
        <f t="shared" si="48"/>
        <v>12000</v>
      </c>
      <c r="K262" s="15">
        <f t="shared" si="49"/>
        <v>3000</v>
      </c>
      <c r="L262" s="4"/>
      <c r="M262" s="2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>
      <c r="A263" s="91">
        <v>2.0</v>
      </c>
      <c r="B263" s="92" t="s">
        <v>33</v>
      </c>
      <c r="C263" s="93" t="s">
        <v>23</v>
      </c>
      <c r="D263" s="22">
        <v>1800.0</v>
      </c>
      <c r="E263" s="15">
        <f t="shared" si="47"/>
        <v>3600</v>
      </c>
      <c r="F263" s="3"/>
      <c r="G263" s="3"/>
      <c r="H263" s="3"/>
      <c r="I263" s="22">
        <f>6000/10</f>
        <v>600</v>
      </c>
      <c r="J263" s="15">
        <f t="shared" si="48"/>
        <v>1200</v>
      </c>
      <c r="K263" s="15">
        <f t="shared" si="49"/>
        <v>2400</v>
      </c>
      <c r="L263" s="4"/>
      <c r="M263" s="2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>
      <c r="A264" s="91">
        <v>2.0</v>
      </c>
      <c r="B264" s="92" t="s">
        <v>33</v>
      </c>
      <c r="C264" s="93" t="s">
        <v>72</v>
      </c>
      <c r="D264" s="22">
        <v>2800.0</v>
      </c>
      <c r="E264" s="15">
        <f t="shared" si="47"/>
        <v>5600</v>
      </c>
      <c r="F264" s="3"/>
      <c r="G264" s="3"/>
      <c r="H264" s="3"/>
      <c r="I264" s="87">
        <f>28000/18</f>
        <v>1555.555556</v>
      </c>
      <c r="J264" s="15">
        <f t="shared" si="48"/>
        <v>3111.111111</v>
      </c>
      <c r="K264" s="15">
        <f t="shared" si="49"/>
        <v>2488.888889</v>
      </c>
      <c r="L264" s="4"/>
      <c r="M264" s="2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>
      <c r="A265" s="91">
        <v>3.0</v>
      </c>
      <c r="B265" s="92" t="s">
        <v>33</v>
      </c>
      <c r="C265" s="93" t="s">
        <v>192</v>
      </c>
      <c r="D265" s="22">
        <v>1200.0</v>
      </c>
      <c r="E265" s="15">
        <f t="shared" si="47"/>
        <v>3600</v>
      </c>
      <c r="F265" s="3"/>
      <c r="G265" s="3"/>
      <c r="H265" s="86" t="s">
        <v>274</v>
      </c>
      <c r="I265" s="22">
        <v>0.0</v>
      </c>
      <c r="J265" s="15">
        <f t="shared" si="48"/>
        <v>0</v>
      </c>
      <c r="K265" s="15">
        <f t="shared" si="49"/>
        <v>3600</v>
      </c>
      <c r="L265" s="4"/>
      <c r="M265" s="2"/>
      <c r="N265" s="3"/>
      <c r="O265" s="2"/>
      <c r="P265" s="3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>
      <c r="A266" s="91">
        <v>3.0</v>
      </c>
      <c r="B266" s="92" t="s">
        <v>33</v>
      </c>
      <c r="C266" s="93" t="s">
        <v>22</v>
      </c>
      <c r="D266" s="22">
        <v>1200.0</v>
      </c>
      <c r="E266" s="15">
        <f t="shared" si="47"/>
        <v>3600</v>
      </c>
      <c r="F266" s="3"/>
      <c r="G266" s="3"/>
      <c r="H266" s="86" t="s">
        <v>274</v>
      </c>
      <c r="I266" s="87">
        <v>0.0</v>
      </c>
      <c r="J266" s="15">
        <f t="shared" si="48"/>
        <v>0</v>
      </c>
      <c r="K266" s="15">
        <f t="shared" si="49"/>
        <v>3600</v>
      </c>
      <c r="L266" s="4"/>
      <c r="M266" s="2"/>
      <c r="N266" s="3"/>
      <c r="O266" s="2"/>
      <c r="P266" s="3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>
      <c r="A267" s="91">
        <v>3.0</v>
      </c>
      <c r="B267" s="92" t="s">
        <v>33</v>
      </c>
      <c r="C267" s="93" t="s">
        <v>24</v>
      </c>
      <c r="D267" s="22">
        <v>4000.0</v>
      </c>
      <c r="E267" s="15">
        <f t="shared" si="47"/>
        <v>12000</v>
      </c>
      <c r="F267" s="3"/>
      <c r="G267" s="3"/>
      <c r="H267" s="3"/>
      <c r="I267" s="22">
        <v>3125.0</v>
      </c>
      <c r="J267" s="15">
        <f t="shared" si="48"/>
        <v>9375</v>
      </c>
      <c r="K267" s="15">
        <f t="shared" si="49"/>
        <v>2625</v>
      </c>
      <c r="L267" s="4"/>
      <c r="M267" s="2"/>
      <c r="N267" s="3"/>
      <c r="O267" s="2"/>
      <c r="P267" s="3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>
      <c r="A268" s="91">
        <v>4.0</v>
      </c>
      <c r="B268" s="92" t="s">
        <v>33</v>
      </c>
      <c r="C268" s="93" t="s">
        <v>19</v>
      </c>
      <c r="D268" s="22">
        <v>1800.0</v>
      </c>
      <c r="E268" s="15">
        <f t="shared" si="47"/>
        <v>7200</v>
      </c>
      <c r="F268" s="3"/>
      <c r="G268" s="3"/>
      <c r="H268" s="3"/>
      <c r="I268" s="15">
        <f>12000/18</f>
        <v>666.6666667</v>
      </c>
      <c r="J268" s="15">
        <f t="shared" si="48"/>
        <v>2666.666667</v>
      </c>
      <c r="K268" s="15">
        <f t="shared" si="49"/>
        <v>4533.333333</v>
      </c>
      <c r="L268" s="4"/>
      <c r="M268" s="2"/>
      <c r="N268" s="3"/>
      <c r="O268" s="2"/>
      <c r="P268" s="3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>
      <c r="A269" s="91">
        <v>4.0</v>
      </c>
      <c r="B269" s="92" t="s">
        <v>33</v>
      </c>
      <c r="C269" s="93" t="s">
        <v>180</v>
      </c>
      <c r="D269" s="22">
        <v>1500.0</v>
      </c>
      <c r="E269" s="15">
        <f t="shared" si="47"/>
        <v>6000</v>
      </c>
      <c r="F269" s="3"/>
      <c r="G269" s="3"/>
      <c r="H269" s="3"/>
      <c r="I269" s="87">
        <v>1000.0</v>
      </c>
      <c r="J269" s="15">
        <f t="shared" si="48"/>
        <v>4000</v>
      </c>
      <c r="K269" s="15">
        <f t="shared" si="49"/>
        <v>2000</v>
      </c>
      <c r="L269" s="4"/>
      <c r="M269" s="2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>
      <c r="A270" s="91">
        <v>3.0</v>
      </c>
      <c r="B270" s="92" t="s">
        <v>50</v>
      </c>
      <c r="C270" s="93" t="s">
        <v>65</v>
      </c>
      <c r="D270" s="22">
        <v>500.0</v>
      </c>
      <c r="E270" s="15">
        <f t="shared" si="47"/>
        <v>1500</v>
      </c>
      <c r="F270" s="3"/>
      <c r="G270" s="3"/>
      <c r="H270" s="3"/>
      <c r="I270" s="22">
        <v>208.0</v>
      </c>
      <c r="J270" s="15">
        <f t="shared" si="48"/>
        <v>624</v>
      </c>
      <c r="K270" s="15">
        <f t="shared" si="49"/>
        <v>876</v>
      </c>
      <c r="L270" s="4"/>
      <c r="M270" s="2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>
      <c r="A271" s="91">
        <v>2.0</v>
      </c>
      <c r="B271" s="92" t="s">
        <v>50</v>
      </c>
      <c r="C271" s="93" t="s">
        <v>16</v>
      </c>
      <c r="D271" s="22">
        <v>900.0</v>
      </c>
      <c r="E271" s="15">
        <f t="shared" si="47"/>
        <v>1800</v>
      </c>
      <c r="F271" s="3"/>
      <c r="G271" s="3"/>
      <c r="H271" s="3"/>
      <c r="I271" s="22">
        <v>375.0</v>
      </c>
      <c r="J271" s="15">
        <f t="shared" si="48"/>
        <v>750</v>
      </c>
      <c r="K271" s="15">
        <f t="shared" si="49"/>
        <v>1050</v>
      </c>
      <c r="L271" s="4"/>
      <c r="M271" s="2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>
      <c r="A272" s="91">
        <v>1.0</v>
      </c>
      <c r="B272" s="92" t="s">
        <v>33</v>
      </c>
      <c r="C272" s="93" t="s">
        <v>263</v>
      </c>
      <c r="D272" s="22">
        <v>3500.0</v>
      </c>
      <c r="E272" s="15">
        <f t="shared" si="47"/>
        <v>3500</v>
      </c>
      <c r="F272" s="3"/>
      <c r="G272" s="3"/>
      <c r="H272" s="86" t="s">
        <v>274</v>
      </c>
      <c r="I272" s="22">
        <v>0.0</v>
      </c>
      <c r="J272" s="15">
        <f t="shared" si="48"/>
        <v>0</v>
      </c>
      <c r="K272" s="15">
        <f t="shared" si="49"/>
        <v>3500</v>
      </c>
      <c r="L272" s="4"/>
      <c r="M272" s="2"/>
      <c r="N272" s="3"/>
      <c r="O272" s="2"/>
      <c r="P272" s="3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>
      <c r="A273" s="91">
        <v>1.0</v>
      </c>
      <c r="B273" s="92" t="s">
        <v>5</v>
      </c>
      <c r="C273" s="93" t="s">
        <v>99</v>
      </c>
      <c r="D273" s="22">
        <v>1800.0</v>
      </c>
      <c r="E273" s="15">
        <f t="shared" si="47"/>
        <v>1800</v>
      </c>
      <c r="F273" s="3"/>
      <c r="G273" s="3"/>
      <c r="H273" s="3"/>
      <c r="I273" s="22">
        <v>1600.0</v>
      </c>
      <c r="J273" s="15">
        <f t="shared" si="48"/>
        <v>1600</v>
      </c>
      <c r="K273" s="15">
        <f t="shared" si="49"/>
        <v>200</v>
      </c>
      <c r="L273" s="4"/>
      <c r="M273" s="2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>
      <c r="A274" s="26">
        <v>1.0</v>
      </c>
      <c r="B274" s="92" t="s">
        <v>5</v>
      </c>
      <c r="C274" s="93" t="s">
        <v>98</v>
      </c>
      <c r="D274" s="22">
        <v>1800.0</v>
      </c>
      <c r="E274" s="15">
        <f t="shared" si="47"/>
        <v>1800</v>
      </c>
      <c r="F274" s="3"/>
      <c r="G274" s="3"/>
      <c r="H274" s="3"/>
      <c r="I274" s="22">
        <v>1500.0</v>
      </c>
      <c r="J274" s="15">
        <f t="shared" si="48"/>
        <v>1500</v>
      </c>
      <c r="K274" s="15">
        <f t="shared" si="49"/>
        <v>300</v>
      </c>
      <c r="L274" s="4"/>
      <c r="M274" s="2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>
      <c r="A275" s="1"/>
      <c r="B275" s="3"/>
      <c r="C275" s="2"/>
      <c r="D275" s="3"/>
      <c r="E275" s="3"/>
      <c r="F275" s="3"/>
      <c r="G275" s="2"/>
      <c r="H275" s="3"/>
      <c r="I275" s="3"/>
      <c r="J275" s="3"/>
      <c r="K275" s="3"/>
      <c r="L275" s="4"/>
      <c r="M275" s="2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>
      <c r="A276" s="1"/>
      <c r="B276" s="3"/>
      <c r="C276" s="2"/>
      <c r="D276" s="3"/>
      <c r="E276" s="15">
        <f>SUM(E258:E275)</f>
        <v>113000</v>
      </c>
      <c r="F276" s="3"/>
      <c r="G276" s="3"/>
      <c r="H276" s="3"/>
      <c r="I276" s="3"/>
      <c r="J276" s="3"/>
      <c r="K276" s="15">
        <f>SUM(K258:K274)</f>
        <v>44673.22222</v>
      </c>
      <c r="L276" s="23">
        <f>K276/E276</f>
        <v>0.3953382498</v>
      </c>
      <c r="M276" s="2"/>
      <c r="N276" s="3"/>
      <c r="O276" s="2"/>
      <c r="P276" s="3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>
      <c r="A277" s="24"/>
      <c r="B277" s="24"/>
      <c r="C277" s="24"/>
      <c r="D277" s="32"/>
      <c r="E277" s="7"/>
      <c r="F277" s="33"/>
      <c r="G277" s="25"/>
      <c r="H277" s="25"/>
      <c r="I277" s="16"/>
      <c r="J277" s="16"/>
      <c r="K277" s="16"/>
      <c r="L277" s="34"/>
      <c r="M277" s="2"/>
      <c r="N277" s="3"/>
      <c r="O277" s="2"/>
      <c r="P277" s="3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>
      <c r="A278" s="24"/>
      <c r="B278" s="24"/>
      <c r="C278" s="24"/>
      <c r="D278" s="32"/>
      <c r="E278" s="7"/>
      <c r="F278" s="33"/>
      <c r="G278" s="25"/>
      <c r="H278" s="25"/>
      <c r="I278" s="16"/>
      <c r="J278" s="16"/>
      <c r="K278" s="16"/>
      <c r="L278" s="34"/>
      <c r="M278" s="2"/>
      <c r="N278" s="3"/>
      <c r="O278" s="2"/>
      <c r="P278" s="3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>
      <c r="A279" s="24"/>
      <c r="B279" s="24"/>
      <c r="C279" s="24"/>
      <c r="D279" s="32"/>
      <c r="E279" s="7"/>
      <c r="F279" s="33"/>
      <c r="G279" s="25"/>
      <c r="H279" s="25"/>
      <c r="I279" s="16"/>
      <c r="J279" s="16"/>
      <c r="K279" s="16"/>
      <c r="L279" s="34"/>
      <c r="M279" s="2"/>
      <c r="N279" s="3"/>
      <c r="O279" s="2"/>
      <c r="P279" s="3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>
      <c r="A280" s="89" t="s">
        <v>83</v>
      </c>
      <c r="B280" s="1"/>
      <c r="C280" s="1"/>
      <c r="D280" s="22" t="s">
        <v>207</v>
      </c>
      <c r="E280" s="82">
        <v>46062.0</v>
      </c>
      <c r="F280" s="6"/>
      <c r="G280" s="3"/>
      <c r="H280" s="3"/>
      <c r="I280" s="3"/>
      <c r="J280" s="3"/>
      <c r="K280" s="3"/>
      <c r="L280" s="4"/>
      <c r="M280" s="2"/>
      <c r="N280" s="3"/>
      <c r="O280" s="2"/>
      <c r="P280" s="3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>
      <c r="A281" s="1"/>
      <c r="B281" s="3"/>
      <c r="C281" s="2"/>
      <c r="D281" s="3"/>
      <c r="E281" s="3"/>
      <c r="F281" s="3"/>
      <c r="G281" s="3"/>
      <c r="H281" s="3"/>
      <c r="I281" s="3"/>
      <c r="J281" s="3"/>
      <c r="K281" s="3"/>
      <c r="L281" s="4"/>
      <c r="M281" s="2"/>
      <c r="N281" s="3"/>
      <c r="O281" s="2"/>
      <c r="P281" s="3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>
      <c r="A282" s="5" t="s">
        <v>4</v>
      </c>
      <c r="B282" s="10" t="s">
        <v>5</v>
      </c>
      <c r="C282" s="11" t="s">
        <v>6</v>
      </c>
      <c r="D282" s="10" t="s">
        <v>7</v>
      </c>
      <c r="E282" s="10" t="s">
        <v>8</v>
      </c>
      <c r="F282" s="3"/>
      <c r="G282" s="3"/>
      <c r="H282" s="3"/>
      <c r="I282" s="10" t="s">
        <v>7</v>
      </c>
      <c r="J282" s="10" t="s">
        <v>8</v>
      </c>
      <c r="K282" s="10" t="s">
        <v>10</v>
      </c>
      <c r="L282" s="4"/>
      <c r="M282" s="2"/>
      <c r="N282" s="3"/>
      <c r="O282" s="2"/>
      <c r="P282" s="3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>
      <c r="A283" s="91">
        <v>2.0</v>
      </c>
      <c r="B283" s="92" t="s">
        <v>18</v>
      </c>
      <c r="C283" s="93" t="s">
        <v>21</v>
      </c>
      <c r="D283" s="22">
        <v>56000.0</v>
      </c>
      <c r="E283" s="15">
        <f t="shared" ref="E283:E288" si="50">A283*D283</f>
        <v>112000</v>
      </c>
      <c r="F283" s="3"/>
      <c r="G283" s="3"/>
      <c r="H283" s="3"/>
      <c r="I283" s="22">
        <v>50000.0</v>
      </c>
      <c r="J283" s="15">
        <f t="shared" ref="J283:J288" si="51">I283*A283</f>
        <v>100000</v>
      </c>
      <c r="K283" s="15">
        <f t="shared" ref="K283:K288" si="52">E283-J283</f>
        <v>12000</v>
      </c>
      <c r="L283" s="4"/>
      <c r="M283" s="2"/>
      <c r="N283" s="3"/>
      <c r="O283" s="2"/>
      <c r="P283" s="3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>
      <c r="A284" s="91">
        <v>2.0</v>
      </c>
      <c r="B284" s="92" t="s">
        <v>33</v>
      </c>
      <c r="C284" s="93" t="s">
        <v>86</v>
      </c>
      <c r="D284" s="22">
        <v>4000.0</v>
      </c>
      <c r="E284" s="15">
        <f t="shared" si="50"/>
        <v>8000</v>
      </c>
      <c r="F284" s="3"/>
      <c r="G284" s="3"/>
      <c r="H284" s="3"/>
      <c r="I284" s="22">
        <v>3000.0</v>
      </c>
      <c r="J284" s="15">
        <f t="shared" si="51"/>
        <v>6000</v>
      </c>
      <c r="K284" s="15">
        <f t="shared" si="52"/>
        <v>2000</v>
      </c>
      <c r="L284" s="4"/>
      <c r="M284" s="2"/>
      <c r="N284" s="3"/>
      <c r="O284" s="2"/>
      <c r="P284" s="3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>
      <c r="A285" s="91">
        <v>1.0</v>
      </c>
      <c r="B285" s="92" t="s">
        <v>18</v>
      </c>
      <c r="C285" s="93" t="s">
        <v>39</v>
      </c>
      <c r="D285" s="22">
        <v>16000.0</v>
      </c>
      <c r="E285" s="15">
        <f t="shared" si="50"/>
        <v>16000</v>
      </c>
      <c r="F285" s="3"/>
      <c r="G285" s="3"/>
      <c r="H285" s="3"/>
      <c r="I285" s="22">
        <v>11000.0</v>
      </c>
      <c r="J285" s="15">
        <f t="shared" si="51"/>
        <v>11000</v>
      </c>
      <c r="K285" s="15">
        <f t="shared" si="52"/>
        <v>5000</v>
      </c>
      <c r="L285" s="4"/>
      <c r="M285" s="2"/>
      <c r="N285" s="3"/>
      <c r="O285" s="2"/>
      <c r="P285" s="3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>
      <c r="A286" s="91">
        <v>15.0</v>
      </c>
      <c r="B286" s="92" t="s">
        <v>5</v>
      </c>
      <c r="C286" s="93" t="s">
        <v>87</v>
      </c>
      <c r="D286" s="22">
        <v>1300.0</v>
      </c>
      <c r="E286" s="15">
        <f t="shared" si="50"/>
        <v>19500</v>
      </c>
      <c r="F286" s="3"/>
      <c r="G286" s="3"/>
      <c r="H286" s="3"/>
      <c r="I286" s="15">
        <f>62000/70</f>
        <v>885.7142857</v>
      </c>
      <c r="J286" s="15">
        <f t="shared" si="51"/>
        <v>13285.71429</v>
      </c>
      <c r="K286" s="15">
        <f t="shared" si="52"/>
        <v>6214.285714</v>
      </c>
      <c r="L286" s="4"/>
      <c r="M286" s="2"/>
      <c r="N286" s="3"/>
      <c r="O286" s="2"/>
      <c r="P286" s="3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>
      <c r="A287" s="91">
        <v>3.0</v>
      </c>
      <c r="B287" s="92" t="s">
        <v>11</v>
      </c>
      <c r="C287" s="93" t="s">
        <v>89</v>
      </c>
      <c r="D287" s="22">
        <v>5000.0</v>
      </c>
      <c r="E287" s="15">
        <f t="shared" si="50"/>
        <v>15000</v>
      </c>
      <c r="F287" s="3"/>
      <c r="G287" s="3"/>
      <c r="H287" s="3"/>
      <c r="I287" s="22">
        <v>4000.0</v>
      </c>
      <c r="J287" s="15">
        <f t="shared" si="51"/>
        <v>12000</v>
      </c>
      <c r="K287" s="15">
        <f t="shared" si="52"/>
        <v>3000</v>
      </c>
      <c r="L287" s="4"/>
      <c r="M287" s="2"/>
      <c r="N287" s="3"/>
      <c r="O287" s="2"/>
      <c r="P287" s="3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>
      <c r="A288" s="91">
        <v>0.5</v>
      </c>
      <c r="B288" s="92" t="s">
        <v>18</v>
      </c>
      <c r="C288" s="93" t="s">
        <v>19</v>
      </c>
      <c r="D288" s="22">
        <v>20000.0</v>
      </c>
      <c r="E288" s="15">
        <f t="shared" si="50"/>
        <v>10000</v>
      </c>
      <c r="F288" s="3"/>
      <c r="G288" s="3"/>
      <c r="H288" s="3"/>
      <c r="I288" s="22">
        <v>12000.0</v>
      </c>
      <c r="J288" s="15">
        <f t="shared" si="51"/>
        <v>6000</v>
      </c>
      <c r="K288" s="15">
        <f t="shared" si="52"/>
        <v>4000</v>
      </c>
      <c r="L288" s="4"/>
      <c r="M288" s="2"/>
      <c r="N288" s="3"/>
      <c r="O288" s="2"/>
      <c r="P288" s="3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>
      <c r="A289" s="1"/>
      <c r="B289" s="3"/>
      <c r="C289" s="2"/>
      <c r="D289" s="3"/>
      <c r="E289" s="3"/>
      <c r="F289" s="3"/>
      <c r="G289" s="2"/>
      <c r="H289" s="3"/>
      <c r="I289" s="3"/>
      <c r="J289" s="3"/>
      <c r="K289" s="3"/>
      <c r="L289" s="4"/>
      <c r="M289" s="2"/>
      <c r="N289" s="3"/>
      <c r="O289" s="2"/>
      <c r="P289" s="3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>
      <c r="A290" s="1"/>
      <c r="B290" s="3"/>
      <c r="C290" s="2"/>
      <c r="D290" s="3"/>
      <c r="E290" s="15">
        <f>SUM(E283:E289)</f>
        <v>180500</v>
      </c>
      <c r="F290" s="3"/>
      <c r="G290" s="3"/>
      <c r="H290" s="3"/>
      <c r="I290" s="3"/>
      <c r="J290" s="3"/>
      <c r="K290" s="15">
        <f>SUM(K283:K288)</f>
        <v>32214.28571</v>
      </c>
      <c r="L290" s="23">
        <f>K290/E290</f>
        <v>0.178472497</v>
      </c>
      <c r="M290" s="2"/>
      <c r="N290" s="3"/>
      <c r="O290" s="2"/>
      <c r="P290" s="3"/>
      <c r="Q290" s="3"/>
      <c r="R290" s="2"/>
      <c r="S290" s="3"/>
      <c r="T290" s="3"/>
      <c r="U290" s="1"/>
      <c r="V290" s="3"/>
      <c r="W290" s="3"/>
      <c r="X290" s="3"/>
      <c r="Y290" s="3"/>
      <c r="Z290" s="3"/>
    </row>
    <row r="291">
      <c r="A291" s="24"/>
      <c r="B291" s="24"/>
      <c r="C291" s="24"/>
      <c r="D291" s="32"/>
      <c r="E291" s="7"/>
      <c r="F291" s="33"/>
      <c r="G291" s="25"/>
      <c r="H291" s="25"/>
      <c r="I291" s="16"/>
      <c r="J291" s="16"/>
      <c r="K291" s="16"/>
      <c r="L291" s="34"/>
      <c r="M291" s="2"/>
      <c r="N291" s="3"/>
      <c r="O291" s="2"/>
      <c r="P291" s="3"/>
      <c r="Q291" s="3"/>
      <c r="R291" s="2"/>
      <c r="S291" s="3"/>
      <c r="T291" s="3"/>
      <c r="U291" s="1"/>
      <c r="V291" s="3"/>
      <c r="W291" s="3"/>
      <c r="X291" s="3"/>
      <c r="Y291" s="3"/>
      <c r="Z291" s="3"/>
    </row>
    <row r="292">
      <c r="A292" s="24"/>
      <c r="B292" s="24"/>
      <c r="C292" s="24"/>
      <c r="D292" s="32"/>
      <c r="E292" s="7"/>
      <c r="F292" s="33"/>
      <c r="G292" s="25"/>
      <c r="H292" s="25"/>
      <c r="I292" s="16"/>
      <c r="J292" s="16"/>
      <c r="K292" s="16"/>
      <c r="L292" s="34"/>
      <c r="M292" s="2"/>
      <c r="N292" s="3"/>
      <c r="O292" s="2"/>
      <c r="P292" s="3"/>
      <c r="Q292" s="3"/>
      <c r="R292" s="2"/>
      <c r="S292" s="3"/>
      <c r="T292" s="3"/>
      <c r="U292" s="1"/>
      <c r="V292" s="3"/>
      <c r="W292" s="3"/>
      <c r="X292" s="3"/>
      <c r="Y292" s="3"/>
      <c r="Z292" s="3"/>
    </row>
    <row r="293">
      <c r="A293" s="89" t="s">
        <v>100</v>
      </c>
      <c r="B293" s="1"/>
      <c r="C293" s="1"/>
      <c r="D293" s="22" t="s">
        <v>275</v>
      </c>
      <c r="E293" s="82">
        <v>46062.0</v>
      </c>
      <c r="F293" s="6"/>
      <c r="G293" s="3"/>
      <c r="H293" s="3"/>
      <c r="I293" s="3"/>
      <c r="J293" s="3"/>
      <c r="K293" s="3"/>
      <c r="L293" s="4"/>
      <c r="M293" s="2"/>
      <c r="N293" s="3"/>
      <c r="O293" s="2"/>
      <c r="P293" s="3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>
      <c r="A294" s="1"/>
      <c r="B294" s="3"/>
      <c r="C294" s="2"/>
      <c r="D294" s="3"/>
      <c r="E294" s="3"/>
      <c r="F294" s="3"/>
      <c r="G294" s="3"/>
      <c r="H294" s="3"/>
      <c r="I294" s="3"/>
      <c r="J294" s="3"/>
      <c r="K294" s="3"/>
      <c r="L294" s="4"/>
      <c r="M294" s="2"/>
      <c r="N294" s="3"/>
      <c r="O294" s="2"/>
      <c r="P294" s="3"/>
      <c r="Q294" s="3"/>
      <c r="R294" s="2"/>
      <c r="S294" s="3"/>
      <c r="T294" s="3"/>
      <c r="U294" s="1"/>
      <c r="V294" s="3"/>
      <c r="W294" s="3"/>
      <c r="X294" s="3"/>
      <c r="Y294" s="3"/>
      <c r="Z294" s="3"/>
    </row>
    <row r="295">
      <c r="A295" s="5" t="s">
        <v>4</v>
      </c>
      <c r="B295" s="10" t="s">
        <v>5</v>
      </c>
      <c r="C295" s="11" t="s">
        <v>6</v>
      </c>
      <c r="D295" s="10" t="s">
        <v>7</v>
      </c>
      <c r="E295" s="10" t="s">
        <v>8</v>
      </c>
      <c r="F295" s="3"/>
      <c r="G295" s="3"/>
      <c r="H295" s="3"/>
      <c r="I295" s="10" t="s">
        <v>7</v>
      </c>
      <c r="J295" s="10" t="s">
        <v>8</v>
      </c>
      <c r="K295" s="10" t="s">
        <v>10</v>
      </c>
      <c r="L295" s="4"/>
      <c r="M295" s="2"/>
      <c r="N295" s="3"/>
      <c r="O295" s="2"/>
      <c r="P295" s="3"/>
      <c r="Q295" s="3"/>
      <c r="R295" s="2"/>
      <c r="S295" s="3"/>
      <c r="T295" s="3"/>
      <c r="U295" s="1"/>
      <c r="V295" s="3"/>
      <c r="W295" s="3"/>
      <c r="X295" s="3"/>
      <c r="Y295" s="3"/>
      <c r="Z295" s="3"/>
    </row>
    <row r="296">
      <c r="A296" s="91">
        <v>4.0</v>
      </c>
      <c r="B296" s="92" t="s">
        <v>33</v>
      </c>
      <c r="C296" s="93" t="s">
        <v>19</v>
      </c>
      <c r="D296" s="22">
        <v>1500.0</v>
      </c>
      <c r="E296" s="15">
        <f t="shared" ref="E296:E304" si="53">A296*D296</f>
        <v>6000</v>
      </c>
      <c r="F296" s="3"/>
      <c r="G296" s="3"/>
      <c r="H296" s="3"/>
      <c r="I296" s="22">
        <f>12000/18</f>
        <v>666.6666667</v>
      </c>
      <c r="J296" s="15">
        <f t="shared" ref="J296:J304" si="54">I296*A296</f>
        <v>2666.666667</v>
      </c>
      <c r="K296" s="15">
        <f t="shared" ref="K296:K304" si="55">E296-J296</f>
        <v>3333.333333</v>
      </c>
      <c r="L296" s="4"/>
      <c r="M296" s="2"/>
      <c r="N296" s="3"/>
      <c r="O296" s="2"/>
      <c r="P296" s="3"/>
      <c r="Q296" s="3"/>
      <c r="R296" s="2"/>
      <c r="S296" s="3"/>
      <c r="T296" s="3"/>
      <c r="U296" s="1"/>
      <c r="V296" s="3"/>
      <c r="W296" s="3"/>
      <c r="X296" s="3"/>
      <c r="Y296" s="3"/>
      <c r="Z296" s="3"/>
    </row>
    <row r="297">
      <c r="A297" s="91">
        <v>1.0</v>
      </c>
      <c r="B297" s="92" t="s">
        <v>18</v>
      </c>
      <c r="C297" s="93" t="s">
        <v>65</v>
      </c>
      <c r="D297" s="22">
        <v>9000.0</v>
      </c>
      <c r="E297" s="15">
        <f t="shared" si="53"/>
        <v>9000</v>
      </c>
      <c r="F297" s="3"/>
      <c r="G297" s="3"/>
      <c r="H297" s="3"/>
      <c r="I297" s="22">
        <v>5000.0</v>
      </c>
      <c r="J297" s="15">
        <f t="shared" si="54"/>
        <v>5000</v>
      </c>
      <c r="K297" s="15">
        <f t="shared" si="55"/>
        <v>4000</v>
      </c>
      <c r="L297" s="4"/>
      <c r="M297" s="2"/>
      <c r="N297" s="3"/>
      <c r="O297" s="2"/>
      <c r="P297" s="3"/>
      <c r="Q297" s="3"/>
      <c r="R297" s="2"/>
      <c r="S297" s="3"/>
      <c r="T297" s="3"/>
      <c r="U297" s="1"/>
      <c r="V297" s="3"/>
      <c r="W297" s="3"/>
      <c r="X297" s="3"/>
      <c r="Y297" s="3"/>
      <c r="Z297" s="3"/>
    </row>
    <row r="298">
      <c r="A298" s="91">
        <v>1.0</v>
      </c>
      <c r="B298" s="92" t="s">
        <v>18</v>
      </c>
      <c r="C298" s="93" t="s">
        <v>23</v>
      </c>
      <c r="D298" s="22">
        <v>12000.0</v>
      </c>
      <c r="E298" s="15">
        <f t="shared" si="53"/>
        <v>12000</v>
      </c>
      <c r="F298" s="3"/>
      <c r="G298" s="3"/>
      <c r="H298" s="3"/>
      <c r="I298" s="22">
        <v>6000.0</v>
      </c>
      <c r="J298" s="15">
        <f t="shared" si="54"/>
        <v>6000</v>
      </c>
      <c r="K298" s="15">
        <f t="shared" si="55"/>
        <v>6000</v>
      </c>
      <c r="L298" s="4"/>
      <c r="M298" s="2"/>
      <c r="N298" s="3"/>
      <c r="O298" s="2"/>
      <c r="P298" s="3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>
      <c r="A299" s="91">
        <v>1.0</v>
      </c>
      <c r="B299" s="92" t="s">
        <v>33</v>
      </c>
      <c r="C299" s="93" t="s">
        <v>47</v>
      </c>
      <c r="D299" s="22">
        <v>1600.0</v>
      </c>
      <c r="E299" s="15">
        <f t="shared" si="53"/>
        <v>1600</v>
      </c>
      <c r="F299" s="3"/>
      <c r="G299" s="3"/>
      <c r="H299" s="3"/>
      <c r="I299" s="22">
        <v>900.0</v>
      </c>
      <c r="J299" s="15">
        <f t="shared" si="54"/>
        <v>900</v>
      </c>
      <c r="K299" s="15">
        <f t="shared" si="55"/>
        <v>700</v>
      </c>
      <c r="L299" s="4"/>
      <c r="M299" s="2"/>
      <c r="N299" s="3"/>
      <c r="O299" s="2"/>
      <c r="P299" s="3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>
      <c r="A300" s="91">
        <v>1.0</v>
      </c>
      <c r="B300" s="92" t="s">
        <v>33</v>
      </c>
      <c r="C300" s="93" t="s">
        <v>72</v>
      </c>
      <c r="D300" s="22">
        <v>2800.0</v>
      </c>
      <c r="E300" s="15">
        <f t="shared" si="53"/>
        <v>2800</v>
      </c>
      <c r="F300" s="3"/>
      <c r="G300" s="3"/>
      <c r="H300" s="3"/>
      <c r="I300" s="87">
        <f>28000/18</f>
        <v>1555.555556</v>
      </c>
      <c r="J300" s="15">
        <f t="shared" si="54"/>
        <v>1555.555556</v>
      </c>
      <c r="K300" s="15">
        <f t="shared" si="55"/>
        <v>1244.444444</v>
      </c>
      <c r="L300" s="4"/>
      <c r="M300" s="2"/>
      <c r="N300" s="3"/>
      <c r="O300" s="2"/>
      <c r="P300" s="3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>
      <c r="A301" s="91">
        <v>6.0</v>
      </c>
      <c r="B301" s="92" t="s">
        <v>5</v>
      </c>
      <c r="C301" s="93" t="s">
        <v>87</v>
      </c>
      <c r="D301" s="22">
        <v>1300.0</v>
      </c>
      <c r="E301" s="15">
        <f t="shared" si="53"/>
        <v>7800</v>
      </c>
      <c r="F301" s="3"/>
      <c r="G301" s="3"/>
      <c r="H301" s="3"/>
      <c r="I301" s="22">
        <v>800.0</v>
      </c>
      <c r="J301" s="15">
        <f t="shared" si="54"/>
        <v>4800</v>
      </c>
      <c r="K301" s="15">
        <f t="shared" si="55"/>
        <v>3000</v>
      </c>
      <c r="L301" s="4"/>
      <c r="M301" s="2"/>
      <c r="N301" s="3"/>
      <c r="O301" s="2"/>
      <c r="P301" s="3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>
      <c r="A302" s="91">
        <v>1.0</v>
      </c>
      <c r="B302" s="92" t="s">
        <v>33</v>
      </c>
      <c r="C302" s="93" t="s">
        <v>194</v>
      </c>
      <c r="D302" s="22">
        <v>3500.0</v>
      </c>
      <c r="E302" s="15">
        <f t="shared" si="53"/>
        <v>3500</v>
      </c>
      <c r="F302" s="3"/>
      <c r="G302" s="3"/>
      <c r="H302" s="86" t="s">
        <v>274</v>
      </c>
      <c r="I302" s="22">
        <v>0.0</v>
      </c>
      <c r="J302" s="15">
        <f t="shared" si="54"/>
        <v>0</v>
      </c>
      <c r="K302" s="15">
        <f t="shared" si="55"/>
        <v>3500</v>
      </c>
      <c r="L302" s="4"/>
      <c r="M302" s="2"/>
      <c r="N302" s="3"/>
      <c r="O302" s="2"/>
      <c r="P302" s="3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>
      <c r="A303" s="91">
        <v>1.0</v>
      </c>
      <c r="B303" s="92" t="s">
        <v>11</v>
      </c>
      <c r="C303" s="93" t="s">
        <v>103</v>
      </c>
      <c r="D303" s="22">
        <v>1800.0</v>
      </c>
      <c r="E303" s="15">
        <f t="shared" si="53"/>
        <v>1800</v>
      </c>
      <c r="F303" s="3"/>
      <c r="G303" s="3"/>
      <c r="H303" s="3"/>
      <c r="I303" s="22">
        <f>7200/6</f>
        <v>1200</v>
      </c>
      <c r="J303" s="15">
        <f t="shared" si="54"/>
        <v>1200</v>
      </c>
      <c r="K303" s="15">
        <f t="shared" si="55"/>
        <v>600</v>
      </c>
      <c r="L303" s="4"/>
      <c r="M303" s="2"/>
      <c r="N303" s="3"/>
      <c r="O303" s="2"/>
      <c r="P303" s="3"/>
      <c r="Q303" s="3"/>
      <c r="R303" s="2"/>
      <c r="S303" s="3"/>
      <c r="T303" s="3"/>
      <c r="U303" s="1"/>
      <c r="V303" s="3"/>
      <c r="W303" s="3"/>
      <c r="X303" s="3"/>
      <c r="Y303" s="3"/>
      <c r="Z303" s="3"/>
    </row>
    <row r="304">
      <c r="A304" s="91">
        <v>4.0</v>
      </c>
      <c r="B304" s="92" t="s">
        <v>11</v>
      </c>
      <c r="C304" s="93" t="s">
        <v>16</v>
      </c>
      <c r="D304" s="22">
        <v>800.0</v>
      </c>
      <c r="E304" s="15">
        <f t="shared" si="53"/>
        <v>3200</v>
      </c>
      <c r="F304" s="3"/>
      <c r="G304" s="3"/>
      <c r="H304" s="3"/>
      <c r="I304" s="22">
        <v>375.0</v>
      </c>
      <c r="J304" s="15">
        <f t="shared" si="54"/>
        <v>1500</v>
      </c>
      <c r="K304" s="15">
        <f t="shared" si="55"/>
        <v>1700</v>
      </c>
      <c r="L304" s="4"/>
      <c r="M304" s="2"/>
      <c r="N304" s="3"/>
      <c r="O304" s="2"/>
      <c r="P304" s="3"/>
      <c r="Q304" s="3"/>
      <c r="R304" s="2"/>
      <c r="S304" s="3"/>
      <c r="T304" s="3"/>
      <c r="U304" s="1"/>
      <c r="V304" s="3"/>
      <c r="W304" s="3"/>
      <c r="X304" s="3"/>
      <c r="Y304" s="3"/>
      <c r="Z304" s="3"/>
    </row>
    <row r="305">
      <c r="A305" s="1"/>
      <c r="B305" s="3"/>
      <c r="C305" s="2"/>
      <c r="D305" s="3"/>
      <c r="E305" s="3"/>
      <c r="F305" s="3"/>
      <c r="G305" s="2"/>
      <c r="H305" s="3"/>
      <c r="I305" s="3"/>
      <c r="J305" s="3"/>
      <c r="K305" s="3"/>
      <c r="L305" s="4"/>
      <c r="M305" s="2"/>
      <c r="N305" s="3"/>
      <c r="O305" s="2"/>
      <c r="P305" s="3"/>
      <c r="Q305" s="3"/>
      <c r="R305" s="2"/>
      <c r="S305" s="3"/>
      <c r="T305" s="3"/>
      <c r="U305" s="1"/>
      <c r="V305" s="3"/>
      <c r="W305" s="3"/>
      <c r="X305" s="3"/>
      <c r="Y305" s="3"/>
      <c r="Z305" s="3"/>
    </row>
    <row r="306">
      <c r="A306" s="1"/>
      <c r="B306" s="3"/>
      <c r="C306" s="2"/>
      <c r="D306" s="3"/>
      <c r="E306" s="15">
        <f>SUM(E296:E305)</f>
        <v>47700</v>
      </c>
      <c r="F306" s="3"/>
      <c r="G306" s="3"/>
      <c r="H306" s="3"/>
      <c r="I306" s="3"/>
      <c r="J306" s="3"/>
      <c r="K306" s="15">
        <f>SUM(K296:K304)</f>
        <v>24077.77778</v>
      </c>
      <c r="L306" s="23">
        <f>K306/E306</f>
        <v>0.5047752155</v>
      </c>
      <c r="M306" s="2"/>
      <c r="N306" s="3"/>
      <c r="O306" s="2"/>
      <c r="P306" s="3"/>
      <c r="Q306" s="3"/>
      <c r="R306" s="2"/>
      <c r="S306" s="3"/>
      <c r="T306" s="3"/>
      <c r="U306" s="1"/>
      <c r="V306" s="3"/>
      <c r="W306" s="3"/>
      <c r="X306" s="3"/>
      <c r="Y306" s="3"/>
      <c r="Z306" s="3"/>
    </row>
    <row r="307">
      <c r="A307" s="24"/>
      <c r="B307" s="24"/>
      <c r="C307" s="24"/>
      <c r="D307" s="32"/>
      <c r="E307" s="7"/>
      <c r="F307" s="33"/>
      <c r="G307" s="25"/>
      <c r="H307" s="25"/>
      <c r="I307" s="16"/>
      <c r="J307" s="16"/>
      <c r="K307" s="16"/>
      <c r="L307" s="34"/>
      <c r="M307" s="2"/>
      <c r="N307" s="3"/>
      <c r="O307" s="2"/>
      <c r="P307" s="3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>
      <c r="A308" s="24"/>
      <c r="B308" s="24"/>
      <c r="C308" s="24"/>
      <c r="D308" s="32"/>
      <c r="E308" s="7"/>
      <c r="F308" s="33"/>
      <c r="G308" s="25"/>
      <c r="H308" s="25"/>
      <c r="I308" s="16"/>
      <c r="J308" s="16"/>
      <c r="K308" s="16"/>
      <c r="L308" s="34"/>
      <c r="M308" s="2"/>
      <c r="N308" s="3"/>
      <c r="O308" s="2"/>
      <c r="P308" s="3"/>
      <c r="Q308" s="3"/>
      <c r="R308" s="2"/>
      <c r="S308" s="3"/>
      <c r="T308" s="3"/>
      <c r="U308" s="1"/>
      <c r="V308" s="3"/>
      <c r="W308" s="3"/>
      <c r="X308" s="3"/>
      <c r="Y308" s="3"/>
      <c r="Z308" s="3"/>
    </row>
    <row r="309">
      <c r="A309" s="24"/>
      <c r="B309" s="24"/>
      <c r="C309" s="24"/>
      <c r="D309" s="32"/>
      <c r="E309" s="7"/>
      <c r="F309" s="33"/>
      <c r="G309" s="25"/>
      <c r="H309" s="25"/>
      <c r="I309" s="16"/>
      <c r="J309" s="16"/>
      <c r="K309" s="16"/>
      <c r="L309" s="34"/>
      <c r="M309" s="2"/>
      <c r="N309" s="3"/>
      <c r="O309" s="2"/>
      <c r="P309" s="3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>
      <c r="A310" s="30"/>
      <c r="B310" s="31"/>
      <c r="C310" s="2"/>
      <c r="D310" s="3"/>
      <c r="E310" s="3"/>
      <c r="F310" s="3"/>
      <c r="G310" s="2"/>
      <c r="H310" s="2"/>
      <c r="I310" s="2"/>
      <c r="J310" s="2"/>
      <c r="K310" s="3"/>
      <c r="L310" s="4"/>
      <c r="M310" s="2"/>
      <c r="N310" s="3"/>
      <c r="O310" s="2"/>
      <c r="P310" s="3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>
      <c r="A311" s="30" t="s">
        <v>120</v>
      </c>
      <c r="B311" s="31">
        <f>E306+E290+E276+E251+E227+E201+E174+F161+E137+F121+F90+F73+F59+F30</f>
        <v>4035345.45</v>
      </c>
      <c r="C311" s="2"/>
      <c r="D311" s="3"/>
      <c r="E311" s="3"/>
      <c r="F311" s="3"/>
      <c r="G311" s="2"/>
      <c r="H311" s="2"/>
      <c r="I311" s="2"/>
      <c r="J311" s="2"/>
      <c r="K311" s="3"/>
      <c r="L311" s="4"/>
      <c r="M311" s="2"/>
      <c r="N311" s="3"/>
      <c r="O311" s="2"/>
      <c r="P311" s="3"/>
      <c r="Q311" s="3"/>
      <c r="R311" s="2"/>
      <c r="S311" s="3"/>
      <c r="T311" s="3"/>
      <c r="U311" s="1"/>
      <c r="V311" s="3"/>
      <c r="W311" s="3"/>
      <c r="X311" s="3"/>
      <c r="Y311" s="3"/>
      <c r="Z311" s="3"/>
    </row>
    <row r="312">
      <c r="A312" s="1"/>
      <c r="B312" s="2"/>
      <c r="C312" s="2"/>
      <c r="D312" s="3"/>
      <c r="E312" s="3"/>
      <c r="F312" s="3"/>
      <c r="G312" s="2"/>
      <c r="H312" s="2"/>
      <c r="I312" s="2"/>
      <c r="J312" s="2"/>
      <c r="K312" s="3"/>
      <c r="L312" s="4"/>
      <c r="M312" s="2"/>
      <c r="N312" s="2"/>
      <c r="O312" s="2"/>
      <c r="P312" s="2"/>
      <c r="Q312" s="3"/>
      <c r="R312" s="9"/>
      <c r="S312" s="3"/>
      <c r="T312" s="3"/>
      <c r="U312" s="1"/>
      <c r="V312" s="3"/>
      <c r="W312" s="3"/>
      <c r="X312" s="3"/>
      <c r="Y312" s="3"/>
      <c r="Z312" s="3"/>
    </row>
    <row r="313">
      <c r="A313" s="30" t="s">
        <v>121</v>
      </c>
      <c r="B313" s="31">
        <f>K306+K290+K276+K251+K227+K201+K174+K161+K137+K121+K90+K73+K59+K30</f>
        <v>1617472.488</v>
      </c>
      <c r="C313" s="2"/>
      <c r="D313" s="3"/>
      <c r="E313" s="3"/>
      <c r="F313" s="3"/>
      <c r="G313" s="2"/>
      <c r="H313" s="2"/>
      <c r="I313" s="2"/>
      <c r="J313" s="2"/>
      <c r="K313" s="3"/>
      <c r="L313" s="4"/>
      <c r="M313" s="2"/>
      <c r="N313" s="2"/>
      <c r="O313" s="2"/>
      <c r="P313" s="2"/>
      <c r="Q313" s="3"/>
      <c r="R313" s="2"/>
      <c r="S313" s="3"/>
      <c r="T313" s="3"/>
      <c r="U313" s="1"/>
      <c r="V313" s="3"/>
      <c r="W313" s="3"/>
      <c r="X313" s="3"/>
      <c r="Y313" s="3"/>
      <c r="Z313" s="3"/>
    </row>
    <row r="314">
      <c r="A314" s="1"/>
      <c r="B314" s="2"/>
      <c r="C314" s="2"/>
      <c r="D314" s="3"/>
      <c r="E314" s="3"/>
      <c r="F314" s="3"/>
      <c r="G314" s="2"/>
      <c r="H314" s="2"/>
      <c r="I314" s="2"/>
      <c r="J314" s="2"/>
      <c r="K314" s="3"/>
      <c r="L314" s="4"/>
      <c r="M314" s="2"/>
      <c r="N314" s="2"/>
      <c r="O314" s="2"/>
      <c r="P314" s="2"/>
      <c r="Q314" s="3"/>
      <c r="R314" s="2"/>
      <c r="S314" s="3"/>
      <c r="T314" s="3"/>
      <c r="U314" s="1"/>
      <c r="V314" s="3"/>
      <c r="W314" s="3"/>
      <c r="X314" s="3"/>
      <c r="Y314" s="3"/>
      <c r="Z314" s="3"/>
    </row>
    <row r="315">
      <c r="A315" s="39" t="s">
        <v>122</v>
      </c>
      <c r="B315" s="40">
        <f>E163+E92+E75+E61+E32</f>
        <v>38827.6</v>
      </c>
      <c r="C315" s="2"/>
      <c r="D315" s="3"/>
      <c r="E315" s="3"/>
      <c r="F315" s="3"/>
      <c r="G315" s="2"/>
      <c r="H315" s="2"/>
      <c r="I315" s="2"/>
      <c r="J315" s="2"/>
      <c r="K315" s="3"/>
      <c r="L315" s="4"/>
      <c r="M315" s="2"/>
      <c r="N315" s="2"/>
      <c r="O315" s="2"/>
      <c r="P315" s="2"/>
      <c r="Q315" s="3"/>
      <c r="R315" s="2"/>
      <c r="S315" s="3"/>
      <c r="T315" s="3"/>
      <c r="U315" s="1"/>
      <c r="V315" s="3"/>
      <c r="W315" s="3"/>
      <c r="X315" s="3"/>
      <c r="Y315" s="3"/>
      <c r="Z315" s="3"/>
    </row>
    <row r="316">
      <c r="A316" s="1"/>
      <c r="B316" s="2"/>
      <c r="C316" s="2"/>
      <c r="D316" s="3"/>
      <c r="E316" s="3"/>
      <c r="F316" s="3"/>
      <c r="G316" s="2"/>
      <c r="H316" s="2"/>
      <c r="I316" s="2"/>
      <c r="J316" s="2"/>
      <c r="K316" s="3"/>
      <c r="L316" s="4"/>
      <c r="M316" s="2"/>
      <c r="N316" s="2"/>
      <c r="O316" s="2"/>
      <c r="P316" s="2"/>
      <c r="Q316" s="3"/>
      <c r="R316" s="2"/>
      <c r="S316" s="3"/>
      <c r="T316" s="3"/>
      <c r="U316" s="1"/>
      <c r="V316" s="3"/>
      <c r="W316" s="3"/>
      <c r="X316" s="3"/>
      <c r="Y316" s="3"/>
      <c r="Z316" s="3"/>
    </row>
    <row r="317">
      <c r="A317" s="30" t="s">
        <v>123</v>
      </c>
      <c r="B317" s="41">
        <f>B313/B311</f>
        <v>0.4008262757</v>
      </c>
      <c r="C317" s="2"/>
      <c r="D317" s="3"/>
      <c r="E317" s="3"/>
      <c r="F317" s="3"/>
      <c r="G317" s="2"/>
      <c r="H317" s="2"/>
      <c r="I317" s="2"/>
      <c r="J317" s="2"/>
      <c r="K317" s="3"/>
      <c r="L317" s="4"/>
      <c r="M317" s="2"/>
      <c r="N317" s="2"/>
      <c r="O317" s="2"/>
      <c r="P317" s="2"/>
      <c r="Q317" s="2"/>
      <c r="R317" s="2"/>
      <c r="S317" s="3"/>
      <c r="T317" s="3"/>
      <c r="U317" s="1"/>
      <c r="V317" s="3"/>
      <c r="W317" s="3"/>
      <c r="X317" s="2"/>
      <c r="Y317" s="2"/>
      <c r="Z317" s="2"/>
    </row>
    <row r="318">
      <c r="A318" s="1"/>
      <c r="B318" s="2"/>
      <c r="C318" s="2"/>
      <c r="D318" s="3"/>
      <c r="E318" s="3"/>
      <c r="F318" s="3"/>
      <c r="G318" s="2"/>
      <c r="H318" s="2"/>
      <c r="I318" s="2"/>
      <c r="J318" s="2"/>
      <c r="K318" s="3"/>
      <c r="L318" s="4"/>
      <c r="M318" s="2"/>
      <c r="N318" s="2"/>
      <c r="O318" s="2"/>
      <c r="P318" s="2"/>
      <c r="Q318" s="3"/>
      <c r="R318" s="9"/>
      <c r="S318" s="3"/>
      <c r="T318" s="3"/>
      <c r="U318" s="1"/>
      <c r="V318" s="3"/>
      <c r="W318" s="3"/>
      <c r="X318" s="3"/>
      <c r="Y318" s="3"/>
      <c r="Z318" s="3"/>
    </row>
    <row r="319" ht="15.75" customHeight="1">
      <c r="A319" s="42" t="s">
        <v>124</v>
      </c>
      <c r="C319" s="43">
        <v>100.0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9"/>
      <c r="S319" s="3"/>
      <c r="T319" s="3"/>
      <c r="U319" s="1"/>
      <c r="V319" s="3"/>
      <c r="W319" s="3"/>
      <c r="X319" s="3"/>
      <c r="Y319" s="3"/>
      <c r="Z319" s="3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2"/>
      <c r="M320" s="2"/>
      <c r="N320" s="2"/>
      <c r="O320" s="2"/>
      <c r="P320" s="2"/>
      <c r="Q320" s="3"/>
      <c r="R320" s="2"/>
      <c r="S320" s="3"/>
      <c r="T320" s="3"/>
      <c r="U320" s="1"/>
      <c r="V320" s="3"/>
      <c r="W320" s="3"/>
      <c r="X320" s="3"/>
      <c r="Y320" s="3"/>
      <c r="Z320" s="3"/>
    </row>
    <row r="321" ht="15.75" customHeight="1">
      <c r="A321" s="1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1"/>
      <c r="V321" s="3"/>
      <c r="W321" s="3"/>
      <c r="X321" s="3"/>
      <c r="Y321" s="3"/>
      <c r="Z321" s="3"/>
    </row>
    <row r="322" ht="15.75" customHeight="1">
      <c r="A322" s="1"/>
      <c r="B322" s="1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1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1"/>
      <c r="X323" s="3"/>
      <c r="Y323" s="3"/>
      <c r="Z323" s="3"/>
    </row>
    <row r="324" ht="15.75" customHeight="1">
      <c r="A324" s="45"/>
      <c r="B324" s="46" t="s">
        <v>125</v>
      </c>
      <c r="C324" s="47" t="s">
        <v>126</v>
      </c>
      <c r="D324" s="48" t="s">
        <v>127</v>
      </c>
      <c r="E324" s="48" t="s">
        <v>128</v>
      </c>
      <c r="F324" s="48" t="s">
        <v>129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1"/>
      <c r="V324" s="3"/>
      <c r="W324" s="9"/>
      <c r="X324" s="3"/>
      <c r="Y324" s="3"/>
      <c r="Z324" s="3"/>
    </row>
    <row r="325" ht="15.75" customHeight="1">
      <c r="A325" s="49"/>
      <c r="B325" s="50">
        <v>2528350.0</v>
      </c>
      <c r="C325" s="51">
        <v>308459.29</v>
      </c>
      <c r="D325" s="51">
        <f>2277828.28-500000-1000000+491000</f>
        <v>1268828.28</v>
      </c>
      <c r="E325" s="51"/>
      <c r="F325" s="51">
        <f>8500000+1101582.8</f>
        <v>9601582.8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1"/>
      <c r="V325" s="3"/>
      <c r="W325" s="3"/>
      <c r="X325" s="3"/>
      <c r="Y325" s="3"/>
      <c r="Z325" s="3"/>
    </row>
    <row r="326" ht="15.75" customHeight="1">
      <c r="A326" s="1"/>
      <c r="B326" s="52"/>
      <c r="C326" s="52"/>
      <c r="D326" s="52"/>
      <c r="E326" s="5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1"/>
      <c r="V326" s="3"/>
      <c r="W326" s="3"/>
      <c r="X326" s="3"/>
      <c r="Y326" s="3"/>
      <c r="Z326" s="3"/>
    </row>
    <row r="327" ht="15.75" customHeight="1">
      <c r="A327" s="46" t="s">
        <v>130</v>
      </c>
      <c r="B327" s="53"/>
      <c r="C327" s="53"/>
      <c r="D327" s="53"/>
      <c r="E327" s="53"/>
      <c r="F327" s="5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1"/>
      <c r="V327" s="3"/>
      <c r="W327" s="3"/>
      <c r="X327" s="3"/>
      <c r="Y327" s="3"/>
      <c r="Z327" s="3"/>
    </row>
    <row r="328" ht="15.75" customHeight="1">
      <c r="A328" s="13" t="s">
        <v>131</v>
      </c>
      <c r="B328" s="55">
        <v>319800.0</v>
      </c>
      <c r="C328" s="55">
        <v>0.0</v>
      </c>
      <c r="D328" s="55">
        <v>0.0</v>
      </c>
      <c r="E328" s="55">
        <v>0.0</v>
      </c>
      <c r="F328" s="55">
        <v>0.0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1"/>
      <c r="V328" s="3"/>
      <c r="W328" s="3"/>
      <c r="X328" s="3"/>
      <c r="Y328" s="3"/>
      <c r="Z328" s="3"/>
    </row>
    <row r="329" ht="15.75" customHeight="1">
      <c r="A329" s="13" t="s">
        <v>132</v>
      </c>
      <c r="B329" s="55">
        <v>0.0</v>
      </c>
      <c r="C329" s="55">
        <v>3625.2</v>
      </c>
      <c r="D329" s="55">
        <v>0.0</v>
      </c>
      <c r="E329" s="55">
        <v>0.0</v>
      </c>
      <c r="F329" s="55">
        <v>0.0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1"/>
      <c r="V329" s="3"/>
      <c r="W329" s="3"/>
      <c r="X329" s="3"/>
      <c r="Y329" s="3"/>
      <c r="Z329" s="3"/>
    </row>
    <row r="330" ht="15.75" customHeight="1">
      <c r="A330" s="13" t="s">
        <v>133</v>
      </c>
      <c r="B330" s="55">
        <v>0.0</v>
      </c>
      <c r="C330" s="55">
        <v>0.0</v>
      </c>
      <c r="D330" s="55">
        <v>1101582.8</v>
      </c>
      <c r="E330" s="55">
        <v>0.0</v>
      </c>
      <c r="F330" s="55">
        <v>0.0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1"/>
      <c r="V330" s="3"/>
      <c r="W330" s="3"/>
      <c r="X330" s="3"/>
      <c r="Y330" s="3"/>
      <c r="Z330" s="3"/>
    </row>
    <row r="331" ht="15.75" customHeight="1">
      <c r="A331" s="13" t="s">
        <v>134</v>
      </c>
      <c r="B331" s="55">
        <v>0.0</v>
      </c>
      <c r="C331" s="55">
        <v>0.0</v>
      </c>
      <c r="D331" s="55">
        <v>0.0</v>
      </c>
      <c r="E331" s="55">
        <v>0.0</v>
      </c>
      <c r="F331" s="55">
        <v>0.0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1"/>
      <c r="V331" s="3"/>
      <c r="W331" s="3"/>
      <c r="X331" s="3"/>
      <c r="Y331" s="3"/>
      <c r="Z331" s="3"/>
    </row>
    <row r="332" ht="15.75" customHeight="1">
      <c r="A332" s="13" t="s">
        <v>135</v>
      </c>
      <c r="B332" s="55">
        <v>0.0</v>
      </c>
      <c r="C332" s="55">
        <v>0.0</v>
      </c>
      <c r="D332" s="55">
        <v>0.0</v>
      </c>
      <c r="E332" s="55">
        <v>0.0</v>
      </c>
      <c r="F332" s="55">
        <v>0.0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1"/>
      <c r="V332" s="3"/>
      <c r="W332" s="3"/>
      <c r="X332" s="3"/>
      <c r="Y332" s="3"/>
      <c r="Z332" s="3"/>
    </row>
    <row r="333" ht="15.75" customHeight="1">
      <c r="A333" s="13" t="s">
        <v>136</v>
      </c>
      <c r="B333" s="55">
        <v>0.0</v>
      </c>
      <c r="C333" s="56">
        <f>C328*0.6%+C331*0.6%</f>
        <v>0</v>
      </c>
      <c r="D333" s="55">
        <f>SUM(D328:D330)*0.6%</f>
        <v>6609.4968</v>
      </c>
      <c r="E333" s="55">
        <v>0.0</v>
      </c>
      <c r="F333" s="55">
        <v>0.0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1"/>
      <c r="V333" s="3"/>
      <c r="W333" s="3"/>
      <c r="X333" s="3"/>
      <c r="Y333" s="3"/>
      <c r="Z333" s="3"/>
    </row>
    <row r="334" ht="15.75" customHeight="1">
      <c r="A334" s="1"/>
      <c r="B334" s="52"/>
      <c r="C334" s="52"/>
      <c r="D334" s="52"/>
      <c r="E334" s="5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1"/>
      <c r="V334" s="3"/>
      <c r="W334" s="3"/>
      <c r="X334" s="3"/>
      <c r="Y334" s="3"/>
      <c r="Z334" s="3"/>
    </row>
    <row r="335" ht="15.75" customHeight="1">
      <c r="A335" s="57" t="s">
        <v>8</v>
      </c>
      <c r="B335" s="58">
        <f>SUM(B325:B333)</f>
        <v>2848150</v>
      </c>
      <c r="C335" s="58">
        <f>C325+C328+C331+C332-C333+C329</f>
        <v>312084.49</v>
      </c>
      <c r="D335" s="59">
        <f>D325+D328+D331+D332-D333+D330</f>
        <v>2363801.583</v>
      </c>
      <c r="E335" s="58">
        <f>E325+E328+E331+E332-E333</f>
        <v>0</v>
      </c>
      <c r="F335" s="60">
        <f>F325+F328+F331+F332-F333-D330</f>
        <v>8500000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1"/>
      <c r="V335" s="3"/>
      <c r="W335" s="3"/>
      <c r="X335" s="3"/>
      <c r="Y335" s="3"/>
      <c r="Z335" s="3"/>
    </row>
    <row r="336" ht="15.75" customHeight="1">
      <c r="A336" s="1"/>
      <c r="B336" s="1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1"/>
      <c r="V336" s="3"/>
      <c r="W336" s="3"/>
      <c r="X336" s="3"/>
      <c r="Y336" s="3"/>
      <c r="Z336" s="3"/>
    </row>
    <row r="337" ht="15.75" customHeight="1">
      <c r="A337" s="46" t="s">
        <v>137</v>
      </c>
      <c r="B337" s="53"/>
      <c r="C337" s="53"/>
      <c r="D337" s="53"/>
      <c r="E337" s="53"/>
      <c r="F337" s="5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1"/>
      <c r="V337" s="3"/>
      <c r="W337" s="3"/>
      <c r="X337" s="3"/>
      <c r="Y337" s="3"/>
      <c r="Z337" s="3"/>
    </row>
    <row r="338" ht="15.75" customHeight="1">
      <c r="A338" s="13" t="s">
        <v>138</v>
      </c>
      <c r="B338" s="61">
        <v>10000.0</v>
      </c>
      <c r="C338" s="61">
        <v>0.0</v>
      </c>
      <c r="D338" s="61">
        <v>0.0</v>
      </c>
      <c r="E338" s="61">
        <v>0.0</v>
      </c>
      <c r="F338" s="3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1"/>
      <c r="V338" s="3"/>
      <c r="W338" s="3"/>
      <c r="X338" s="3"/>
      <c r="Y338" s="3"/>
      <c r="Z338" s="3"/>
    </row>
    <row r="339" ht="15.75" customHeight="1">
      <c r="A339" s="13" t="s">
        <v>139</v>
      </c>
      <c r="B339" s="55">
        <v>0.0</v>
      </c>
      <c r="C339" s="55">
        <v>0.0</v>
      </c>
      <c r="D339" s="55">
        <v>0.0</v>
      </c>
      <c r="E339" s="55">
        <v>0.0</v>
      </c>
      <c r="F339" s="3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1"/>
      <c r="V339" s="3"/>
      <c r="W339" s="3"/>
      <c r="X339" s="3"/>
      <c r="Y339" s="3"/>
      <c r="Z339" s="3"/>
    </row>
    <row r="340" ht="15.75" customHeight="1">
      <c r="A340" s="13" t="s">
        <v>140</v>
      </c>
      <c r="B340" s="61">
        <v>0.0</v>
      </c>
      <c r="C340" s="61">
        <v>0.0</v>
      </c>
      <c r="D340" s="55">
        <v>500000.0</v>
      </c>
      <c r="E340" s="61">
        <v>0.0</v>
      </c>
      <c r="F340" s="3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1"/>
      <c r="V340" s="3"/>
      <c r="W340" s="3"/>
      <c r="X340" s="3"/>
      <c r="Y340" s="3"/>
      <c r="Z340" s="3"/>
    </row>
    <row r="341" ht="15.75" customHeight="1">
      <c r="A341" s="13" t="s">
        <v>141</v>
      </c>
      <c r="B341" s="61">
        <v>0.0</v>
      </c>
      <c r="C341" s="61">
        <v>0.0</v>
      </c>
      <c r="D341" s="61">
        <v>0.0</v>
      </c>
      <c r="E341" s="61">
        <v>0.0</v>
      </c>
      <c r="F341" s="3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1"/>
      <c r="V341" s="3"/>
      <c r="W341" s="3"/>
      <c r="X341" s="3"/>
      <c r="Y341" s="3"/>
      <c r="Z341" s="3"/>
    </row>
    <row r="342" ht="15.75" customHeight="1">
      <c r="A342" s="13" t="s">
        <v>142</v>
      </c>
      <c r="B342" s="61">
        <v>0.0</v>
      </c>
      <c r="C342" s="61">
        <v>395000.0</v>
      </c>
      <c r="D342" s="61">
        <v>0.0</v>
      </c>
      <c r="E342" s="61">
        <v>0.0</v>
      </c>
      <c r="F342" s="3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1"/>
      <c r="V342" s="3"/>
      <c r="W342" s="3"/>
      <c r="X342" s="3"/>
      <c r="Y342" s="3"/>
      <c r="Z342" s="3"/>
    </row>
    <row r="343" ht="15.75" customHeight="1">
      <c r="A343" s="13" t="s">
        <v>143</v>
      </c>
      <c r="B343" s="61">
        <v>40000.0</v>
      </c>
      <c r="C343" s="61">
        <v>0.0</v>
      </c>
      <c r="D343" s="61">
        <v>0.0</v>
      </c>
      <c r="E343" s="61">
        <v>0.0</v>
      </c>
      <c r="F343" s="35"/>
      <c r="G343" s="2"/>
      <c r="H343" s="6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1"/>
      <c r="V343" s="3"/>
      <c r="W343" s="3"/>
      <c r="X343" s="3"/>
      <c r="Y343" s="3"/>
      <c r="Z343" s="3"/>
    </row>
    <row r="344" ht="15.75" customHeight="1">
      <c r="A344" s="13" t="s">
        <v>144</v>
      </c>
      <c r="B344" s="55">
        <v>0.0</v>
      </c>
      <c r="C344" s="55">
        <v>0.0</v>
      </c>
      <c r="D344" s="55">
        <v>0.0</v>
      </c>
      <c r="E344" s="55">
        <v>0.0</v>
      </c>
      <c r="F344" s="3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1"/>
      <c r="V344" s="3"/>
      <c r="W344" s="3"/>
      <c r="X344" s="3"/>
      <c r="Y344" s="3"/>
      <c r="Z344" s="3"/>
    </row>
    <row r="345" ht="15.75" customHeight="1">
      <c r="A345" s="13" t="s">
        <v>145</v>
      </c>
      <c r="B345" s="55">
        <v>0.0</v>
      </c>
      <c r="C345" s="55">
        <v>0.0</v>
      </c>
      <c r="D345" s="55">
        <v>0.0</v>
      </c>
      <c r="E345" s="55">
        <v>0.0</v>
      </c>
      <c r="F345" s="35"/>
      <c r="G345" s="2"/>
      <c r="H345" s="6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1"/>
      <c r="V345" s="3"/>
      <c r="W345" s="3"/>
      <c r="X345" s="3"/>
      <c r="Y345" s="3"/>
      <c r="Z345" s="3"/>
    </row>
    <row r="346" ht="15.75" customHeight="1">
      <c r="A346" s="13" t="s">
        <v>146</v>
      </c>
      <c r="B346" s="55">
        <v>0.0</v>
      </c>
      <c r="C346" s="55">
        <v>0.0</v>
      </c>
      <c r="D346" s="55">
        <v>0.0</v>
      </c>
      <c r="E346" s="55">
        <v>0.0</v>
      </c>
      <c r="F346" s="35"/>
      <c r="G346" s="2"/>
      <c r="H346" s="62"/>
      <c r="I346" s="2"/>
      <c r="J346" s="2"/>
      <c r="K346" s="2"/>
      <c r="L346" s="2"/>
      <c r="M346" s="2"/>
      <c r="N346" s="2"/>
      <c r="O346" s="2"/>
      <c r="P346" s="2"/>
      <c r="Q346" s="3"/>
      <c r="R346" s="9"/>
      <c r="S346" s="3"/>
      <c r="T346" s="3"/>
      <c r="U346" s="1"/>
      <c r="V346" s="3"/>
      <c r="W346" s="3"/>
      <c r="X346" s="3"/>
      <c r="Y346" s="3"/>
      <c r="Z346" s="3"/>
    </row>
    <row r="347" ht="15.75" customHeight="1">
      <c r="A347" s="13" t="s">
        <v>147</v>
      </c>
      <c r="B347" s="61">
        <v>0.0</v>
      </c>
      <c r="C347" s="61">
        <v>0.0</v>
      </c>
      <c r="D347" s="61">
        <v>0.0</v>
      </c>
      <c r="E347" s="61">
        <v>0.0</v>
      </c>
      <c r="F347" s="35"/>
      <c r="G347" s="2"/>
      <c r="H347" s="62"/>
      <c r="I347" s="2"/>
      <c r="J347" s="2"/>
      <c r="K347" s="2"/>
      <c r="L347" s="2"/>
      <c r="M347" s="2"/>
      <c r="N347" s="2"/>
      <c r="O347" s="2"/>
      <c r="P347" s="2"/>
      <c r="Q347" s="3"/>
      <c r="R347" s="9"/>
      <c r="S347" s="3"/>
      <c r="T347" s="3"/>
      <c r="U347" s="1"/>
      <c r="V347" s="3"/>
      <c r="W347" s="3"/>
      <c r="X347" s="3"/>
      <c r="Y347" s="3"/>
      <c r="Z347" s="3"/>
    </row>
    <row r="348" ht="15.75" customHeight="1">
      <c r="A348" s="13" t="s">
        <v>148</v>
      </c>
      <c r="B348" s="61">
        <v>0.0</v>
      </c>
      <c r="C348" s="61">
        <v>50000.0</v>
      </c>
      <c r="D348" s="61">
        <v>0.0</v>
      </c>
      <c r="E348" s="61">
        <v>0.0</v>
      </c>
      <c r="F348" s="35"/>
      <c r="G348" s="2"/>
      <c r="H348" s="62"/>
      <c r="I348" s="2"/>
      <c r="J348" s="2"/>
      <c r="K348" s="2"/>
      <c r="L348" s="2"/>
      <c r="M348" s="2"/>
      <c r="N348" s="2"/>
      <c r="O348" s="2"/>
      <c r="P348" s="2"/>
      <c r="Q348" s="3"/>
      <c r="R348" s="9"/>
      <c r="S348" s="3"/>
      <c r="T348" s="3"/>
      <c r="U348" s="1"/>
      <c r="V348" s="3"/>
      <c r="W348" s="3"/>
      <c r="X348" s="3"/>
      <c r="Y348" s="3"/>
      <c r="Z348" s="3"/>
    </row>
    <row r="349" ht="15.75" customHeight="1">
      <c r="A349" s="13" t="s">
        <v>149</v>
      </c>
      <c r="B349" s="56">
        <v>0.0</v>
      </c>
      <c r="C349" s="56">
        <v>50000.0</v>
      </c>
      <c r="D349" s="55">
        <v>0.0</v>
      </c>
      <c r="E349" s="55">
        <v>0.0</v>
      </c>
      <c r="F349" s="3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1"/>
      <c r="V349" s="3"/>
      <c r="W349" s="3"/>
      <c r="X349" s="3"/>
      <c r="Y349" s="3"/>
      <c r="Z349" s="3"/>
    </row>
    <row r="350" ht="15.75" customHeight="1">
      <c r="A350" s="13" t="s">
        <v>150</v>
      </c>
      <c r="B350" s="56">
        <v>0.0</v>
      </c>
      <c r="C350" s="56">
        <v>0.0</v>
      </c>
      <c r="D350" s="55">
        <v>0.0</v>
      </c>
      <c r="E350" s="55">
        <v>0.0</v>
      </c>
      <c r="F350" s="35"/>
      <c r="G350" s="2"/>
      <c r="H350" s="6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1"/>
      <c r="V350" s="3"/>
      <c r="W350" s="3"/>
      <c r="X350" s="3"/>
      <c r="Y350" s="3"/>
      <c r="Z350" s="3"/>
    </row>
    <row r="351" ht="15.75" customHeight="1">
      <c r="A351" s="13" t="s">
        <v>151</v>
      </c>
      <c r="B351" s="56">
        <v>0.0</v>
      </c>
      <c r="C351" s="56">
        <v>0.0</v>
      </c>
      <c r="D351" s="55">
        <v>0.0</v>
      </c>
      <c r="E351" s="55">
        <v>0.0</v>
      </c>
      <c r="F351" s="3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1"/>
      <c r="V351" s="3"/>
      <c r="W351" s="3"/>
      <c r="X351" s="3"/>
      <c r="Y351" s="3"/>
      <c r="Z351" s="3"/>
    </row>
    <row r="352" ht="15.75" customHeight="1">
      <c r="A352" s="13" t="s">
        <v>152</v>
      </c>
      <c r="B352" s="56">
        <v>0.0</v>
      </c>
      <c r="C352" s="56">
        <v>0.0</v>
      </c>
      <c r="D352" s="55">
        <v>0.0</v>
      </c>
      <c r="E352" s="55">
        <v>0.0</v>
      </c>
      <c r="F352" s="3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9"/>
      <c r="S352" s="3"/>
      <c r="T352" s="3"/>
      <c r="U352" s="1"/>
      <c r="V352" s="3"/>
      <c r="W352" s="3"/>
      <c r="X352" s="3"/>
      <c r="Y352" s="3"/>
      <c r="Z352" s="3"/>
    </row>
    <row r="353" ht="15.75" customHeight="1">
      <c r="A353" s="13" t="s">
        <v>153</v>
      </c>
      <c r="B353" s="56">
        <v>0.0</v>
      </c>
      <c r="C353" s="56">
        <v>0.0</v>
      </c>
      <c r="D353" s="55">
        <v>0.0</v>
      </c>
      <c r="E353" s="55">
        <v>0.0</v>
      </c>
      <c r="F353" s="3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9"/>
      <c r="S353" s="3"/>
      <c r="T353" s="3"/>
      <c r="U353" s="1"/>
      <c r="V353" s="3"/>
      <c r="W353" s="3"/>
      <c r="X353" s="3"/>
      <c r="Y353" s="3"/>
      <c r="Z353" s="3"/>
    </row>
    <row r="354" ht="15.75" customHeight="1">
      <c r="A354" s="13" t="s">
        <v>154</v>
      </c>
      <c r="B354" s="56">
        <v>0.0</v>
      </c>
      <c r="C354" s="56">
        <v>0.0</v>
      </c>
      <c r="D354" s="55">
        <v>0.0</v>
      </c>
      <c r="E354" s="55">
        <v>0.0</v>
      </c>
      <c r="F354" s="3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1"/>
      <c r="V354" s="3"/>
      <c r="W354" s="3"/>
      <c r="X354" s="3"/>
      <c r="Y354" s="3"/>
      <c r="Z354" s="3"/>
    </row>
    <row r="355" ht="15.75" customHeight="1">
      <c r="A355" s="13" t="s">
        <v>155</v>
      </c>
      <c r="B355" s="55">
        <v>20000.0</v>
      </c>
      <c r="C355" s="55">
        <v>0.0</v>
      </c>
      <c r="D355" s="55">
        <v>0.0</v>
      </c>
      <c r="E355" s="55">
        <v>0.0</v>
      </c>
      <c r="F355" s="3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1"/>
      <c r="V355" s="3"/>
      <c r="W355" s="3"/>
      <c r="X355" s="3"/>
      <c r="Y355" s="3"/>
      <c r="Z355" s="3"/>
    </row>
    <row r="356" ht="15.75" customHeight="1">
      <c r="A356" s="13" t="s">
        <v>156</v>
      </c>
      <c r="B356" s="55">
        <v>0.0</v>
      </c>
      <c r="C356" s="55">
        <v>0.0</v>
      </c>
      <c r="D356" s="55">
        <v>12167.06</v>
      </c>
      <c r="E356" s="55">
        <v>0.0</v>
      </c>
      <c r="F356" s="3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1"/>
      <c r="V356" s="3"/>
      <c r="W356" s="3"/>
      <c r="X356" s="3"/>
      <c r="Y356" s="3"/>
      <c r="Z356" s="3"/>
    </row>
    <row r="357" ht="15.75" customHeight="1">
      <c r="A357" s="13" t="s">
        <v>157</v>
      </c>
      <c r="B357" s="55">
        <v>0.0</v>
      </c>
      <c r="C357" s="55">
        <v>0.0</v>
      </c>
      <c r="D357" s="55">
        <v>0.0</v>
      </c>
      <c r="E357" s="55">
        <v>0.0</v>
      </c>
      <c r="F357" s="3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1"/>
      <c r="V357" s="3"/>
      <c r="W357" s="3"/>
      <c r="X357" s="3"/>
      <c r="Y357" s="3"/>
      <c r="Z357" s="3"/>
    </row>
    <row r="358" ht="15.75" customHeight="1">
      <c r="A358" s="13" t="s">
        <v>158</v>
      </c>
      <c r="B358" s="56">
        <v>0.0</v>
      </c>
      <c r="C358" s="56">
        <v>0.0</v>
      </c>
      <c r="D358" s="55">
        <f>SUM(D328:D330)*2%</f>
        <v>22031.656</v>
      </c>
      <c r="E358" s="55">
        <v>0.0</v>
      </c>
      <c r="F358" s="3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1"/>
      <c r="V358" s="3"/>
      <c r="W358" s="3"/>
      <c r="X358" s="3"/>
      <c r="Y358" s="3"/>
      <c r="Z358" s="3"/>
    </row>
    <row r="359" ht="15.75" customHeight="1">
      <c r="A359" s="13" t="s">
        <v>159</v>
      </c>
      <c r="B359" s="55">
        <v>0.0</v>
      </c>
      <c r="C359" s="55">
        <v>0.0</v>
      </c>
      <c r="D359" s="55">
        <v>0.0</v>
      </c>
      <c r="E359" s="55">
        <v>0.0</v>
      </c>
      <c r="F359" s="3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1"/>
      <c r="V359" s="3"/>
      <c r="W359" s="3"/>
      <c r="X359" s="3"/>
      <c r="Y359" s="3"/>
      <c r="Z359" s="3"/>
    </row>
    <row r="360" ht="15.75" customHeight="1">
      <c r="A360" s="13" t="s">
        <v>160</v>
      </c>
      <c r="B360" s="55">
        <v>0.0</v>
      </c>
      <c r="C360" s="55">
        <v>0.0</v>
      </c>
      <c r="D360" s="55">
        <v>0.0</v>
      </c>
      <c r="E360" s="55">
        <v>0.0</v>
      </c>
      <c r="F360" s="3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1"/>
      <c r="V360" s="3"/>
      <c r="W360" s="3"/>
      <c r="X360" s="3"/>
      <c r="Y360" s="3"/>
      <c r="Z360" s="3"/>
    </row>
    <row r="361" ht="15.75" customHeight="1">
      <c r="A361" s="13" t="s">
        <v>161</v>
      </c>
      <c r="B361" s="55">
        <v>0.0</v>
      </c>
      <c r="C361" s="55">
        <v>0.0</v>
      </c>
      <c r="D361" s="55">
        <v>0.0</v>
      </c>
      <c r="E361" s="55">
        <v>0.0</v>
      </c>
      <c r="F361" s="3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1"/>
      <c r="V361" s="3"/>
      <c r="W361" s="3"/>
      <c r="X361" s="3"/>
      <c r="Y361" s="3"/>
      <c r="Z361" s="3"/>
    </row>
    <row r="362" ht="15.75" customHeight="1">
      <c r="A362" s="13" t="s">
        <v>162</v>
      </c>
      <c r="B362" s="55">
        <v>0.0</v>
      </c>
      <c r="C362" s="55">
        <v>0.0</v>
      </c>
      <c r="D362" s="55">
        <v>0.0</v>
      </c>
      <c r="E362" s="55">
        <v>0.0</v>
      </c>
      <c r="F362" s="3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1"/>
      <c r="V362" s="3"/>
      <c r="W362" s="3"/>
      <c r="X362" s="3"/>
      <c r="Y362" s="3"/>
      <c r="Z362" s="3"/>
    </row>
    <row r="363" ht="15.75" customHeight="1">
      <c r="A363" s="63"/>
      <c r="B363" s="55"/>
      <c r="C363" s="55"/>
      <c r="D363" s="55"/>
      <c r="E363" s="55"/>
      <c r="F363" s="3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1"/>
      <c r="V363" s="3"/>
      <c r="W363" s="3"/>
      <c r="X363" s="3"/>
      <c r="Y363" s="3"/>
      <c r="Z363" s="3"/>
    </row>
    <row r="364" ht="15.75" customHeight="1">
      <c r="A364" s="13" t="s">
        <v>163</v>
      </c>
      <c r="B364" s="56">
        <v>0.0</v>
      </c>
      <c r="C364" s="56">
        <f>SUM(C338:C361)*0.6%</f>
        <v>2970</v>
      </c>
      <c r="D364" s="56">
        <f>SUM(D338:D361)*0.6%+(D365*0.6%)</f>
        <v>5737.192296</v>
      </c>
      <c r="E364" s="56">
        <f>(E342*0.6%)+(E343*0.6%)+(E344*0.6%)+(E347*0.6%)+(E348*0.6%)</f>
        <v>0</v>
      </c>
      <c r="F364" s="3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1"/>
      <c r="V364" s="3"/>
      <c r="W364" s="3"/>
      <c r="X364" s="3"/>
      <c r="Y364" s="3"/>
      <c r="Z364" s="3"/>
    </row>
    <row r="365" ht="15.75" customHeight="1">
      <c r="A365" s="13" t="s">
        <v>164</v>
      </c>
      <c r="B365" s="56">
        <v>0.0</v>
      </c>
      <c r="C365" s="56">
        <f t="shared" ref="C365:D365" si="56">272000+150000</f>
        <v>422000</v>
      </c>
      <c r="D365" s="56">
        <f t="shared" si="56"/>
        <v>422000</v>
      </c>
      <c r="E365" s="56">
        <f>SUM(E339:E363)*0.6%+(E366*0.6%)</f>
        <v>0</v>
      </c>
      <c r="F365" s="6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1"/>
      <c r="V365" s="3"/>
      <c r="W365" s="3"/>
      <c r="X365" s="3"/>
      <c r="Y365" s="3"/>
      <c r="Z365" s="3"/>
    </row>
    <row r="366" ht="15.75" customHeight="1">
      <c r="A366" s="63"/>
      <c r="B366" s="63"/>
      <c r="C366" s="35"/>
      <c r="D366" s="2"/>
      <c r="E366" s="35"/>
      <c r="F366" s="3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1"/>
      <c r="V366" s="3"/>
      <c r="W366" s="3"/>
      <c r="X366" s="3"/>
      <c r="Y366" s="3"/>
      <c r="Z366" s="3"/>
    </row>
    <row r="367" ht="15.75" customHeight="1">
      <c r="A367" s="65" t="s">
        <v>165</v>
      </c>
      <c r="B367" s="66">
        <f>SUM(B338:B366)</f>
        <v>70000</v>
      </c>
      <c r="C367" s="66">
        <f>SUM(C338:C364)</f>
        <v>497970</v>
      </c>
      <c r="D367" s="66">
        <f>SUM(D338:D365)</f>
        <v>961935.9083</v>
      </c>
      <c r="E367" s="66">
        <f>E349+E353+E364-E365</f>
        <v>0</v>
      </c>
      <c r="F367" s="67" t="str">
        <f>F342</f>
        <v/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1"/>
      <c r="V367" s="3"/>
      <c r="W367" s="3"/>
      <c r="X367" s="3"/>
      <c r="Y367" s="3"/>
      <c r="Z367" s="3"/>
    </row>
    <row r="368" ht="15.75" customHeight="1">
      <c r="A368" s="63"/>
      <c r="B368" s="63"/>
      <c r="C368" s="35"/>
      <c r="D368" s="35"/>
      <c r="E368" s="35"/>
      <c r="F368" s="3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1"/>
      <c r="V368" s="3"/>
      <c r="W368" s="3"/>
      <c r="X368" s="3"/>
      <c r="Y368" s="3"/>
      <c r="Z368" s="3"/>
    </row>
    <row r="369" ht="15.75" customHeight="1">
      <c r="A369" s="65" t="s">
        <v>166</v>
      </c>
      <c r="B369" s="68">
        <f>B335-B367</f>
        <v>2778150</v>
      </c>
      <c r="C369" s="69">
        <f>C335-C367+C365</f>
        <v>236114.49</v>
      </c>
      <c r="D369" s="69">
        <f t="shared" ref="D369:F369" si="57">D335-D367</f>
        <v>1401865.675</v>
      </c>
      <c r="E369" s="70">
        <f t="shared" si="57"/>
        <v>0</v>
      </c>
      <c r="F369" s="70">
        <f t="shared" si="57"/>
        <v>8500000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1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1"/>
      <c r="V370" s="3"/>
      <c r="W370" s="3"/>
      <c r="X370" s="3"/>
      <c r="Y370" s="3"/>
      <c r="Z370" s="3"/>
    </row>
    <row r="371" ht="15.75" customHeight="1">
      <c r="A371" s="71" t="s">
        <v>167</v>
      </c>
      <c r="B371" s="72">
        <v>249800.0</v>
      </c>
      <c r="C371" s="52"/>
      <c r="D371" s="52"/>
      <c r="E371" s="52"/>
      <c r="F371" s="5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9"/>
      <c r="S371" s="3"/>
      <c r="T371" s="3"/>
      <c r="U371" s="1"/>
      <c r="V371" s="3"/>
      <c r="W371" s="3"/>
      <c r="X371" s="3"/>
      <c r="Y371" s="3"/>
      <c r="Z371" s="3"/>
    </row>
    <row r="372" ht="15.75" customHeight="1">
      <c r="A372" s="71" t="s">
        <v>168</v>
      </c>
      <c r="B372" s="72">
        <v>2528350.0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1"/>
      <c r="V372" s="3"/>
      <c r="W372" s="3"/>
      <c r="X372" s="3"/>
      <c r="Y372" s="3"/>
      <c r="Z372" s="3"/>
    </row>
    <row r="373" ht="15.75" customHeight="1">
      <c r="A373" s="2"/>
      <c r="B373" s="52" t="s">
        <v>13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1"/>
      <c r="V373" s="3"/>
      <c r="W373" s="3"/>
      <c r="X373" s="3"/>
      <c r="Y373" s="3"/>
      <c r="Z373" s="3"/>
    </row>
    <row r="374" ht="15.75" customHeight="1">
      <c r="A374" s="2"/>
      <c r="B374" s="52">
        <f>SUM(B371:B372)</f>
        <v>2778150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1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9"/>
      <c r="S375" s="3"/>
      <c r="T375" s="3"/>
      <c r="U375" s="1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9"/>
      <c r="S376" s="3"/>
      <c r="T376" s="3"/>
      <c r="U376" s="1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1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1"/>
      <c r="V378" s="3"/>
      <c r="W378" s="9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1"/>
      <c r="V379" s="3"/>
      <c r="W379" s="9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1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1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1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1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1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1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1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1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1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1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1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1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1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1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1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1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1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1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1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9"/>
      <c r="S399" s="3"/>
      <c r="T399" s="3"/>
      <c r="U399" s="1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1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1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1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9"/>
      <c r="S403" s="3"/>
      <c r="T403" s="3"/>
      <c r="U403" s="1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9"/>
      <c r="S404" s="3"/>
      <c r="T404" s="3"/>
      <c r="U404" s="1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1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1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1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1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1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1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1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1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1"/>
      <c r="V413" s="3"/>
      <c r="W413" s="9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1"/>
      <c r="V414" s="3"/>
      <c r="W414" s="9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1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1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9"/>
      <c r="S417" s="3"/>
      <c r="T417" s="3"/>
      <c r="U417" s="1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1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1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1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9"/>
      <c r="S421" s="3"/>
      <c r="T421" s="3"/>
      <c r="U421" s="1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9"/>
      <c r="S422" s="3"/>
      <c r="T422" s="3"/>
      <c r="U422" s="1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2"/>
      <c r="S423" s="3"/>
      <c r="T423" s="3"/>
      <c r="U423" s="1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1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1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1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1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1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1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1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1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1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1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1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1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1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1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9"/>
      <c r="S438" s="3"/>
      <c r="T438" s="3"/>
      <c r="U438" s="1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9"/>
      <c r="S439" s="3"/>
      <c r="T439" s="3"/>
      <c r="U439" s="1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1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1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9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9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3"/>
      <c r="T448" s="3"/>
      <c r="U448" s="9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9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9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2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9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9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9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9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2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2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9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9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9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3"/>
      <c r="T490" s="3"/>
      <c r="U490" s="9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9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3"/>
      <c r="R492" s="9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2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9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2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2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2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3"/>
      <c r="R504" s="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2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3"/>
      <c r="R506" s="2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3"/>
      <c r="R507" s="2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3"/>
      <c r="R508" s="2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3"/>
      <c r="R509" s="2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3"/>
      <c r="R510" s="2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3"/>
      <c r="R511" s="2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3"/>
      <c r="R512" s="2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3"/>
      <c r="R513" s="52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3"/>
      <c r="R514" s="52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3"/>
      <c r="R515" s="2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3"/>
      <c r="R516" s="52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3"/>
      <c r="R517" s="52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3"/>
      <c r="R518" s="52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3"/>
      <c r="R519" s="52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3"/>
      <c r="R520" s="52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3"/>
      <c r="R521" s="52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3"/>
      <c r="R522" s="2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3"/>
      <c r="R523" s="2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3"/>
      <c r="R524" s="52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3"/>
      <c r="R525" s="52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3"/>
      <c r="R526" s="52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3"/>
      <c r="R527" s="52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3"/>
      <c r="R528" s="52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3"/>
      <c r="R529" s="52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3"/>
      <c r="R530" s="52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3"/>
      <c r="R531" s="52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3"/>
      <c r="R532" s="9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3"/>
      <c r="R533" s="52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3"/>
      <c r="R534" s="52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52"/>
      <c r="R535" s="52"/>
      <c r="S535" s="3"/>
      <c r="T535" s="3"/>
      <c r="U535" s="9"/>
      <c r="V535" s="3"/>
      <c r="W535" s="3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3"/>
      <c r="R536" s="9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3"/>
      <c r="R537" s="9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3"/>
      <c r="R538" s="52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3"/>
      <c r="R539" s="52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3"/>
      <c r="R540" s="52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3"/>
      <c r="R541" s="52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/>
      <c r="R542" s="2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3"/>
      <c r="R543" s="52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3"/>
      <c r="R544" s="2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3"/>
      <c r="R545" s="52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3"/>
      <c r="R546" s="2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3"/>
      <c r="R547" s="52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3"/>
      <c r="R548" s="2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3"/>
      <c r="R549" s="2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3"/>
      <c r="R550" s="2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3"/>
      <c r="R551" s="2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3"/>
      <c r="R552" s="2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3"/>
      <c r="R553" s="2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3"/>
      <c r="R554" s="2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3"/>
      <c r="R555" s="2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3"/>
      <c r="R556" s="2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3"/>
      <c r="R557" s="2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3"/>
      <c r="R558" s="2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3"/>
      <c r="R559" s="2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3"/>
      <c r="R560" s="2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3"/>
      <c r="R561" s="2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3"/>
      <c r="R562" s="2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3"/>
      <c r="R563" s="2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3"/>
      <c r="R564" s="2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3"/>
      <c r="R565" s="2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3"/>
      <c r="R566" s="2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3"/>
      <c r="R567" s="2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3"/>
      <c r="R568" s="2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3"/>
      <c r="R569" s="2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3"/>
      <c r="R570" s="2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3"/>
      <c r="R571" s="2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3"/>
      <c r="R572" s="2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3"/>
      <c r="R573" s="2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3"/>
      <c r="R574" s="2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3"/>
      <c r="R575" s="2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3"/>
      <c r="R576" s="2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3"/>
      <c r="R577" s="2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3"/>
      <c r="R578" s="9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3"/>
      <c r="R579" s="2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3"/>
      <c r="R580" s="2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9"/>
      <c r="T581" s="3"/>
      <c r="U581" s="2"/>
      <c r="V581" s="3"/>
      <c r="W581" s="3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3"/>
      <c r="R582" s="9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3"/>
      <c r="R583" s="9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3"/>
      <c r="R584" s="2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3"/>
      <c r="R585" s="2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3"/>
      <c r="R586" s="2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3"/>
      <c r="R587" s="2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3"/>
      <c r="R588" s="2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3"/>
      <c r="R589" s="2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3"/>
      <c r="R590" s="2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3"/>
      <c r="R591" s="2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3"/>
      <c r="R592" s="2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3"/>
      <c r="R593" s="9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3"/>
      <c r="R594" s="2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3"/>
      <c r="R595" s="2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3"/>
      <c r="R596" s="2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3"/>
      <c r="R597" s="2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9"/>
      <c r="T598" s="3"/>
      <c r="U598" s="2"/>
      <c r="V598" s="3"/>
      <c r="W598" s="3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3"/>
      <c r="R599" s="9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3"/>
      <c r="R600" s="9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3"/>
      <c r="R601" s="2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3"/>
      <c r="R602" s="2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3"/>
      <c r="R603" s="2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3"/>
      <c r="R604" s="9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3"/>
      <c r="R605" s="2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3"/>
      <c r="R606" s="2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3"/>
      <c r="R608" s="2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9"/>
      <c r="T609" s="3"/>
      <c r="U609" s="2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3"/>
      <c r="R610" s="2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3"/>
      <c r="R611" s="9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3"/>
      <c r="R612" s="2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3"/>
      <c r="R613" s="2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3"/>
      <c r="R614" s="2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3"/>
      <c r="R615" s="2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3"/>
      <c r="R616" s="2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3"/>
      <c r="R617" s="2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3"/>
      <c r="R618" s="2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3"/>
      <c r="R619" s="2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3"/>
      <c r="R620" s="2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3"/>
      <c r="R621" s="2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3"/>
      <c r="R622" s="9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3"/>
      <c r="R623" s="2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3"/>
      <c r="R624" s="2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3"/>
      <c r="T625" s="3"/>
      <c r="U625" s="9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3"/>
      <c r="R626" s="2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3"/>
      <c r="R627" s="9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3"/>
      <c r="R628" s="2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3"/>
      <c r="R629" s="2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3"/>
      <c r="R630" s="2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3"/>
      <c r="R631" s="2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3"/>
      <c r="R632" s="2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3"/>
      <c r="R633" s="2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3"/>
      <c r="R634" s="2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3"/>
      <c r="R635" s="2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3"/>
      <c r="R636" s="9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3"/>
      <c r="R637" s="2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3"/>
      <c r="R638" s="2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3"/>
      <c r="T639" s="9"/>
      <c r="U639" s="2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3"/>
      <c r="R640" s="2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3"/>
      <c r="R641" s="9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3"/>
      <c r="R642" s="2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3"/>
      <c r="R643" s="2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3"/>
      <c r="R644" s="2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3"/>
      <c r="R645" s="2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3"/>
      <c r="R646" s="2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3"/>
      <c r="R647" s="2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3"/>
      <c r="R648" s="9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3"/>
      <c r="R649" s="9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3"/>
      <c r="R650" s="9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3"/>
      <c r="T651" s="9"/>
      <c r="U651" s="2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3"/>
      <c r="R652" s="2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3"/>
      <c r="R653" s="9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3"/>
      <c r="R654" s="2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3"/>
      <c r="R655" s="2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3"/>
      <c r="R656" s="2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3"/>
      <c r="R657" s="2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3"/>
      <c r="R658" s="2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3"/>
      <c r="R659" s="9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3"/>
      <c r="R660" s="2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3"/>
      <c r="R661" s="2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3"/>
      <c r="R662" s="2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3"/>
      <c r="R664" s="2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3"/>
      <c r="R666" s="2"/>
      <c r="S666" s="2"/>
      <c r="T666" s="3"/>
      <c r="U666" s="2"/>
      <c r="V666" s="2"/>
      <c r="W666" s="2"/>
      <c r="X666" s="3"/>
      <c r="Y666" s="3"/>
      <c r="Z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3"/>
      <c r="T667" s="3"/>
      <c r="U667" s="3"/>
      <c r="V667" s="2"/>
      <c r="W667" s="2"/>
      <c r="X667" s="3"/>
      <c r="Y667" s="3"/>
      <c r="Z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44"/>
      <c r="R669" s="44"/>
      <c r="S669" s="44"/>
      <c r="T669" s="44"/>
      <c r="U669" s="44"/>
      <c r="V669" s="44"/>
      <c r="W669" s="44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3"/>
      <c r="T670" s="3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"/>
      <c r="R671" s="2"/>
      <c r="S671" s="3"/>
      <c r="T671" s="3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4"/>
      <c r="R673" s="75"/>
      <c r="S673" s="76"/>
      <c r="T673" s="76"/>
      <c r="U673" s="76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7"/>
      <c r="R674" s="77"/>
      <c r="S674" s="77"/>
      <c r="T674" s="77"/>
      <c r="U674" s="77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52"/>
      <c r="R675" s="52"/>
      <c r="S675" s="52"/>
      <c r="T675" s="5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52"/>
      <c r="R677" s="52"/>
      <c r="S677" s="52"/>
      <c r="T677" s="52"/>
      <c r="U677" s="5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52"/>
      <c r="R678" s="52"/>
      <c r="S678" s="52"/>
      <c r="T678" s="5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52"/>
      <c r="R679" s="52"/>
      <c r="S679" s="52"/>
      <c r="T679" s="5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52"/>
      <c r="R680" s="52"/>
      <c r="S680" s="52"/>
      <c r="T680" s="5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52"/>
      <c r="R681" s="52"/>
      <c r="S681" s="52"/>
      <c r="T681" s="5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8"/>
      <c r="R682" s="78"/>
      <c r="S682" s="78"/>
      <c r="T682" s="78"/>
      <c r="U682" s="79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"/>
      <c r="R683" s="2"/>
      <c r="S683" s="3"/>
      <c r="T683" s="3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62"/>
      <c r="R685" s="62"/>
      <c r="S685" s="62"/>
      <c r="T685" s="6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62"/>
      <c r="R686" s="62"/>
      <c r="S686" s="62"/>
      <c r="T686" s="6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62"/>
      <c r="R687" s="62"/>
      <c r="S687" s="62"/>
      <c r="T687" s="6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62"/>
      <c r="R688" s="62"/>
      <c r="S688" s="62"/>
      <c r="T688" s="6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62"/>
      <c r="R689" s="62"/>
      <c r="S689" s="62"/>
      <c r="T689" s="62"/>
      <c r="U689" s="2"/>
      <c r="V689" s="2"/>
      <c r="W689" s="6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62"/>
      <c r="R690" s="62"/>
      <c r="S690" s="62"/>
      <c r="T690" s="6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62"/>
      <c r="R691" s="62"/>
      <c r="S691" s="62"/>
      <c r="T691" s="62"/>
      <c r="U691" s="2"/>
      <c r="V691" s="2"/>
      <c r="W691" s="6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62"/>
      <c r="R692" s="62"/>
      <c r="S692" s="62"/>
      <c r="T692" s="62"/>
      <c r="U692" s="2"/>
      <c r="V692" s="2"/>
      <c r="W692" s="6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52"/>
      <c r="R693" s="52"/>
      <c r="S693" s="52"/>
      <c r="T693" s="5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52"/>
      <c r="R694" s="52"/>
      <c r="S694" s="52"/>
      <c r="T694" s="52"/>
      <c r="U694" s="2"/>
      <c r="V694" s="2"/>
      <c r="W694" s="6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52"/>
      <c r="R695" s="52"/>
      <c r="S695" s="52"/>
      <c r="T695" s="5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52"/>
      <c r="R696" s="52"/>
      <c r="S696" s="52"/>
      <c r="T696" s="5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52"/>
      <c r="R697" s="52"/>
      <c r="S697" s="52"/>
      <c r="T697" s="5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52"/>
      <c r="R698" s="52"/>
      <c r="S698" s="52"/>
      <c r="T698" s="5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52"/>
      <c r="R699" s="52"/>
      <c r="S699" s="52"/>
      <c r="T699" s="5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52"/>
      <c r="R700" s="52"/>
      <c r="S700" s="52"/>
      <c r="T700" s="5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52"/>
      <c r="R701" s="52"/>
      <c r="S701" s="52"/>
      <c r="T701" s="5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"/>
      <c r="R702" s="52"/>
      <c r="S702" s="52"/>
      <c r="T702" s="5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8"/>
      <c r="R704" s="78"/>
      <c r="S704" s="78"/>
      <c r="T704" s="78"/>
      <c r="U704" s="79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7"/>
      <c r="R706" s="78"/>
      <c r="S706" s="78"/>
      <c r="T706" s="80"/>
      <c r="U706" s="80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52"/>
      <c r="R708" s="52"/>
      <c r="S708" s="52"/>
      <c r="T708" s="52"/>
      <c r="U708" s="5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5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</sheetData>
  <mergeCells count="12">
    <mergeCell ref="A324:A325"/>
    <mergeCell ref="A327:F327"/>
    <mergeCell ref="A337:F337"/>
    <mergeCell ref="U377:W377"/>
    <mergeCell ref="U412:W412"/>
    <mergeCell ref="I34:K34"/>
    <mergeCell ref="I64:K64"/>
    <mergeCell ref="I78:K78"/>
    <mergeCell ref="I94:K94"/>
    <mergeCell ref="I141:K141"/>
    <mergeCell ref="A319:B319"/>
    <mergeCell ref="U323:W323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4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5" t="s">
        <v>230</v>
      </c>
      <c r="E2" s="86" t="s">
        <v>62</v>
      </c>
      <c r="F2" s="82">
        <v>46063.0</v>
      </c>
      <c r="G2" s="6"/>
      <c r="H2" s="3"/>
      <c r="I2" s="94" t="s">
        <v>3</v>
      </c>
      <c r="J2" s="8"/>
      <c r="K2" s="8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88" t="s">
        <v>4</v>
      </c>
      <c r="B4" s="92" t="s">
        <v>5</v>
      </c>
      <c r="C4" s="93" t="s">
        <v>6</v>
      </c>
      <c r="D4" s="84" t="s">
        <v>7</v>
      </c>
      <c r="E4" s="92" t="s">
        <v>8</v>
      </c>
      <c r="F4" s="92" t="s">
        <v>9</v>
      </c>
      <c r="G4" s="3"/>
      <c r="H4" s="3"/>
      <c r="I4" s="92" t="s">
        <v>260</v>
      </c>
      <c r="J4" s="92" t="s">
        <v>8</v>
      </c>
      <c r="K4" s="92" t="s">
        <v>10</v>
      </c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2.0</v>
      </c>
      <c r="B5" s="84" t="s">
        <v>33</v>
      </c>
      <c r="C5" s="85" t="s">
        <v>24</v>
      </c>
      <c r="D5" s="22">
        <v>4000.0</v>
      </c>
      <c r="E5" s="15">
        <f t="shared" ref="E5:E23" si="1">A5*D5</f>
        <v>8000</v>
      </c>
      <c r="F5" s="15">
        <f t="shared" ref="F5:F19" si="2">E5*1.105</f>
        <v>8840</v>
      </c>
      <c r="G5" s="3"/>
      <c r="H5" s="3"/>
      <c r="I5" s="22">
        <f>25000/7</f>
        <v>3571.428571</v>
      </c>
      <c r="J5" s="22">
        <f t="shared" ref="J5:J23" si="3">I5*A5</f>
        <v>7142.857143</v>
      </c>
      <c r="K5" s="22">
        <f t="shared" ref="K5:K23" si="4">F5-J5</f>
        <v>1697.142857</v>
      </c>
      <c r="L5" s="4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1.0</v>
      </c>
      <c r="B6" s="84" t="s">
        <v>33</v>
      </c>
      <c r="C6" s="85" t="s">
        <v>25</v>
      </c>
      <c r="D6" s="22">
        <v>3100.0</v>
      </c>
      <c r="E6" s="15">
        <f t="shared" si="1"/>
        <v>3100</v>
      </c>
      <c r="F6" s="15">
        <f t="shared" si="2"/>
        <v>3425.5</v>
      </c>
      <c r="G6" s="3"/>
      <c r="H6" s="3"/>
      <c r="I6" s="87">
        <f>13000/7</f>
        <v>1857.142857</v>
      </c>
      <c r="J6" s="22">
        <f t="shared" si="3"/>
        <v>1857.142857</v>
      </c>
      <c r="K6" s="22">
        <f t="shared" si="4"/>
        <v>1568.357143</v>
      </c>
      <c r="L6" s="4"/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1.0</v>
      </c>
      <c r="B7" s="84" t="s">
        <v>33</v>
      </c>
      <c r="C7" s="85" t="s">
        <v>26</v>
      </c>
      <c r="D7" s="22">
        <v>4000.0</v>
      </c>
      <c r="E7" s="15">
        <f t="shared" si="1"/>
        <v>4000</v>
      </c>
      <c r="F7" s="15">
        <f t="shared" si="2"/>
        <v>4420</v>
      </c>
      <c r="G7" s="3"/>
      <c r="H7" s="3"/>
      <c r="I7" s="22">
        <f>25000/7</f>
        <v>3571.428571</v>
      </c>
      <c r="J7" s="22">
        <f t="shared" si="3"/>
        <v>3571.428571</v>
      </c>
      <c r="K7" s="22">
        <f t="shared" si="4"/>
        <v>848.5714286</v>
      </c>
      <c r="L7" s="4"/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5.0</v>
      </c>
      <c r="B8" s="84" t="s">
        <v>33</v>
      </c>
      <c r="C8" s="85" t="s">
        <v>174</v>
      </c>
      <c r="D8" s="22">
        <v>1600.0</v>
      </c>
      <c r="E8" s="15">
        <f t="shared" si="1"/>
        <v>8000</v>
      </c>
      <c r="F8" s="15">
        <f t="shared" si="2"/>
        <v>8840</v>
      </c>
      <c r="G8" s="3"/>
      <c r="H8" s="22"/>
      <c r="I8" s="22">
        <v>1000.0</v>
      </c>
      <c r="J8" s="22">
        <f t="shared" si="3"/>
        <v>5000</v>
      </c>
      <c r="K8" s="22">
        <f t="shared" si="4"/>
        <v>3840</v>
      </c>
      <c r="L8" s="4"/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1.0</v>
      </c>
      <c r="B9" s="84" t="s">
        <v>38</v>
      </c>
      <c r="C9" s="85" t="s">
        <v>96</v>
      </c>
      <c r="D9" s="22">
        <v>12000.0</v>
      </c>
      <c r="E9" s="15">
        <f t="shared" si="1"/>
        <v>12000</v>
      </c>
      <c r="F9" s="15">
        <f t="shared" si="2"/>
        <v>13260</v>
      </c>
      <c r="G9" s="3"/>
      <c r="H9" s="3"/>
      <c r="I9" s="22">
        <v>9000.0</v>
      </c>
      <c r="J9" s="22">
        <f t="shared" si="3"/>
        <v>9000</v>
      </c>
      <c r="K9" s="22">
        <f t="shared" si="4"/>
        <v>4260</v>
      </c>
      <c r="L9" s="4"/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38</v>
      </c>
      <c r="C10" s="85" t="s">
        <v>179</v>
      </c>
      <c r="D10" s="22">
        <v>21000.0</v>
      </c>
      <c r="E10" s="15">
        <f t="shared" si="1"/>
        <v>21000</v>
      </c>
      <c r="F10" s="15">
        <f t="shared" si="2"/>
        <v>23205</v>
      </c>
      <c r="G10" s="3"/>
      <c r="H10" s="22"/>
      <c r="I10" s="22">
        <v>19000.0</v>
      </c>
      <c r="J10" s="22">
        <f t="shared" si="3"/>
        <v>19000</v>
      </c>
      <c r="K10" s="22">
        <f t="shared" si="4"/>
        <v>4205</v>
      </c>
      <c r="L10" s="4"/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1.0</v>
      </c>
      <c r="B11" s="84" t="s">
        <v>5</v>
      </c>
      <c r="C11" s="85" t="s">
        <v>235</v>
      </c>
      <c r="D11" s="22">
        <v>3000.0</v>
      </c>
      <c r="E11" s="15">
        <f t="shared" si="1"/>
        <v>3000</v>
      </c>
      <c r="F11" s="15">
        <f t="shared" si="2"/>
        <v>3315</v>
      </c>
      <c r="G11" s="3"/>
      <c r="H11" s="22"/>
      <c r="I11" s="22">
        <v>2000.0</v>
      </c>
      <c r="J11" s="22">
        <f t="shared" si="3"/>
        <v>2000</v>
      </c>
      <c r="K11" s="22">
        <f t="shared" si="4"/>
        <v>1315</v>
      </c>
      <c r="L11" s="4"/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0.25</v>
      </c>
      <c r="B12" s="84" t="s">
        <v>5</v>
      </c>
      <c r="C12" s="85" t="s">
        <v>104</v>
      </c>
      <c r="D12" s="22">
        <v>2500.0</v>
      </c>
      <c r="E12" s="15">
        <f t="shared" si="1"/>
        <v>625</v>
      </c>
      <c r="F12" s="15">
        <f t="shared" si="2"/>
        <v>690.625</v>
      </c>
      <c r="G12" s="3"/>
      <c r="H12" s="87"/>
      <c r="I12" s="22">
        <v>2000.0</v>
      </c>
      <c r="J12" s="22">
        <f t="shared" si="3"/>
        <v>500</v>
      </c>
      <c r="K12" s="22">
        <f t="shared" si="4"/>
        <v>190.625</v>
      </c>
      <c r="L12" s="4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0.5</v>
      </c>
      <c r="B13" s="84" t="s">
        <v>33</v>
      </c>
      <c r="C13" s="85" t="s">
        <v>67</v>
      </c>
      <c r="D13" s="22">
        <v>800.0</v>
      </c>
      <c r="E13" s="15">
        <f t="shared" si="1"/>
        <v>400</v>
      </c>
      <c r="F13" s="15">
        <f t="shared" si="2"/>
        <v>442</v>
      </c>
      <c r="G13" s="3"/>
      <c r="H13" s="87"/>
      <c r="I13" s="22">
        <v>500.0</v>
      </c>
      <c r="J13" s="22">
        <f t="shared" si="3"/>
        <v>250</v>
      </c>
      <c r="K13" s="22">
        <f t="shared" si="4"/>
        <v>192</v>
      </c>
      <c r="L13" s="4"/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6.0</v>
      </c>
      <c r="B14" s="84" t="s">
        <v>33</v>
      </c>
      <c r="C14" s="85" t="s">
        <v>64</v>
      </c>
      <c r="D14" s="22">
        <v>1600.0</v>
      </c>
      <c r="E14" s="15">
        <f t="shared" si="1"/>
        <v>9600</v>
      </c>
      <c r="F14" s="15">
        <f t="shared" si="2"/>
        <v>10608</v>
      </c>
      <c r="G14" s="3"/>
      <c r="H14" s="3"/>
      <c r="I14" s="22">
        <v>1000.0</v>
      </c>
      <c r="J14" s="22">
        <f t="shared" si="3"/>
        <v>6000</v>
      </c>
      <c r="K14" s="22">
        <f t="shared" si="4"/>
        <v>4608</v>
      </c>
      <c r="L14" s="4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18.0</v>
      </c>
      <c r="B15" s="84" t="s">
        <v>11</v>
      </c>
      <c r="C15" s="85" t="s">
        <v>65</v>
      </c>
      <c r="D15" s="22">
        <v>500.0</v>
      </c>
      <c r="E15" s="15">
        <f t="shared" si="1"/>
        <v>9000</v>
      </c>
      <c r="F15" s="15">
        <f t="shared" si="2"/>
        <v>9945</v>
      </c>
      <c r="G15" s="3"/>
      <c r="H15" s="3"/>
      <c r="I15" s="22">
        <v>416.0</v>
      </c>
      <c r="J15" s="22">
        <f t="shared" si="3"/>
        <v>7488</v>
      </c>
      <c r="K15" s="22">
        <f t="shared" si="4"/>
        <v>2457</v>
      </c>
      <c r="L15" s="4"/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1.25</v>
      </c>
      <c r="B16" s="84" t="s">
        <v>33</v>
      </c>
      <c r="C16" s="85" t="s">
        <v>233</v>
      </c>
      <c r="D16" s="22">
        <v>3500.0</v>
      </c>
      <c r="E16" s="15">
        <f t="shared" si="1"/>
        <v>4375</v>
      </c>
      <c r="F16" s="15">
        <f t="shared" si="2"/>
        <v>4834.375</v>
      </c>
      <c r="G16" s="3"/>
      <c r="H16" s="3"/>
      <c r="I16" s="22">
        <v>2500.0</v>
      </c>
      <c r="J16" s="22">
        <f t="shared" si="3"/>
        <v>3125</v>
      </c>
      <c r="K16" s="22">
        <f t="shared" si="4"/>
        <v>1709.375</v>
      </c>
      <c r="L16" s="4"/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4.0</v>
      </c>
      <c r="B17" s="84" t="s">
        <v>33</v>
      </c>
      <c r="C17" s="85" t="s">
        <v>54</v>
      </c>
      <c r="D17" s="22">
        <v>1400.0</v>
      </c>
      <c r="E17" s="15">
        <f t="shared" si="1"/>
        <v>5600</v>
      </c>
      <c r="F17" s="15">
        <f t="shared" si="2"/>
        <v>6188</v>
      </c>
      <c r="G17" s="3"/>
      <c r="H17" s="3"/>
      <c r="I17" s="22">
        <v>1000.0</v>
      </c>
      <c r="J17" s="22">
        <f t="shared" si="3"/>
        <v>4000</v>
      </c>
      <c r="K17" s="22">
        <f t="shared" si="4"/>
        <v>2188</v>
      </c>
      <c r="L17" s="4"/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4.0</v>
      </c>
      <c r="B18" s="84" t="s">
        <v>33</v>
      </c>
      <c r="C18" s="85" t="s">
        <v>276</v>
      </c>
      <c r="D18" s="22">
        <v>4500.0</v>
      </c>
      <c r="E18" s="15">
        <f t="shared" si="1"/>
        <v>18000</v>
      </c>
      <c r="F18" s="15">
        <f t="shared" si="2"/>
        <v>19890</v>
      </c>
      <c r="G18" s="3"/>
      <c r="H18" s="22"/>
      <c r="I18" s="22">
        <f>60000/18</f>
        <v>3333.333333</v>
      </c>
      <c r="J18" s="22">
        <f t="shared" si="3"/>
        <v>13333.33333</v>
      </c>
      <c r="K18" s="22">
        <f t="shared" si="4"/>
        <v>6556.666667</v>
      </c>
      <c r="L18" s="4"/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3.0</v>
      </c>
      <c r="B19" s="84" t="s">
        <v>33</v>
      </c>
      <c r="C19" s="85" t="s">
        <v>55</v>
      </c>
      <c r="D19" s="22">
        <v>2500.0</v>
      </c>
      <c r="E19" s="15">
        <f t="shared" si="1"/>
        <v>7500</v>
      </c>
      <c r="F19" s="15">
        <f t="shared" si="2"/>
        <v>8287.5</v>
      </c>
      <c r="G19" s="3"/>
      <c r="H19" s="3"/>
      <c r="I19" s="87">
        <f>27000/18</f>
        <v>1500</v>
      </c>
      <c r="J19" s="22">
        <f t="shared" si="3"/>
        <v>4500</v>
      </c>
      <c r="K19" s="22">
        <f t="shared" si="4"/>
        <v>3787.5</v>
      </c>
      <c r="L19" s="4"/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2.0</v>
      </c>
      <c r="B20" s="84" t="s">
        <v>231</v>
      </c>
      <c r="C20" s="85" t="s">
        <v>277</v>
      </c>
      <c r="D20" s="22">
        <v>4500.0</v>
      </c>
      <c r="E20" s="15">
        <f t="shared" si="1"/>
        <v>9000</v>
      </c>
      <c r="F20" s="15">
        <f>E20*1.21</f>
        <v>10890</v>
      </c>
      <c r="G20" s="3"/>
      <c r="H20" s="3"/>
      <c r="I20" s="87">
        <f>50000/12</f>
        <v>4166.666667</v>
      </c>
      <c r="J20" s="22">
        <f t="shared" si="3"/>
        <v>8333.333333</v>
      </c>
      <c r="K20" s="22">
        <f t="shared" si="4"/>
        <v>2556.666667</v>
      </c>
      <c r="L20" s="4"/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0.5</v>
      </c>
      <c r="B21" s="84" t="s">
        <v>11</v>
      </c>
      <c r="C21" s="85" t="s">
        <v>236</v>
      </c>
      <c r="D21" s="22">
        <v>5000.0</v>
      </c>
      <c r="E21" s="15">
        <f t="shared" si="1"/>
        <v>2500</v>
      </c>
      <c r="F21" s="15">
        <f t="shared" ref="F21:F23" si="5">E21*1.105</f>
        <v>2762.5</v>
      </c>
      <c r="G21" s="3"/>
      <c r="H21" s="3"/>
      <c r="I21" s="87">
        <v>4000.0</v>
      </c>
      <c r="J21" s="22">
        <f t="shared" si="3"/>
        <v>2000</v>
      </c>
      <c r="K21" s="22">
        <f t="shared" si="4"/>
        <v>762.5</v>
      </c>
      <c r="L21" s="4"/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4.0</v>
      </c>
      <c r="B22" s="84" t="s">
        <v>33</v>
      </c>
      <c r="C22" s="85" t="s">
        <v>278</v>
      </c>
      <c r="D22" s="22">
        <v>1600.0</v>
      </c>
      <c r="E22" s="15">
        <f t="shared" si="1"/>
        <v>6400</v>
      </c>
      <c r="F22" s="15">
        <f t="shared" si="5"/>
        <v>7072</v>
      </c>
      <c r="G22" s="3"/>
      <c r="H22" s="3"/>
      <c r="I22" s="22">
        <f>40000/18</f>
        <v>2222.222222</v>
      </c>
      <c r="J22" s="22">
        <f t="shared" si="3"/>
        <v>8888.888889</v>
      </c>
      <c r="K22" s="22">
        <f t="shared" si="4"/>
        <v>-1816.888889</v>
      </c>
      <c r="L22" s="4"/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0.5</v>
      </c>
      <c r="B23" s="84" t="s">
        <v>33</v>
      </c>
      <c r="C23" s="85" t="s">
        <v>23</v>
      </c>
      <c r="D23" s="22">
        <v>1600.0</v>
      </c>
      <c r="E23" s="15">
        <f t="shared" si="1"/>
        <v>800</v>
      </c>
      <c r="F23" s="15">
        <f t="shared" si="5"/>
        <v>884</v>
      </c>
      <c r="G23" s="3"/>
      <c r="H23" s="3"/>
      <c r="I23" s="87">
        <v>600.0</v>
      </c>
      <c r="J23" s="22">
        <f t="shared" si="3"/>
        <v>300</v>
      </c>
      <c r="K23" s="22">
        <f t="shared" si="4"/>
        <v>584</v>
      </c>
      <c r="L23" s="4"/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"/>
      <c r="B24" s="3"/>
      <c r="C24" s="9"/>
      <c r="D24" s="3"/>
      <c r="E24" s="3"/>
      <c r="F24" s="3"/>
      <c r="G24" s="3"/>
      <c r="H24" s="3"/>
      <c r="I24" s="3"/>
      <c r="J24" s="3"/>
      <c r="K24" s="3"/>
      <c r="L24" s="4"/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5"/>
      <c r="B25" s="10"/>
      <c r="C25" s="11"/>
      <c r="D25" s="12"/>
      <c r="E25" s="92">
        <f t="shared" ref="E25:F25" si="6">SUM(E5:E23)</f>
        <v>132900</v>
      </c>
      <c r="F25" s="92">
        <f t="shared" si="6"/>
        <v>147799.5</v>
      </c>
      <c r="G25" s="3"/>
      <c r="H25" s="3"/>
      <c r="I25" s="10"/>
      <c r="J25" s="10"/>
      <c r="K25" s="92">
        <f>SUM(K5:K23)</f>
        <v>41509.51587</v>
      </c>
      <c r="L25" s="23">
        <f>K25/F25</f>
        <v>0.2808501779</v>
      </c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/>
      <c r="B26" s="84"/>
      <c r="C26" s="85"/>
      <c r="D26" s="22"/>
      <c r="E26" s="15"/>
      <c r="F26" s="15"/>
      <c r="G26" s="3"/>
      <c r="H26" s="3"/>
      <c r="I26" s="87"/>
      <c r="J26" s="15"/>
      <c r="K26" s="15"/>
      <c r="L26" s="4"/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3"/>
      <c r="B27" s="84"/>
      <c r="C27" s="85"/>
      <c r="D27" s="22"/>
      <c r="E27" s="15"/>
      <c r="F27" s="15"/>
      <c r="G27" s="86"/>
      <c r="H27" s="3"/>
      <c r="I27" s="87"/>
      <c r="J27" s="15"/>
      <c r="K27" s="15"/>
      <c r="L27" s="4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5" t="s">
        <v>234</v>
      </c>
      <c r="D28" s="6"/>
      <c r="E28" s="86" t="s">
        <v>62</v>
      </c>
      <c r="F28" s="82">
        <v>46063.0</v>
      </c>
      <c r="G28" s="6"/>
      <c r="H28" s="3"/>
      <c r="I28" s="8" t="s">
        <v>3</v>
      </c>
      <c r="L28" s="4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"/>
      <c r="B29" s="3"/>
      <c r="C29" s="9"/>
      <c r="D29" s="3"/>
      <c r="E29" s="3"/>
      <c r="F29" s="3"/>
      <c r="G29" s="3"/>
      <c r="H29" s="3"/>
      <c r="I29" s="3"/>
      <c r="J29" s="3"/>
      <c r="K29" s="3"/>
      <c r="L29" s="4"/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5" t="s">
        <v>4</v>
      </c>
      <c r="B30" s="10" t="s">
        <v>5</v>
      </c>
      <c r="C30" s="11" t="s">
        <v>6</v>
      </c>
      <c r="D30" s="12" t="s">
        <v>7</v>
      </c>
      <c r="E30" s="10" t="s">
        <v>8</v>
      </c>
      <c r="F30" s="10" t="s">
        <v>9</v>
      </c>
      <c r="G30" s="3"/>
      <c r="H30" s="3"/>
      <c r="I30" s="10" t="s">
        <v>7</v>
      </c>
      <c r="J30" s="10" t="s">
        <v>8</v>
      </c>
      <c r="K30" s="10" t="s">
        <v>10</v>
      </c>
      <c r="L30" s="4"/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>
        <v>3.0</v>
      </c>
      <c r="B31" s="84" t="s">
        <v>33</v>
      </c>
      <c r="C31" s="85" t="s">
        <v>55</v>
      </c>
      <c r="D31" s="22">
        <v>2500.0</v>
      </c>
      <c r="E31" s="15">
        <f t="shared" ref="E31:E53" si="7">A31*D31</f>
        <v>7500</v>
      </c>
      <c r="F31" s="15">
        <f t="shared" ref="F31:F52" si="8">E31*1.105</f>
        <v>8287.5</v>
      </c>
      <c r="G31" s="3"/>
      <c r="H31" s="3"/>
      <c r="I31" s="22">
        <v>1500.0</v>
      </c>
      <c r="J31" s="15">
        <f t="shared" ref="J31:J53" si="9">I31*A31</f>
        <v>4500</v>
      </c>
      <c r="K31" s="15">
        <f t="shared" ref="K31:K53" si="10">F31-J31</f>
        <v>3787.5</v>
      </c>
      <c r="L31" s="4"/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2.0</v>
      </c>
      <c r="B32" s="84" t="s">
        <v>33</v>
      </c>
      <c r="C32" s="85" t="s">
        <v>278</v>
      </c>
      <c r="D32" s="22">
        <v>1600.0</v>
      </c>
      <c r="E32" s="15">
        <f t="shared" si="7"/>
        <v>3200</v>
      </c>
      <c r="F32" s="15">
        <f t="shared" si="8"/>
        <v>3536</v>
      </c>
      <c r="G32" s="3"/>
      <c r="H32" s="3"/>
      <c r="I32" s="22">
        <f>40000/18</f>
        <v>2222.222222</v>
      </c>
      <c r="J32" s="15">
        <f t="shared" si="9"/>
        <v>4444.444444</v>
      </c>
      <c r="K32" s="15">
        <f t="shared" si="10"/>
        <v>-908.4444444</v>
      </c>
      <c r="L32" s="4"/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83">
        <v>2.0</v>
      </c>
      <c r="B33" s="84" t="s">
        <v>5</v>
      </c>
      <c r="C33" s="85" t="s">
        <v>176</v>
      </c>
      <c r="D33" s="22">
        <v>900.0</v>
      </c>
      <c r="E33" s="15">
        <f t="shared" si="7"/>
        <v>1800</v>
      </c>
      <c r="F33" s="15">
        <f t="shared" si="8"/>
        <v>1989</v>
      </c>
      <c r="G33" s="3"/>
      <c r="H33" s="3"/>
      <c r="I33" s="87">
        <v>460.0</v>
      </c>
      <c r="J33" s="15">
        <f t="shared" si="9"/>
        <v>920</v>
      </c>
      <c r="K33" s="15">
        <f t="shared" si="10"/>
        <v>1069</v>
      </c>
      <c r="L33" s="4"/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83">
        <v>1.0</v>
      </c>
      <c r="B34" s="84" t="s">
        <v>38</v>
      </c>
      <c r="C34" s="85" t="s">
        <v>180</v>
      </c>
      <c r="D34" s="22">
        <v>14000.0</v>
      </c>
      <c r="E34" s="15">
        <f t="shared" si="7"/>
        <v>14000</v>
      </c>
      <c r="F34" s="15">
        <f t="shared" si="8"/>
        <v>15470</v>
      </c>
      <c r="G34" s="3"/>
      <c r="H34" s="3"/>
      <c r="I34" s="22">
        <v>10000.0</v>
      </c>
      <c r="J34" s="15">
        <f t="shared" si="9"/>
        <v>10000</v>
      </c>
      <c r="K34" s="15">
        <f t="shared" si="10"/>
        <v>5470</v>
      </c>
      <c r="L34" s="4"/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83">
        <v>6.0</v>
      </c>
      <c r="B35" s="84" t="s">
        <v>33</v>
      </c>
      <c r="C35" s="85" t="s">
        <v>67</v>
      </c>
      <c r="D35" s="22">
        <v>800.0</v>
      </c>
      <c r="E35" s="15">
        <f t="shared" si="7"/>
        <v>4800</v>
      </c>
      <c r="F35" s="15">
        <f t="shared" si="8"/>
        <v>5304</v>
      </c>
      <c r="G35" s="3"/>
      <c r="H35" s="3"/>
      <c r="I35" s="87">
        <v>500.0</v>
      </c>
      <c r="J35" s="15">
        <f t="shared" si="9"/>
        <v>3000</v>
      </c>
      <c r="K35" s="15">
        <f t="shared" si="10"/>
        <v>2304</v>
      </c>
      <c r="L35" s="4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3">
        <v>6.0</v>
      </c>
      <c r="B36" s="84" t="s">
        <v>33</v>
      </c>
      <c r="C36" s="85" t="s">
        <v>174</v>
      </c>
      <c r="D36" s="22">
        <v>1600.0</v>
      </c>
      <c r="E36" s="15">
        <f t="shared" si="7"/>
        <v>9600</v>
      </c>
      <c r="F36" s="15">
        <f t="shared" si="8"/>
        <v>10608</v>
      </c>
      <c r="G36" s="3"/>
      <c r="H36" s="3"/>
      <c r="I36" s="87">
        <v>1000.0</v>
      </c>
      <c r="J36" s="15">
        <f t="shared" si="9"/>
        <v>6000</v>
      </c>
      <c r="K36" s="15">
        <f t="shared" si="10"/>
        <v>4608</v>
      </c>
      <c r="L36" s="4"/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>
        <v>1.0</v>
      </c>
      <c r="B37" s="84" t="s">
        <v>5</v>
      </c>
      <c r="C37" s="85" t="s">
        <v>171</v>
      </c>
      <c r="D37" s="22">
        <v>3000.0</v>
      </c>
      <c r="E37" s="15">
        <f t="shared" si="7"/>
        <v>3000</v>
      </c>
      <c r="F37" s="15">
        <f t="shared" si="8"/>
        <v>3315</v>
      </c>
      <c r="G37" s="3"/>
      <c r="H37" s="3"/>
      <c r="I37" s="22">
        <v>1000.0</v>
      </c>
      <c r="J37" s="15">
        <f t="shared" si="9"/>
        <v>1000</v>
      </c>
      <c r="K37" s="15">
        <f t="shared" si="10"/>
        <v>2315</v>
      </c>
      <c r="L37" s="4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0.5</v>
      </c>
      <c r="B38" s="84" t="s">
        <v>50</v>
      </c>
      <c r="C38" s="85" t="s">
        <v>236</v>
      </c>
      <c r="D38" s="22">
        <v>5000.0</v>
      </c>
      <c r="E38" s="15">
        <f t="shared" si="7"/>
        <v>2500</v>
      </c>
      <c r="F38" s="15">
        <f t="shared" si="8"/>
        <v>2762.5</v>
      </c>
      <c r="G38" s="3"/>
      <c r="H38" s="87"/>
      <c r="I38" s="87">
        <v>4000.0</v>
      </c>
      <c r="J38" s="15">
        <f t="shared" si="9"/>
        <v>2000</v>
      </c>
      <c r="K38" s="15">
        <f t="shared" si="10"/>
        <v>762.5</v>
      </c>
      <c r="L38" s="4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1.5</v>
      </c>
      <c r="B39" s="84" t="s">
        <v>18</v>
      </c>
      <c r="C39" s="85" t="s">
        <v>276</v>
      </c>
      <c r="D39" s="22">
        <v>80000.0</v>
      </c>
      <c r="E39" s="15">
        <f t="shared" si="7"/>
        <v>120000</v>
      </c>
      <c r="F39" s="15">
        <f t="shared" si="8"/>
        <v>132600</v>
      </c>
      <c r="G39" s="3"/>
      <c r="H39" s="3"/>
      <c r="I39" s="87">
        <v>60000.0</v>
      </c>
      <c r="J39" s="15">
        <f t="shared" si="9"/>
        <v>90000</v>
      </c>
      <c r="K39" s="15">
        <f t="shared" si="10"/>
        <v>42600</v>
      </c>
      <c r="L39" s="4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1.5</v>
      </c>
      <c r="B40" s="84" t="s">
        <v>18</v>
      </c>
      <c r="C40" s="85" t="s">
        <v>30</v>
      </c>
      <c r="D40" s="22">
        <v>58000.0</v>
      </c>
      <c r="E40" s="15">
        <f t="shared" si="7"/>
        <v>87000</v>
      </c>
      <c r="F40" s="15">
        <f t="shared" si="8"/>
        <v>96135</v>
      </c>
      <c r="G40" s="3"/>
      <c r="H40" s="3"/>
      <c r="I40" s="87">
        <v>45000.0</v>
      </c>
      <c r="J40" s="15">
        <f t="shared" si="9"/>
        <v>67500</v>
      </c>
      <c r="K40" s="15">
        <f t="shared" si="10"/>
        <v>28635</v>
      </c>
      <c r="L40" s="4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1.0</v>
      </c>
      <c r="B41" s="84" t="s">
        <v>18</v>
      </c>
      <c r="C41" s="85" t="s">
        <v>237</v>
      </c>
      <c r="D41" s="22">
        <v>22000.0</v>
      </c>
      <c r="E41" s="15">
        <f t="shared" si="7"/>
        <v>22000</v>
      </c>
      <c r="F41" s="15">
        <f t="shared" si="8"/>
        <v>24310</v>
      </c>
      <c r="G41" s="3"/>
      <c r="H41" s="3"/>
      <c r="I41" s="87">
        <v>18000.0</v>
      </c>
      <c r="J41" s="15">
        <f t="shared" si="9"/>
        <v>18000</v>
      </c>
      <c r="K41" s="15">
        <f t="shared" si="10"/>
        <v>6310</v>
      </c>
      <c r="L41" s="4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4.0</v>
      </c>
      <c r="B42" s="84" t="s">
        <v>38</v>
      </c>
      <c r="C42" s="85" t="s">
        <v>179</v>
      </c>
      <c r="D42" s="22">
        <v>21000.0</v>
      </c>
      <c r="E42" s="15">
        <f t="shared" si="7"/>
        <v>84000</v>
      </c>
      <c r="F42" s="15">
        <f t="shared" si="8"/>
        <v>92820</v>
      </c>
      <c r="G42" s="3"/>
      <c r="H42" s="3"/>
      <c r="I42" s="87">
        <v>19000.0</v>
      </c>
      <c r="J42" s="15">
        <f t="shared" si="9"/>
        <v>76000</v>
      </c>
      <c r="K42" s="15">
        <f t="shared" si="10"/>
        <v>16820</v>
      </c>
      <c r="L42" s="4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1.0</v>
      </c>
      <c r="B43" s="84" t="s">
        <v>50</v>
      </c>
      <c r="C43" s="85" t="s">
        <v>68</v>
      </c>
      <c r="D43" s="22">
        <v>3500.0</v>
      </c>
      <c r="E43" s="15">
        <f t="shared" si="7"/>
        <v>3500</v>
      </c>
      <c r="F43" s="15">
        <f t="shared" si="8"/>
        <v>3867.5</v>
      </c>
      <c r="G43" s="3"/>
      <c r="H43" s="3"/>
      <c r="I43" s="22">
        <v>2000.0</v>
      </c>
      <c r="J43" s="15">
        <f t="shared" si="9"/>
        <v>2000</v>
      </c>
      <c r="K43" s="15">
        <f t="shared" si="10"/>
        <v>1867.5</v>
      </c>
      <c r="L43" s="4"/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4.0</v>
      </c>
      <c r="B44" s="84" t="s">
        <v>33</v>
      </c>
      <c r="C44" s="85" t="s">
        <v>24</v>
      </c>
      <c r="D44" s="22">
        <v>4000.0</v>
      </c>
      <c r="E44" s="15">
        <f t="shared" si="7"/>
        <v>16000</v>
      </c>
      <c r="F44" s="15">
        <f t="shared" si="8"/>
        <v>17680</v>
      </c>
      <c r="G44" s="3"/>
      <c r="H44" s="3"/>
      <c r="I44" s="22">
        <f>25000/7</f>
        <v>3571.428571</v>
      </c>
      <c r="J44" s="15">
        <f t="shared" si="9"/>
        <v>14285.71429</v>
      </c>
      <c r="K44" s="15">
        <f t="shared" si="10"/>
        <v>3394.285714</v>
      </c>
      <c r="L44" s="4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3.0</v>
      </c>
      <c r="B45" s="84" t="s">
        <v>33</v>
      </c>
      <c r="C45" s="85" t="s">
        <v>25</v>
      </c>
      <c r="D45" s="22">
        <v>3100.0</v>
      </c>
      <c r="E45" s="15">
        <f t="shared" si="7"/>
        <v>9300</v>
      </c>
      <c r="F45" s="15">
        <f t="shared" si="8"/>
        <v>10276.5</v>
      </c>
      <c r="G45" s="3"/>
      <c r="H45" s="3"/>
      <c r="I45" s="87">
        <f>13000/7</f>
        <v>1857.142857</v>
      </c>
      <c r="J45" s="15">
        <f t="shared" si="9"/>
        <v>5571.428571</v>
      </c>
      <c r="K45" s="15">
        <f t="shared" si="10"/>
        <v>4705.071429</v>
      </c>
      <c r="L45" s="4"/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6.0</v>
      </c>
      <c r="B46" s="84" t="s">
        <v>33</v>
      </c>
      <c r="C46" s="85" t="s">
        <v>99</v>
      </c>
      <c r="D46" s="22">
        <v>1500.0</v>
      </c>
      <c r="E46" s="15">
        <f t="shared" si="7"/>
        <v>9000</v>
      </c>
      <c r="F46" s="15">
        <f t="shared" si="8"/>
        <v>9945</v>
      </c>
      <c r="G46" s="3"/>
      <c r="H46" s="3"/>
      <c r="I46" s="22">
        <v>882.0</v>
      </c>
      <c r="J46" s="15">
        <f t="shared" si="9"/>
        <v>5292</v>
      </c>
      <c r="K46" s="15">
        <f t="shared" si="10"/>
        <v>4653</v>
      </c>
      <c r="L46" s="4"/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5.0</v>
      </c>
      <c r="B47" s="84" t="s">
        <v>33</v>
      </c>
      <c r="C47" s="85" t="s">
        <v>98</v>
      </c>
      <c r="D47" s="22">
        <v>1500.0</v>
      </c>
      <c r="E47" s="15">
        <f t="shared" si="7"/>
        <v>7500</v>
      </c>
      <c r="F47" s="15">
        <f t="shared" si="8"/>
        <v>8287.5</v>
      </c>
      <c r="G47" s="3"/>
      <c r="H47" s="3"/>
      <c r="I47" s="22">
        <v>882.0</v>
      </c>
      <c r="J47" s="15">
        <f t="shared" si="9"/>
        <v>4410</v>
      </c>
      <c r="K47" s="15">
        <f t="shared" si="10"/>
        <v>3877.5</v>
      </c>
      <c r="L47" s="4"/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18.0</v>
      </c>
      <c r="B48" s="84" t="s">
        <v>33</v>
      </c>
      <c r="C48" s="85" t="s">
        <v>64</v>
      </c>
      <c r="D48" s="22">
        <v>1600.0</v>
      </c>
      <c r="E48" s="15">
        <f t="shared" si="7"/>
        <v>28800</v>
      </c>
      <c r="F48" s="15">
        <f t="shared" si="8"/>
        <v>31824</v>
      </c>
      <c r="G48" s="3"/>
      <c r="H48" s="3"/>
      <c r="I48" s="87">
        <v>1000.0</v>
      </c>
      <c r="J48" s="15">
        <f t="shared" si="9"/>
        <v>18000</v>
      </c>
      <c r="K48" s="15">
        <f t="shared" si="10"/>
        <v>13824</v>
      </c>
      <c r="L48" s="4"/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3.0</v>
      </c>
      <c r="B49" s="84" t="s">
        <v>38</v>
      </c>
      <c r="C49" s="85" t="s">
        <v>47</v>
      </c>
      <c r="D49" s="22">
        <v>12000.0</v>
      </c>
      <c r="E49" s="15">
        <f t="shared" si="7"/>
        <v>36000</v>
      </c>
      <c r="F49" s="15">
        <f t="shared" si="8"/>
        <v>39780</v>
      </c>
      <c r="G49" s="3"/>
      <c r="H49" s="3"/>
      <c r="I49" s="87">
        <v>9000.0</v>
      </c>
      <c r="J49" s="15">
        <f t="shared" si="9"/>
        <v>27000</v>
      </c>
      <c r="K49" s="15">
        <f t="shared" si="10"/>
        <v>12780</v>
      </c>
      <c r="L49" s="4"/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1.5</v>
      </c>
      <c r="B50" s="84" t="s">
        <v>33</v>
      </c>
      <c r="C50" s="85" t="s">
        <v>233</v>
      </c>
      <c r="D50" s="22">
        <v>3500.0</v>
      </c>
      <c r="E50" s="15">
        <f t="shared" si="7"/>
        <v>5250</v>
      </c>
      <c r="F50" s="15">
        <f t="shared" si="8"/>
        <v>5801.25</v>
      </c>
      <c r="G50" s="3"/>
      <c r="H50" s="3"/>
      <c r="I50" s="22">
        <v>2500.0</v>
      </c>
      <c r="J50" s="15">
        <f t="shared" si="9"/>
        <v>3750</v>
      </c>
      <c r="K50" s="15">
        <f t="shared" si="10"/>
        <v>2051.25</v>
      </c>
      <c r="L50" s="4"/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35.0</v>
      </c>
      <c r="B51" s="84" t="s">
        <v>50</v>
      </c>
      <c r="C51" s="85" t="s">
        <v>65</v>
      </c>
      <c r="D51" s="22">
        <v>500.0</v>
      </c>
      <c r="E51" s="15">
        <f t="shared" si="7"/>
        <v>17500</v>
      </c>
      <c r="F51" s="15">
        <f t="shared" si="8"/>
        <v>19337.5</v>
      </c>
      <c r="G51" s="3"/>
      <c r="H51" s="3"/>
      <c r="I51" s="22">
        <v>416.0</v>
      </c>
      <c r="J51" s="15">
        <f t="shared" si="9"/>
        <v>14560</v>
      </c>
      <c r="K51" s="15">
        <f t="shared" si="10"/>
        <v>4777.5</v>
      </c>
      <c r="L51" s="4"/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4.0</v>
      </c>
      <c r="B52" s="84" t="s">
        <v>33</v>
      </c>
      <c r="C52" s="85" t="s">
        <v>279</v>
      </c>
      <c r="D52" s="22">
        <v>4000.0</v>
      </c>
      <c r="E52" s="15">
        <f t="shared" si="7"/>
        <v>16000</v>
      </c>
      <c r="F52" s="15">
        <f t="shared" si="8"/>
        <v>17680</v>
      </c>
      <c r="G52" s="3"/>
      <c r="H52" s="3"/>
      <c r="I52" s="87">
        <f>15000/7</f>
        <v>2142.857143</v>
      </c>
      <c r="J52" s="15">
        <f t="shared" si="9"/>
        <v>8571.428571</v>
      </c>
      <c r="K52" s="15">
        <f t="shared" si="10"/>
        <v>9108.571429</v>
      </c>
      <c r="L52" s="4"/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0.5</v>
      </c>
      <c r="B53" s="84" t="s">
        <v>18</v>
      </c>
      <c r="C53" s="85" t="s">
        <v>277</v>
      </c>
      <c r="D53" s="22">
        <v>52000.0</v>
      </c>
      <c r="E53" s="15">
        <f t="shared" si="7"/>
        <v>26000</v>
      </c>
      <c r="F53" s="15">
        <f>E53*1.21</f>
        <v>31460</v>
      </c>
      <c r="G53" s="3"/>
      <c r="H53" s="3"/>
      <c r="I53" s="87">
        <v>50000.0</v>
      </c>
      <c r="J53" s="15">
        <f t="shared" si="9"/>
        <v>25000</v>
      </c>
      <c r="K53" s="15">
        <f t="shared" si="10"/>
        <v>6460</v>
      </c>
      <c r="L53" s="4"/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/>
      <c r="B54" s="12"/>
      <c r="C54" s="14"/>
      <c r="D54" s="15"/>
      <c r="E54" s="3"/>
      <c r="F54" s="3"/>
      <c r="G54" s="3"/>
      <c r="H54" s="3"/>
      <c r="I54" s="3"/>
      <c r="J54" s="3"/>
      <c r="K54" s="3"/>
      <c r="L54" s="4"/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3"/>
      <c r="B55" s="12"/>
      <c r="C55" s="14"/>
      <c r="D55" s="15"/>
      <c r="E55" s="15">
        <f t="shared" ref="E55:F55" si="11">SUM(E31:E53)</f>
        <v>534250</v>
      </c>
      <c r="F55" s="15">
        <f t="shared" si="11"/>
        <v>593076.25</v>
      </c>
      <c r="G55" s="3"/>
      <c r="H55" s="3"/>
      <c r="I55" s="3"/>
      <c r="J55" s="3"/>
      <c r="K55" s="15">
        <f>SUM(K31:K53)</f>
        <v>181271.2341</v>
      </c>
      <c r="L55" s="23">
        <f>K55/F55</f>
        <v>0.3056457481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5"/>
      <c r="B56" s="5"/>
      <c r="C56" s="5"/>
      <c r="D56" s="6"/>
      <c r="E56" s="86"/>
      <c r="F56" s="82"/>
      <c r="G56" s="6"/>
      <c r="H56" s="3"/>
      <c r="I56" s="8"/>
      <c r="J56" s="8"/>
      <c r="K56" s="8"/>
      <c r="L56" s="4"/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5"/>
      <c r="B57" s="5"/>
      <c r="C57" s="5"/>
      <c r="D57" s="6"/>
      <c r="E57" s="86"/>
      <c r="F57" s="82"/>
      <c r="G57" s="86"/>
      <c r="H57" s="3"/>
      <c r="I57" s="8"/>
      <c r="J57" s="8"/>
      <c r="K57" s="8"/>
      <c r="L57" s="4"/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5"/>
      <c r="B58" s="5"/>
      <c r="C58" s="95"/>
      <c r="D58" s="6"/>
      <c r="E58" s="86"/>
      <c r="F58" s="82"/>
      <c r="G58" s="86"/>
      <c r="H58" s="3"/>
      <c r="I58" s="8"/>
      <c r="J58" s="8"/>
      <c r="K58" s="8"/>
      <c r="L58" s="4"/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5" t="s">
        <v>238</v>
      </c>
      <c r="D59" s="6"/>
      <c r="E59" s="86" t="s">
        <v>62</v>
      </c>
      <c r="F59" s="82">
        <v>46063.0</v>
      </c>
      <c r="G59" s="6"/>
      <c r="H59" s="3"/>
      <c r="I59" s="8" t="s">
        <v>3</v>
      </c>
      <c r="L59" s="4"/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"/>
      <c r="B60" s="3"/>
      <c r="C60" s="9"/>
      <c r="D60" s="3"/>
      <c r="E60" s="3"/>
      <c r="F60" s="3"/>
      <c r="G60" s="3"/>
      <c r="H60" s="3"/>
      <c r="I60" s="3"/>
      <c r="J60" s="3"/>
      <c r="K60" s="3"/>
      <c r="L60" s="4"/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5" t="s">
        <v>4</v>
      </c>
      <c r="B61" s="10" t="s">
        <v>5</v>
      </c>
      <c r="C61" s="11" t="s">
        <v>6</v>
      </c>
      <c r="D61" s="12" t="s">
        <v>7</v>
      </c>
      <c r="E61" s="10" t="s">
        <v>8</v>
      </c>
      <c r="F61" s="10" t="s">
        <v>9</v>
      </c>
      <c r="G61" s="3"/>
      <c r="H61" s="3"/>
      <c r="I61" s="10" t="s">
        <v>7</v>
      </c>
      <c r="J61" s="10" t="s">
        <v>8</v>
      </c>
      <c r="K61" s="10" t="s">
        <v>10</v>
      </c>
      <c r="L61" s="4"/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83">
        <v>2.0</v>
      </c>
      <c r="B62" s="84" t="s">
        <v>38</v>
      </c>
      <c r="C62" s="85" t="s">
        <v>179</v>
      </c>
      <c r="D62" s="22">
        <v>21000.0</v>
      </c>
      <c r="E62" s="15">
        <f t="shared" ref="E62:E85" si="12">A62*D62</f>
        <v>42000</v>
      </c>
      <c r="F62" s="15">
        <f t="shared" ref="F62:F77" si="13">E62*1.105</f>
        <v>46410</v>
      </c>
      <c r="G62" s="3"/>
      <c r="H62" s="3"/>
      <c r="I62" s="22">
        <v>19000.0</v>
      </c>
      <c r="J62" s="15">
        <f t="shared" ref="J62:J85" si="14">I62*A62</f>
        <v>38000</v>
      </c>
      <c r="K62" s="15">
        <f t="shared" ref="K62:K85" si="15">F62-J62</f>
        <v>8410</v>
      </c>
      <c r="L62" s="4"/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83">
        <v>1.0</v>
      </c>
      <c r="B63" s="84" t="s">
        <v>38</v>
      </c>
      <c r="C63" s="85" t="s">
        <v>45</v>
      </c>
      <c r="D63" s="22">
        <v>13000.0</v>
      </c>
      <c r="E63" s="15">
        <f t="shared" si="12"/>
        <v>13000</v>
      </c>
      <c r="F63" s="15">
        <f t="shared" si="13"/>
        <v>14365</v>
      </c>
      <c r="G63" s="3"/>
      <c r="H63" s="3"/>
      <c r="I63" s="22">
        <v>8000.0</v>
      </c>
      <c r="J63" s="15">
        <f t="shared" si="14"/>
        <v>8000</v>
      </c>
      <c r="K63" s="15">
        <f t="shared" si="15"/>
        <v>6365</v>
      </c>
      <c r="L63" s="4"/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83">
        <v>3.0</v>
      </c>
      <c r="B64" s="84" t="s">
        <v>33</v>
      </c>
      <c r="C64" s="85" t="s">
        <v>174</v>
      </c>
      <c r="D64" s="22">
        <v>1600.0</v>
      </c>
      <c r="E64" s="15">
        <f t="shared" si="12"/>
        <v>4800</v>
      </c>
      <c r="F64" s="15">
        <f t="shared" si="13"/>
        <v>5304</v>
      </c>
      <c r="G64" s="3"/>
      <c r="H64" s="3"/>
      <c r="I64" s="87">
        <v>1000.0</v>
      </c>
      <c r="J64" s="15">
        <f t="shared" si="14"/>
        <v>3000</v>
      </c>
      <c r="K64" s="15">
        <f t="shared" si="15"/>
        <v>2304</v>
      </c>
      <c r="L64" s="4"/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3">
        <v>2.0</v>
      </c>
      <c r="B65" s="84" t="s">
        <v>33</v>
      </c>
      <c r="C65" s="85" t="s">
        <v>67</v>
      </c>
      <c r="D65" s="22">
        <v>800.0</v>
      </c>
      <c r="E65" s="15">
        <f t="shared" si="12"/>
        <v>1600</v>
      </c>
      <c r="F65" s="15">
        <f t="shared" si="13"/>
        <v>1768</v>
      </c>
      <c r="G65" s="3"/>
      <c r="H65" s="3"/>
      <c r="I65" s="22">
        <f>9000/18</f>
        <v>500</v>
      </c>
      <c r="J65" s="15">
        <f t="shared" si="14"/>
        <v>1000</v>
      </c>
      <c r="K65" s="15">
        <f t="shared" si="15"/>
        <v>768</v>
      </c>
      <c r="L65" s="4"/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83">
        <v>3.0</v>
      </c>
      <c r="B66" s="84" t="s">
        <v>33</v>
      </c>
      <c r="C66" s="85" t="s">
        <v>24</v>
      </c>
      <c r="D66" s="22">
        <v>4000.0</v>
      </c>
      <c r="E66" s="15">
        <f t="shared" si="12"/>
        <v>12000</v>
      </c>
      <c r="F66" s="15">
        <f t="shared" si="13"/>
        <v>13260</v>
      </c>
      <c r="G66" s="3"/>
      <c r="H66" s="3"/>
      <c r="I66" s="22">
        <f t="shared" ref="I66:I67" si="16">25000/7</f>
        <v>3571.428571</v>
      </c>
      <c r="J66" s="15">
        <f t="shared" si="14"/>
        <v>10714.28571</v>
      </c>
      <c r="K66" s="15">
        <f t="shared" si="15"/>
        <v>2545.714286</v>
      </c>
      <c r="L66" s="4"/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83">
        <v>3.0</v>
      </c>
      <c r="B67" s="84" t="s">
        <v>33</v>
      </c>
      <c r="C67" s="85" t="s">
        <v>26</v>
      </c>
      <c r="D67" s="22">
        <v>4000.0</v>
      </c>
      <c r="E67" s="15">
        <f t="shared" si="12"/>
        <v>12000</v>
      </c>
      <c r="F67" s="15">
        <f t="shared" si="13"/>
        <v>13260</v>
      </c>
      <c r="G67" s="3"/>
      <c r="H67" s="3"/>
      <c r="I67" s="22">
        <f t="shared" si="16"/>
        <v>3571.428571</v>
      </c>
      <c r="J67" s="15">
        <f t="shared" si="14"/>
        <v>10714.28571</v>
      </c>
      <c r="K67" s="15">
        <f t="shared" si="15"/>
        <v>2545.714286</v>
      </c>
      <c r="L67" s="4"/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83">
        <v>3.0</v>
      </c>
      <c r="B68" s="84" t="s">
        <v>33</v>
      </c>
      <c r="C68" s="85" t="s">
        <v>25</v>
      </c>
      <c r="D68" s="22">
        <v>3100.0</v>
      </c>
      <c r="E68" s="15">
        <f t="shared" si="12"/>
        <v>9300</v>
      </c>
      <c r="F68" s="15">
        <f t="shared" si="13"/>
        <v>10276.5</v>
      </c>
      <c r="G68" s="3"/>
      <c r="H68" s="3"/>
      <c r="I68" s="87">
        <f>13000/7</f>
        <v>1857.142857</v>
      </c>
      <c r="J68" s="15">
        <f t="shared" si="14"/>
        <v>5571.428571</v>
      </c>
      <c r="K68" s="15">
        <f t="shared" si="15"/>
        <v>4705.071429</v>
      </c>
      <c r="L68" s="4"/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1.0</v>
      </c>
      <c r="B69" s="84" t="s">
        <v>5</v>
      </c>
      <c r="C69" s="85" t="s">
        <v>176</v>
      </c>
      <c r="D69" s="22">
        <v>900.0</v>
      </c>
      <c r="E69" s="15">
        <f t="shared" si="12"/>
        <v>900</v>
      </c>
      <c r="F69" s="15">
        <f t="shared" si="13"/>
        <v>994.5</v>
      </c>
      <c r="G69" s="3"/>
      <c r="H69" s="3"/>
      <c r="I69" s="87">
        <f>23000/50</f>
        <v>460</v>
      </c>
      <c r="J69" s="15">
        <f t="shared" si="14"/>
        <v>460</v>
      </c>
      <c r="K69" s="15">
        <f t="shared" si="15"/>
        <v>534.5</v>
      </c>
      <c r="L69" s="4"/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3">
        <v>2.0</v>
      </c>
      <c r="B70" s="84" t="s">
        <v>33</v>
      </c>
      <c r="C70" s="85" t="s">
        <v>22</v>
      </c>
      <c r="D70" s="22">
        <v>1500.0</v>
      </c>
      <c r="E70" s="15">
        <f t="shared" si="12"/>
        <v>3000</v>
      </c>
      <c r="F70" s="15">
        <f t="shared" si="13"/>
        <v>3315</v>
      </c>
      <c r="G70" s="3"/>
      <c r="H70" s="3"/>
      <c r="I70" s="87">
        <f>7000/15</f>
        <v>466.6666667</v>
      </c>
      <c r="J70" s="15">
        <f t="shared" si="14"/>
        <v>933.3333333</v>
      </c>
      <c r="K70" s="15">
        <f t="shared" si="15"/>
        <v>2381.666667</v>
      </c>
      <c r="L70" s="4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83">
        <v>2.0</v>
      </c>
      <c r="B71" s="84" t="s">
        <v>38</v>
      </c>
      <c r="C71" s="85" t="s">
        <v>96</v>
      </c>
      <c r="D71" s="22">
        <v>12000.0</v>
      </c>
      <c r="E71" s="15">
        <f t="shared" si="12"/>
        <v>24000</v>
      </c>
      <c r="F71" s="15">
        <f t="shared" si="13"/>
        <v>26520</v>
      </c>
      <c r="G71" s="3"/>
      <c r="H71" s="3"/>
      <c r="I71" s="87">
        <v>9000.0</v>
      </c>
      <c r="J71" s="15">
        <f t="shared" si="14"/>
        <v>18000</v>
      </c>
      <c r="K71" s="15">
        <f t="shared" si="15"/>
        <v>8520</v>
      </c>
      <c r="L71" s="4"/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83">
        <v>2.0</v>
      </c>
      <c r="B72" s="84" t="s">
        <v>5</v>
      </c>
      <c r="C72" s="85" t="s">
        <v>95</v>
      </c>
      <c r="D72" s="22">
        <v>2000.0</v>
      </c>
      <c r="E72" s="15">
        <f t="shared" si="12"/>
        <v>4000</v>
      </c>
      <c r="F72" s="15">
        <f t="shared" si="13"/>
        <v>4420</v>
      </c>
      <c r="G72" s="3"/>
      <c r="H72" s="3"/>
      <c r="I72" s="87">
        <v>1500.0</v>
      </c>
      <c r="J72" s="15">
        <f t="shared" si="14"/>
        <v>3000</v>
      </c>
      <c r="K72" s="15">
        <f t="shared" si="15"/>
        <v>1420</v>
      </c>
      <c r="L72" s="4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3">
        <v>2.0</v>
      </c>
      <c r="B73" s="84" t="s">
        <v>33</v>
      </c>
      <c r="C73" s="85" t="s">
        <v>233</v>
      </c>
      <c r="D73" s="22">
        <v>3500.0</v>
      </c>
      <c r="E73" s="15">
        <f t="shared" si="12"/>
        <v>7000</v>
      </c>
      <c r="F73" s="15">
        <f t="shared" si="13"/>
        <v>7735</v>
      </c>
      <c r="G73" s="3"/>
      <c r="H73" s="3"/>
      <c r="I73" s="22">
        <v>2500.0</v>
      </c>
      <c r="J73" s="15">
        <f t="shared" si="14"/>
        <v>5000</v>
      </c>
      <c r="K73" s="15">
        <f t="shared" si="15"/>
        <v>2735</v>
      </c>
      <c r="L73" s="4"/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10.0</v>
      </c>
      <c r="B74" s="84" t="s">
        <v>33</v>
      </c>
      <c r="C74" s="85" t="s">
        <v>64</v>
      </c>
      <c r="D74" s="22">
        <v>1600.0</v>
      </c>
      <c r="E74" s="15">
        <f t="shared" si="12"/>
        <v>16000</v>
      </c>
      <c r="F74" s="15">
        <f t="shared" si="13"/>
        <v>17680</v>
      </c>
      <c r="G74" s="3"/>
      <c r="H74" s="3"/>
      <c r="I74" s="87">
        <v>1000.0</v>
      </c>
      <c r="J74" s="15">
        <f t="shared" si="14"/>
        <v>10000</v>
      </c>
      <c r="K74" s="15">
        <f t="shared" si="15"/>
        <v>7680</v>
      </c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10.0</v>
      </c>
      <c r="B75" s="84" t="s">
        <v>50</v>
      </c>
      <c r="C75" s="85" t="s">
        <v>65</v>
      </c>
      <c r="D75" s="22">
        <v>500.0</v>
      </c>
      <c r="E75" s="15">
        <f t="shared" si="12"/>
        <v>5000</v>
      </c>
      <c r="F75" s="15">
        <f t="shared" si="13"/>
        <v>5525</v>
      </c>
      <c r="G75" s="3"/>
      <c r="H75" s="3"/>
      <c r="I75" s="22">
        <v>416.0</v>
      </c>
      <c r="J75" s="15">
        <f t="shared" si="14"/>
        <v>4160</v>
      </c>
      <c r="K75" s="15">
        <f t="shared" si="15"/>
        <v>1365</v>
      </c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2.2</v>
      </c>
      <c r="B76" s="84" t="s">
        <v>33</v>
      </c>
      <c r="C76" s="85" t="s">
        <v>99</v>
      </c>
      <c r="D76" s="22">
        <v>1500.0</v>
      </c>
      <c r="E76" s="15">
        <f t="shared" si="12"/>
        <v>3300</v>
      </c>
      <c r="F76" s="15">
        <f t="shared" si="13"/>
        <v>3646.5</v>
      </c>
      <c r="G76" s="3"/>
      <c r="H76" s="3"/>
      <c r="I76" s="22">
        <v>882.0</v>
      </c>
      <c r="J76" s="15">
        <f t="shared" si="14"/>
        <v>1940.4</v>
      </c>
      <c r="K76" s="15">
        <f t="shared" si="15"/>
        <v>1706.1</v>
      </c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2.2</v>
      </c>
      <c r="B77" s="84" t="s">
        <v>33</v>
      </c>
      <c r="C77" s="85" t="s">
        <v>98</v>
      </c>
      <c r="D77" s="22">
        <v>1500.0</v>
      </c>
      <c r="E77" s="15">
        <f t="shared" si="12"/>
        <v>3300</v>
      </c>
      <c r="F77" s="15">
        <f t="shared" si="13"/>
        <v>3646.5</v>
      </c>
      <c r="G77" s="3"/>
      <c r="H77" s="3"/>
      <c r="I77" s="22">
        <v>882.0</v>
      </c>
      <c r="J77" s="15">
        <f t="shared" si="14"/>
        <v>1940.4</v>
      </c>
      <c r="K77" s="15">
        <f t="shared" si="15"/>
        <v>1706.1</v>
      </c>
      <c r="L77" s="4"/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3.0</v>
      </c>
      <c r="B78" s="84" t="s">
        <v>231</v>
      </c>
      <c r="C78" s="85" t="s">
        <v>277</v>
      </c>
      <c r="D78" s="22">
        <v>4500.0</v>
      </c>
      <c r="E78" s="15">
        <f t="shared" si="12"/>
        <v>13500</v>
      </c>
      <c r="F78" s="15">
        <f>E78*1.21</f>
        <v>16335</v>
      </c>
      <c r="G78" s="3"/>
      <c r="H78" s="3"/>
      <c r="I78" s="87">
        <f>50000/12</f>
        <v>4166.666667</v>
      </c>
      <c r="J78" s="15">
        <f t="shared" si="14"/>
        <v>12500</v>
      </c>
      <c r="K78" s="15">
        <f t="shared" si="15"/>
        <v>3835</v>
      </c>
      <c r="L78" s="4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1.0</v>
      </c>
      <c r="B79" s="84" t="s">
        <v>50</v>
      </c>
      <c r="C79" s="85" t="s">
        <v>236</v>
      </c>
      <c r="D79" s="22">
        <v>5000.0</v>
      </c>
      <c r="E79" s="15">
        <f t="shared" si="12"/>
        <v>5000</v>
      </c>
      <c r="F79" s="15">
        <f t="shared" ref="F79:F85" si="17">E79*1.105</f>
        <v>5525</v>
      </c>
      <c r="G79" s="3"/>
      <c r="H79" s="3"/>
      <c r="I79" s="87">
        <v>4000.0</v>
      </c>
      <c r="J79" s="15">
        <f t="shared" si="14"/>
        <v>4000</v>
      </c>
      <c r="K79" s="15">
        <f t="shared" si="15"/>
        <v>1525</v>
      </c>
      <c r="L79" s="4"/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1.0</v>
      </c>
      <c r="B80" s="84" t="s">
        <v>5</v>
      </c>
      <c r="C80" s="85" t="s">
        <v>89</v>
      </c>
      <c r="D80" s="22">
        <v>6000.0</v>
      </c>
      <c r="E80" s="15">
        <f t="shared" si="12"/>
        <v>6000</v>
      </c>
      <c r="F80" s="15">
        <f t="shared" si="17"/>
        <v>6630</v>
      </c>
      <c r="G80" s="3"/>
      <c r="H80" s="3"/>
      <c r="I80" s="87">
        <v>5000.0</v>
      </c>
      <c r="J80" s="15">
        <f t="shared" si="14"/>
        <v>5000</v>
      </c>
      <c r="K80" s="15">
        <f t="shared" si="15"/>
        <v>1630</v>
      </c>
      <c r="L80" s="4"/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5.0</v>
      </c>
      <c r="B81" s="84" t="s">
        <v>33</v>
      </c>
      <c r="C81" s="85" t="s">
        <v>180</v>
      </c>
      <c r="D81" s="22">
        <v>1400.0</v>
      </c>
      <c r="E81" s="15">
        <f t="shared" si="12"/>
        <v>7000</v>
      </c>
      <c r="F81" s="15">
        <f t="shared" si="17"/>
        <v>7735</v>
      </c>
      <c r="G81" s="3"/>
      <c r="H81" s="3"/>
      <c r="I81" s="87">
        <v>1000.0</v>
      </c>
      <c r="J81" s="15">
        <f t="shared" si="14"/>
        <v>5000</v>
      </c>
      <c r="K81" s="15">
        <f t="shared" si="15"/>
        <v>2735</v>
      </c>
      <c r="L81" s="4"/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10.0</v>
      </c>
      <c r="B82" s="84" t="s">
        <v>33</v>
      </c>
      <c r="C82" s="85" t="s">
        <v>237</v>
      </c>
      <c r="D82" s="22">
        <v>1400.0</v>
      </c>
      <c r="E82" s="15">
        <f t="shared" si="12"/>
        <v>14000</v>
      </c>
      <c r="F82" s="15">
        <f t="shared" si="17"/>
        <v>15470</v>
      </c>
      <c r="G82" s="3"/>
      <c r="H82" s="3"/>
      <c r="I82" s="87">
        <v>1000.0</v>
      </c>
      <c r="J82" s="15">
        <f t="shared" si="14"/>
        <v>10000</v>
      </c>
      <c r="K82" s="15">
        <f t="shared" si="15"/>
        <v>5470</v>
      </c>
      <c r="L82" s="4"/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>
        <v>10.0</v>
      </c>
      <c r="B83" s="84" t="s">
        <v>33</v>
      </c>
      <c r="C83" s="85" t="s">
        <v>30</v>
      </c>
      <c r="D83" s="22">
        <v>3500.0</v>
      </c>
      <c r="E83" s="15">
        <f t="shared" si="12"/>
        <v>35000</v>
      </c>
      <c r="F83" s="15">
        <f t="shared" si="17"/>
        <v>38675</v>
      </c>
      <c r="G83" s="3"/>
      <c r="H83" s="3"/>
      <c r="I83" s="87">
        <f>45000/18</f>
        <v>2500</v>
      </c>
      <c r="J83" s="15">
        <f t="shared" si="14"/>
        <v>25000</v>
      </c>
      <c r="K83" s="15">
        <f t="shared" si="15"/>
        <v>13675</v>
      </c>
      <c r="L83" s="4"/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83">
        <v>10.0</v>
      </c>
      <c r="B84" s="84" t="s">
        <v>33</v>
      </c>
      <c r="C84" s="85" t="s">
        <v>276</v>
      </c>
      <c r="D84" s="22">
        <v>4500.0</v>
      </c>
      <c r="E84" s="15">
        <f t="shared" si="12"/>
        <v>45000</v>
      </c>
      <c r="F84" s="15">
        <f t="shared" si="17"/>
        <v>49725</v>
      </c>
      <c r="G84" s="3"/>
      <c r="H84" s="3"/>
      <c r="I84" s="87">
        <f>60000/18</f>
        <v>3333.333333</v>
      </c>
      <c r="J84" s="15">
        <f t="shared" si="14"/>
        <v>33333.33333</v>
      </c>
      <c r="K84" s="15">
        <f t="shared" si="15"/>
        <v>16391.66667</v>
      </c>
      <c r="L84" s="4"/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4.0</v>
      </c>
      <c r="B85" s="84" t="s">
        <v>33</v>
      </c>
      <c r="C85" s="85" t="s">
        <v>31</v>
      </c>
      <c r="D85" s="22">
        <v>2500.0</v>
      </c>
      <c r="E85" s="15">
        <f t="shared" si="12"/>
        <v>10000</v>
      </c>
      <c r="F85" s="15">
        <f t="shared" si="17"/>
        <v>11050</v>
      </c>
      <c r="G85" s="3"/>
      <c r="H85" s="3"/>
      <c r="I85" s="87">
        <v>1500.0</v>
      </c>
      <c r="J85" s="15">
        <f t="shared" si="14"/>
        <v>6000</v>
      </c>
      <c r="K85" s="15">
        <f t="shared" si="15"/>
        <v>5050</v>
      </c>
      <c r="L85" s="4"/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3"/>
      <c r="B86" s="12"/>
      <c r="C86" s="14"/>
      <c r="D86" s="15"/>
      <c r="E86" s="3"/>
      <c r="F86" s="3"/>
      <c r="G86" s="3"/>
      <c r="H86" s="3"/>
      <c r="I86" s="3"/>
      <c r="J86" s="3"/>
      <c r="K86" s="3"/>
      <c r="L86" s="4"/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3"/>
      <c r="B87" s="12"/>
      <c r="C87" s="14"/>
      <c r="D87" s="15"/>
      <c r="E87" s="15">
        <f t="shared" ref="E87:F87" si="18">SUM(E62:E85)</f>
        <v>296700</v>
      </c>
      <c r="F87" s="15">
        <f t="shared" si="18"/>
        <v>329271</v>
      </c>
      <c r="G87" s="3"/>
      <c r="H87" s="3"/>
      <c r="I87" s="3"/>
      <c r="J87" s="3"/>
      <c r="K87" s="15">
        <f>SUM(K62:K85)</f>
        <v>106003.5333</v>
      </c>
      <c r="L87" s="23">
        <f>K87/F87</f>
        <v>0.3219340098</v>
      </c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88"/>
      <c r="B88" s="5"/>
      <c r="C88" s="5"/>
      <c r="D88" s="6"/>
      <c r="E88" s="86"/>
      <c r="F88" s="82"/>
      <c r="G88" s="86"/>
      <c r="H88" s="3"/>
      <c r="I88" s="8"/>
      <c r="J88" s="8"/>
      <c r="K88" s="8"/>
      <c r="L88" s="4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88"/>
      <c r="B89" s="5"/>
      <c r="C89" s="5"/>
      <c r="D89" s="6"/>
      <c r="E89" s="86"/>
      <c r="F89" s="82"/>
      <c r="G89" s="86"/>
      <c r="H89" s="3"/>
      <c r="I89" s="8"/>
      <c r="J89" s="8"/>
      <c r="K89" s="8"/>
      <c r="L89" s="4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88" t="s">
        <v>0</v>
      </c>
      <c r="B90" s="5"/>
      <c r="C90" s="5"/>
      <c r="D90" s="6"/>
      <c r="E90" s="86" t="s">
        <v>280</v>
      </c>
      <c r="F90" s="82">
        <v>46063.0</v>
      </c>
      <c r="G90" s="86"/>
      <c r="H90" s="3"/>
      <c r="I90" s="8" t="s">
        <v>3</v>
      </c>
      <c r="L90" s="4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"/>
      <c r="B91" s="3"/>
      <c r="C91" s="9"/>
      <c r="D91" s="3"/>
      <c r="E91" s="3"/>
      <c r="F91" s="3"/>
      <c r="G91" s="3"/>
      <c r="H91" s="3"/>
      <c r="I91" s="3"/>
      <c r="J91" s="3"/>
      <c r="K91" s="3"/>
      <c r="L91" s="4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5" t="s">
        <v>4</v>
      </c>
      <c r="B92" s="10" t="s">
        <v>5</v>
      </c>
      <c r="C92" s="11" t="s">
        <v>6</v>
      </c>
      <c r="D92" s="12" t="s">
        <v>7</v>
      </c>
      <c r="E92" s="10" t="s">
        <v>8</v>
      </c>
      <c r="F92" s="10" t="s">
        <v>9</v>
      </c>
      <c r="G92" s="3"/>
      <c r="H92" s="3"/>
      <c r="I92" s="10" t="s">
        <v>7</v>
      </c>
      <c r="J92" s="10" t="s">
        <v>8</v>
      </c>
      <c r="K92" s="10" t="s">
        <v>10</v>
      </c>
      <c r="L92" s="4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3">
        <v>2.0</v>
      </c>
      <c r="B93" s="84" t="s">
        <v>29</v>
      </c>
      <c r="C93" s="85" t="s">
        <v>30</v>
      </c>
      <c r="D93" s="22">
        <v>63000.0</v>
      </c>
      <c r="E93" s="15">
        <f t="shared" ref="E93:E110" si="19">A93*D93</f>
        <v>126000</v>
      </c>
      <c r="F93" s="15">
        <f t="shared" ref="F93:F98" si="20">E93*1.105</f>
        <v>139230</v>
      </c>
      <c r="G93" s="3"/>
      <c r="H93" s="3"/>
      <c r="I93" s="87">
        <v>45000.0</v>
      </c>
      <c r="J93" s="15">
        <f t="shared" ref="J93:J110" si="21">I93*A93</f>
        <v>90000</v>
      </c>
      <c r="K93" s="15">
        <f t="shared" ref="K93:K110" si="22">F93-J93</f>
        <v>49230</v>
      </c>
      <c r="L93" s="4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3">
        <v>2.0</v>
      </c>
      <c r="B94" s="84" t="s">
        <v>18</v>
      </c>
      <c r="C94" s="85" t="s">
        <v>213</v>
      </c>
      <c r="D94" s="22">
        <v>42000.0</v>
      </c>
      <c r="E94" s="15">
        <f t="shared" si="19"/>
        <v>84000</v>
      </c>
      <c r="F94" s="15">
        <f t="shared" si="20"/>
        <v>92820</v>
      </c>
      <c r="G94" s="3"/>
      <c r="H94" s="3"/>
      <c r="I94" s="87">
        <v>37000.0</v>
      </c>
      <c r="J94" s="15">
        <f t="shared" si="21"/>
        <v>74000</v>
      </c>
      <c r="K94" s="15">
        <f t="shared" si="22"/>
        <v>18820</v>
      </c>
      <c r="L94" s="4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2.0</v>
      </c>
      <c r="B95" s="84" t="s">
        <v>18</v>
      </c>
      <c r="C95" s="85" t="s">
        <v>201</v>
      </c>
      <c r="D95" s="22">
        <v>40000.0</v>
      </c>
      <c r="E95" s="15">
        <f t="shared" si="19"/>
        <v>80000</v>
      </c>
      <c r="F95" s="15">
        <f t="shared" si="20"/>
        <v>88400</v>
      </c>
      <c r="G95" s="3"/>
      <c r="H95" s="3"/>
      <c r="I95" s="22">
        <v>28000.0</v>
      </c>
      <c r="J95" s="15">
        <f t="shared" si="21"/>
        <v>56000</v>
      </c>
      <c r="K95" s="15">
        <f t="shared" si="22"/>
        <v>32400</v>
      </c>
      <c r="L95" s="4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2.0</v>
      </c>
      <c r="B96" s="84" t="s">
        <v>18</v>
      </c>
      <c r="C96" s="85" t="s">
        <v>214</v>
      </c>
      <c r="D96" s="22">
        <v>35000.0</v>
      </c>
      <c r="E96" s="15">
        <f t="shared" si="19"/>
        <v>70000</v>
      </c>
      <c r="F96" s="15">
        <f t="shared" si="20"/>
        <v>77350</v>
      </c>
      <c r="G96" s="3"/>
      <c r="H96" s="3"/>
      <c r="I96" s="87">
        <v>30000.0</v>
      </c>
      <c r="J96" s="15">
        <f t="shared" si="21"/>
        <v>60000</v>
      </c>
      <c r="K96" s="15">
        <f t="shared" si="22"/>
        <v>17350</v>
      </c>
      <c r="L96" s="4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2.0</v>
      </c>
      <c r="B97" s="84" t="s">
        <v>29</v>
      </c>
      <c r="C97" s="85" t="s">
        <v>55</v>
      </c>
      <c r="D97" s="22">
        <v>35000.0</v>
      </c>
      <c r="E97" s="15">
        <f t="shared" si="19"/>
        <v>70000</v>
      </c>
      <c r="F97" s="15">
        <f t="shared" si="20"/>
        <v>77350</v>
      </c>
      <c r="G97" s="3"/>
      <c r="H97" s="3"/>
      <c r="I97" s="87">
        <v>27000.0</v>
      </c>
      <c r="J97" s="15">
        <f t="shared" si="21"/>
        <v>54000</v>
      </c>
      <c r="K97" s="15">
        <f t="shared" si="22"/>
        <v>23350</v>
      </c>
      <c r="L97" s="4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2.0</v>
      </c>
      <c r="B98" s="84" t="s">
        <v>18</v>
      </c>
      <c r="C98" s="85" t="s">
        <v>19</v>
      </c>
      <c r="D98" s="22">
        <v>23000.0</v>
      </c>
      <c r="E98" s="15">
        <f t="shared" si="19"/>
        <v>46000</v>
      </c>
      <c r="F98" s="15">
        <f t="shared" si="20"/>
        <v>50830</v>
      </c>
      <c r="G98" s="3"/>
      <c r="H98" s="3"/>
      <c r="I98" s="87">
        <v>12000.0</v>
      </c>
      <c r="J98" s="15">
        <f t="shared" si="21"/>
        <v>24000</v>
      </c>
      <c r="K98" s="15">
        <f t="shared" si="22"/>
        <v>26830</v>
      </c>
      <c r="L98" s="4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0.5</v>
      </c>
      <c r="B99" s="84" t="s">
        <v>18</v>
      </c>
      <c r="C99" s="85" t="s">
        <v>21</v>
      </c>
      <c r="D99" s="22">
        <v>56000.0</v>
      </c>
      <c r="E99" s="15">
        <f t="shared" si="19"/>
        <v>28000</v>
      </c>
      <c r="F99" s="15">
        <f>E99*1.21</f>
        <v>33880</v>
      </c>
      <c r="G99" s="86"/>
      <c r="H99" s="3"/>
      <c r="I99" s="87">
        <v>50000.0</v>
      </c>
      <c r="J99" s="15">
        <f t="shared" si="21"/>
        <v>25000</v>
      </c>
      <c r="K99" s="15">
        <f t="shared" si="22"/>
        <v>8880</v>
      </c>
      <c r="L99" s="4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1.0</v>
      </c>
      <c r="B100" s="84" t="s">
        <v>18</v>
      </c>
      <c r="C100" s="85" t="s">
        <v>23</v>
      </c>
      <c r="D100" s="22">
        <v>16000.0</v>
      </c>
      <c r="E100" s="15">
        <f t="shared" si="19"/>
        <v>16000</v>
      </c>
      <c r="F100" s="15">
        <f t="shared" ref="F100:F104" si="23">E100*1.105</f>
        <v>17680</v>
      </c>
      <c r="G100" s="3"/>
      <c r="H100" s="3"/>
      <c r="I100" s="87">
        <v>6000.0</v>
      </c>
      <c r="J100" s="15">
        <f t="shared" si="21"/>
        <v>6000</v>
      </c>
      <c r="K100" s="15">
        <f t="shared" si="22"/>
        <v>11680</v>
      </c>
      <c r="L100" s="4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1.0</v>
      </c>
      <c r="B101" s="84" t="s">
        <v>18</v>
      </c>
      <c r="C101" s="85" t="s">
        <v>20</v>
      </c>
      <c r="D101" s="22">
        <v>30000.0</v>
      </c>
      <c r="E101" s="15">
        <f t="shared" si="19"/>
        <v>30000</v>
      </c>
      <c r="F101" s="15">
        <f t="shared" si="23"/>
        <v>33150</v>
      </c>
      <c r="G101" s="3"/>
      <c r="H101" s="86"/>
      <c r="I101" s="87">
        <v>12000.0</v>
      </c>
      <c r="J101" s="15">
        <f t="shared" si="21"/>
        <v>12000</v>
      </c>
      <c r="K101" s="15">
        <f t="shared" si="22"/>
        <v>21150</v>
      </c>
      <c r="L101" s="4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1.0</v>
      </c>
      <c r="B102" s="84" t="s">
        <v>18</v>
      </c>
      <c r="C102" s="85" t="s">
        <v>237</v>
      </c>
      <c r="D102" s="22">
        <v>22000.0</v>
      </c>
      <c r="E102" s="15">
        <f t="shared" si="19"/>
        <v>22000</v>
      </c>
      <c r="F102" s="15">
        <f t="shared" si="23"/>
        <v>24310</v>
      </c>
      <c r="G102" s="3"/>
      <c r="H102" s="86"/>
      <c r="I102" s="87">
        <v>18000.0</v>
      </c>
      <c r="J102" s="15">
        <f t="shared" si="21"/>
        <v>18000</v>
      </c>
      <c r="K102" s="15">
        <f t="shared" si="22"/>
        <v>6310</v>
      </c>
      <c r="L102" s="4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1.0</v>
      </c>
      <c r="B103" s="84" t="s">
        <v>18</v>
      </c>
      <c r="C103" s="85" t="s">
        <v>237</v>
      </c>
      <c r="D103" s="22">
        <v>22000.0</v>
      </c>
      <c r="E103" s="15">
        <f t="shared" si="19"/>
        <v>22000</v>
      </c>
      <c r="F103" s="15">
        <f t="shared" si="23"/>
        <v>24310</v>
      </c>
      <c r="G103" s="86" t="s">
        <v>38</v>
      </c>
      <c r="H103" s="3"/>
      <c r="I103" s="87">
        <v>0.0</v>
      </c>
      <c r="J103" s="15">
        <f t="shared" si="21"/>
        <v>0</v>
      </c>
      <c r="K103" s="15">
        <f t="shared" si="22"/>
        <v>24310</v>
      </c>
      <c r="L103" s="4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1.0</v>
      </c>
      <c r="B104" s="84" t="s">
        <v>18</v>
      </c>
      <c r="C104" s="85" t="s">
        <v>20</v>
      </c>
      <c r="D104" s="22">
        <v>30000.0</v>
      </c>
      <c r="E104" s="15">
        <f t="shared" si="19"/>
        <v>30000</v>
      </c>
      <c r="F104" s="15">
        <f t="shared" si="23"/>
        <v>33150</v>
      </c>
      <c r="G104" s="86" t="s">
        <v>38</v>
      </c>
      <c r="H104" s="3"/>
      <c r="I104" s="87">
        <v>0.0</v>
      </c>
      <c r="J104" s="15">
        <f t="shared" si="21"/>
        <v>0</v>
      </c>
      <c r="K104" s="15">
        <f t="shared" si="22"/>
        <v>33150</v>
      </c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0.5</v>
      </c>
      <c r="B105" s="84" t="s">
        <v>18</v>
      </c>
      <c r="C105" s="85" t="s">
        <v>21</v>
      </c>
      <c r="D105" s="22">
        <v>56000.0</v>
      </c>
      <c r="E105" s="15">
        <f t="shared" si="19"/>
        <v>28000</v>
      </c>
      <c r="F105" s="15">
        <f>E105*1.21</f>
        <v>33880</v>
      </c>
      <c r="G105" s="86" t="s">
        <v>38</v>
      </c>
      <c r="H105" s="86"/>
      <c r="I105" s="87">
        <v>0.0</v>
      </c>
      <c r="J105" s="15">
        <f t="shared" si="21"/>
        <v>0</v>
      </c>
      <c r="K105" s="15">
        <f t="shared" si="22"/>
        <v>33880</v>
      </c>
      <c r="L105" s="4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83">
        <v>1.0</v>
      </c>
      <c r="B106" s="84" t="s">
        <v>18</v>
      </c>
      <c r="C106" s="85" t="s">
        <v>19</v>
      </c>
      <c r="D106" s="22">
        <v>23000.0</v>
      </c>
      <c r="E106" s="15">
        <f t="shared" si="19"/>
        <v>23000</v>
      </c>
      <c r="F106" s="15">
        <f t="shared" ref="F106:F110" si="24">E106*1.105</f>
        <v>25415</v>
      </c>
      <c r="G106" s="86" t="s">
        <v>38</v>
      </c>
      <c r="H106" s="3"/>
      <c r="I106" s="87">
        <v>0.0</v>
      </c>
      <c r="J106" s="15">
        <f t="shared" si="21"/>
        <v>0</v>
      </c>
      <c r="K106" s="15">
        <f t="shared" si="22"/>
        <v>25415</v>
      </c>
      <c r="L106" s="4"/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83">
        <v>1.0</v>
      </c>
      <c r="B107" s="84" t="s">
        <v>29</v>
      </c>
      <c r="C107" s="85" t="s">
        <v>55</v>
      </c>
      <c r="D107" s="22">
        <v>35000.0</v>
      </c>
      <c r="E107" s="15">
        <f t="shared" si="19"/>
        <v>35000</v>
      </c>
      <c r="F107" s="15">
        <f t="shared" si="24"/>
        <v>38675</v>
      </c>
      <c r="G107" s="86" t="s">
        <v>38</v>
      </c>
      <c r="H107" s="3"/>
      <c r="I107" s="87">
        <v>0.0</v>
      </c>
      <c r="J107" s="15">
        <f t="shared" si="21"/>
        <v>0</v>
      </c>
      <c r="K107" s="15">
        <f t="shared" si="22"/>
        <v>38675</v>
      </c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83">
        <v>1.0</v>
      </c>
      <c r="B108" s="84" t="s">
        <v>29</v>
      </c>
      <c r="C108" s="85" t="s">
        <v>30</v>
      </c>
      <c r="D108" s="22">
        <v>63000.0</v>
      </c>
      <c r="E108" s="15">
        <f t="shared" si="19"/>
        <v>63000</v>
      </c>
      <c r="F108" s="15">
        <f t="shared" si="24"/>
        <v>69615</v>
      </c>
      <c r="G108" s="86" t="s">
        <v>38</v>
      </c>
      <c r="H108" s="3"/>
      <c r="I108" s="87">
        <v>0.0</v>
      </c>
      <c r="J108" s="15">
        <f t="shared" si="21"/>
        <v>0</v>
      </c>
      <c r="K108" s="15">
        <f t="shared" si="22"/>
        <v>69615</v>
      </c>
      <c r="L108" s="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83">
        <v>3.0</v>
      </c>
      <c r="B109" s="84" t="s">
        <v>18</v>
      </c>
      <c r="C109" s="85" t="s">
        <v>201</v>
      </c>
      <c r="D109" s="22">
        <v>40000.0</v>
      </c>
      <c r="E109" s="15">
        <f t="shared" si="19"/>
        <v>120000</v>
      </c>
      <c r="F109" s="15">
        <f t="shared" si="24"/>
        <v>132600</v>
      </c>
      <c r="G109" s="86" t="s">
        <v>41</v>
      </c>
      <c r="H109" s="3"/>
      <c r="I109" s="87">
        <v>0.0</v>
      </c>
      <c r="J109" s="15">
        <f t="shared" si="21"/>
        <v>0</v>
      </c>
      <c r="K109" s="15">
        <f t="shared" si="22"/>
        <v>132600</v>
      </c>
      <c r="L109" s="4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83">
        <v>1.0</v>
      </c>
      <c r="B110" s="84" t="s">
        <v>18</v>
      </c>
      <c r="C110" s="85" t="s">
        <v>214</v>
      </c>
      <c r="D110" s="22">
        <v>35000.0</v>
      </c>
      <c r="E110" s="15">
        <f t="shared" si="19"/>
        <v>35000</v>
      </c>
      <c r="F110" s="15">
        <f t="shared" si="24"/>
        <v>38675</v>
      </c>
      <c r="G110" s="86" t="s">
        <v>41</v>
      </c>
      <c r="H110" s="3"/>
      <c r="I110" s="87">
        <v>0.0</v>
      </c>
      <c r="J110" s="15">
        <f t="shared" si="21"/>
        <v>0</v>
      </c>
      <c r="K110" s="15">
        <f t="shared" si="22"/>
        <v>38675</v>
      </c>
      <c r="L110" s="4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13"/>
      <c r="B111" s="12"/>
      <c r="C111" s="14"/>
      <c r="D111" s="15"/>
      <c r="E111" s="3"/>
      <c r="F111" s="3"/>
      <c r="G111" s="3"/>
      <c r="H111" s="3"/>
      <c r="I111" s="86"/>
      <c r="J111" s="3"/>
      <c r="K111" s="3"/>
      <c r="L111" s="4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13"/>
      <c r="B112" s="12"/>
      <c r="C112" s="14"/>
      <c r="D112" s="15"/>
      <c r="E112" s="15">
        <f t="shared" ref="E112:F112" si="25">SUM(E93:E110)</f>
        <v>928000</v>
      </c>
      <c r="F112" s="15">
        <f t="shared" si="25"/>
        <v>1031320</v>
      </c>
      <c r="G112" s="3"/>
      <c r="H112" s="3"/>
      <c r="I112" s="3"/>
      <c r="J112" s="3"/>
      <c r="K112" s="15">
        <f>SUM(K93:K110)</f>
        <v>612320</v>
      </c>
      <c r="L112" s="23">
        <f>K112/F112</f>
        <v>0.5937245472</v>
      </c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24"/>
      <c r="B113" s="24"/>
      <c r="C113" s="24"/>
      <c r="D113" s="32"/>
      <c r="E113" s="7"/>
      <c r="F113" s="33"/>
      <c r="G113" s="25"/>
      <c r="H113" s="25"/>
      <c r="I113" s="16"/>
      <c r="J113" s="16"/>
      <c r="K113" s="16"/>
      <c r="L113" s="34"/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24"/>
      <c r="B114" s="24"/>
      <c r="C114" s="24"/>
      <c r="D114" s="32"/>
      <c r="E114" s="7"/>
      <c r="F114" s="33"/>
      <c r="G114" s="25"/>
      <c r="H114" s="25"/>
      <c r="I114" s="16"/>
      <c r="J114" s="16"/>
      <c r="K114" s="16"/>
      <c r="L114" s="34"/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24"/>
      <c r="B115" s="24"/>
      <c r="C115" s="24"/>
      <c r="D115" s="32"/>
      <c r="E115" s="82"/>
      <c r="F115" s="33"/>
      <c r="G115" s="25"/>
      <c r="H115" s="25"/>
      <c r="I115" s="16"/>
      <c r="J115" s="16"/>
      <c r="K115" s="16"/>
      <c r="L115" s="34"/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24" t="s">
        <v>90</v>
      </c>
      <c r="B116" s="24" t="s">
        <v>91</v>
      </c>
      <c r="C116" s="24"/>
      <c r="D116" s="81" t="s">
        <v>74</v>
      </c>
      <c r="E116" s="82">
        <v>46063.0</v>
      </c>
      <c r="F116" s="33" t="s">
        <v>13</v>
      </c>
      <c r="G116" s="25"/>
      <c r="H116" s="25"/>
      <c r="I116" s="16"/>
      <c r="J116" s="16"/>
      <c r="K116" s="16"/>
      <c r="L116" s="34"/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B117" s="25"/>
      <c r="C117" s="35"/>
      <c r="D117" s="25"/>
      <c r="E117" s="25"/>
      <c r="F117" s="25"/>
      <c r="G117" s="25"/>
      <c r="H117" s="25"/>
      <c r="I117" s="16"/>
      <c r="J117" s="16"/>
      <c r="K117" s="16"/>
      <c r="L117" s="34"/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5" t="s">
        <v>4</v>
      </c>
      <c r="B118" s="10" t="s">
        <v>5</v>
      </c>
      <c r="C118" s="11" t="s">
        <v>6</v>
      </c>
      <c r="D118" s="12" t="s">
        <v>7</v>
      </c>
      <c r="E118" s="10" t="s">
        <v>8</v>
      </c>
      <c r="F118" s="12"/>
      <c r="G118" s="25"/>
      <c r="H118" s="25"/>
      <c r="I118" s="12" t="s">
        <v>7</v>
      </c>
      <c r="J118" s="12" t="s">
        <v>8</v>
      </c>
      <c r="K118" s="12" t="s">
        <v>10</v>
      </c>
      <c r="L118" s="34"/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2.0</v>
      </c>
      <c r="B119" s="84" t="s">
        <v>18</v>
      </c>
      <c r="C119" s="85" t="s">
        <v>281</v>
      </c>
      <c r="D119" s="22">
        <v>17000.0</v>
      </c>
      <c r="E119" s="15">
        <f>A119*D119</f>
        <v>34000</v>
      </c>
      <c r="F119" s="16"/>
      <c r="G119" s="25"/>
      <c r="H119" s="37"/>
      <c r="I119" s="22">
        <f>(11000+14000)/2</f>
        <v>12500</v>
      </c>
      <c r="J119" s="16">
        <f>I119*A119</f>
        <v>25000</v>
      </c>
      <c r="K119" s="16">
        <f>E119-J119</f>
        <v>9000</v>
      </c>
      <c r="L119" s="36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/>
      <c r="B120" s="12"/>
      <c r="C120" s="14"/>
      <c r="D120" s="15"/>
      <c r="E120" s="16"/>
      <c r="F120" s="16"/>
      <c r="G120" s="25"/>
      <c r="H120" s="25"/>
      <c r="I120" s="16"/>
      <c r="J120" s="16"/>
      <c r="K120" s="16"/>
      <c r="L120" s="36"/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/>
      <c r="B121" s="12"/>
      <c r="C121" s="14"/>
      <c r="D121" s="15"/>
      <c r="E121" s="16">
        <f>SUM(E119)</f>
        <v>34000</v>
      </c>
      <c r="F121" s="16"/>
      <c r="G121" s="25"/>
      <c r="H121" s="25"/>
      <c r="I121" s="16"/>
      <c r="J121" s="16"/>
      <c r="K121" s="16">
        <f>SUM(K119)</f>
        <v>9000</v>
      </c>
      <c r="L121" s="36">
        <f>K121/E121</f>
        <v>0.2647058824</v>
      </c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30"/>
      <c r="B122" s="31"/>
      <c r="C122" s="2"/>
      <c r="D122" s="3"/>
      <c r="E122" s="3"/>
      <c r="F122" s="3"/>
      <c r="G122" s="2"/>
      <c r="H122" s="2"/>
      <c r="I122" s="2"/>
      <c r="J122" s="2"/>
      <c r="K122" s="3"/>
      <c r="L122" s="4"/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26" t="s">
        <v>60</v>
      </c>
      <c r="B123" s="27">
        <v>0.04</v>
      </c>
      <c r="C123" s="2"/>
      <c r="D123" s="3"/>
      <c r="E123" s="15">
        <f>E121*0.04</f>
        <v>1360</v>
      </c>
      <c r="F123" s="3"/>
      <c r="G123" s="2"/>
      <c r="H123" s="3"/>
      <c r="I123" s="3"/>
      <c r="J123" s="3"/>
      <c r="K123" s="3"/>
      <c r="L123" s="4"/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21"/>
      <c r="P124" s="21"/>
      <c r="Q124" s="21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30"/>
      <c r="B125" s="31"/>
      <c r="C125" s="2"/>
      <c r="D125" s="3"/>
      <c r="E125" s="3"/>
      <c r="F125" s="3"/>
      <c r="G125" s="2"/>
      <c r="H125" s="2"/>
      <c r="I125" s="2"/>
      <c r="J125" s="2"/>
      <c r="K125" s="3"/>
      <c r="L125" s="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8"/>
      <c r="B126" s="1"/>
      <c r="C126" s="1"/>
      <c r="D126" s="81"/>
      <c r="E126" s="82"/>
      <c r="F126" s="71"/>
      <c r="G126" s="3"/>
      <c r="H126" s="3"/>
      <c r="I126" s="3"/>
      <c r="J126" s="3"/>
      <c r="K126" s="3"/>
      <c r="L126" s="4"/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8" t="s">
        <v>80</v>
      </c>
      <c r="B127" s="1"/>
      <c r="C127" s="1"/>
      <c r="D127" s="81" t="s">
        <v>265</v>
      </c>
      <c r="E127" s="82">
        <v>46063.0</v>
      </c>
      <c r="F127" s="71" t="s">
        <v>13</v>
      </c>
      <c r="G127" s="3"/>
      <c r="H127" s="3"/>
      <c r="I127" s="3"/>
      <c r="J127" s="3"/>
      <c r="K127" s="3"/>
      <c r="L127" s="4"/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"/>
      <c r="B128" s="3"/>
      <c r="C128" s="1"/>
      <c r="D128" s="3"/>
      <c r="E128" s="3"/>
      <c r="F128" s="3"/>
      <c r="G128" s="3"/>
      <c r="H128" s="3"/>
      <c r="I128" s="3"/>
      <c r="J128" s="3"/>
      <c r="K128" s="3"/>
      <c r="L128" s="4"/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5" t="s">
        <v>4</v>
      </c>
      <c r="B129" s="10" t="s">
        <v>5</v>
      </c>
      <c r="C129" s="5" t="s">
        <v>6</v>
      </c>
      <c r="D129" s="10" t="s">
        <v>7</v>
      </c>
      <c r="E129" s="10" t="s">
        <v>8</v>
      </c>
      <c r="F129" s="3"/>
      <c r="G129" s="3"/>
      <c r="H129" s="3"/>
      <c r="I129" s="10" t="s">
        <v>7</v>
      </c>
      <c r="J129" s="10" t="s">
        <v>8</v>
      </c>
      <c r="K129" s="10" t="s">
        <v>10</v>
      </c>
      <c r="L129" s="4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91">
        <v>1.0</v>
      </c>
      <c r="B130" s="92" t="s">
        <v>38</v>
      </c>
      <c r="C130" s="88" t="s">
        <v>226</v>
      </c>
      <c r="D130" s="22">
        <v>16000.0</v>
      </c>
      <c r="E130" s="15">
        <f>A130*D130</f>
        <v>16000</v>
      </c>
      <c r="F130" s="3"/>
      <c r="G130" s="3"/>
      <c r="H130" s="3"/>
      <c r="I130" s="22">
        <v>12000.0</v>
      </c>
      <c r="J130" s="15">
        <f>I130*A130</f>
        <v>12000</v>
      </c>
      <c r="K130" s="15">
        <f>E130-J130</f>
        <v>4000</v>
      </c>
      <c r="L130" s="23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"/>
      <c r="B131" s="3"/>
      <c r="C131" s="1"/>
      <c r="D131" s="3"/>
      <c r="E131" s="3"/>
      <c r="F131" s="3"/>
      <c r="G131" s="3"/>
      <c r="H131" s="3"/>
      <c r="I131" s="22" t="s">
        <v>13</v>
      </c>
      <c r="J131" s="15"/>
      <c r="K131" s="3"/>
      <c r="L131" s="23"/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1"/>
      <c r="B132" s="3"/>
      <c r="C132" s="1"/>
      <c r="D132" s="3"/>
      <c r="E132" s="15">
        <f>SUM(E130:E131)</f>
        <v>16000</v>
      </c>
      <c r="F132" s="3"/>
      <c r="G132" s="3"/>
      <c r="H132" s="3"/>
      <c r="I132" s="3"/>
      <c r="J132" s="3"/>
      <c r="K132" s="15">
        <f>SUM(K130)</f>
        <v>4000</v>
      </c>
      <c r="L132" s="23">
        <f>K132/E132</f>
        <v>0.25</v>
      </c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24"/>
      <c r="B133" s="24"/>
      <c r="C133" s="24"/>
      <c r="D133" s="32"/>
      <c r="E133" s="7"/>
      <c r="F133" s="33"/>
      <c r="G133" s="25"/>
      <c r="H133" s="25"/>
      <c r="I133" s="16"/>
      <c r="J133" s="16"/>
      <c r="K133" s="16"/>
      <c r="L133" s="34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24"/>
      <c r="B134" s="24"/>
      <c r="C134" s="24"/>
      <c r="D134" s="32"/>
      <c r="E134" s="7"/>
      <c r="F134" s="33"/>
      <c r="G134" s="25"/>
      <c r="H134" s="25"/>
      <c r="I134" s="16"/>
      <c r="J134" s="16"/>
      <c r="K134" s="16"/>
      <c r="L134" s="34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8" t="s">
        <v>197</v>
      </c>
      <c r="B135" s="1"/>
      <c r="C135" s="1"/>
      <c r="D135" s="22" t="s">
        <v>282</v>
      </c>
      <c r="E135" s="82">
        <v>46063.0</v>
      </c>
      <c r="F135" s="3"/>
      <c r="G135" s="3"/>
      <c r="H135" s="3"/>
      <c r="I135" s="3"/>
      <c r="J135" s="3"/>
      <c r="K135" s="3"/>
      <c r="L135" s="4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1"/>
      <c r="B136" s="3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5" t="s">
        <v>4</v>
      </c>
      <c r="B137" s="10" t="s">
        <v>5</v>
      </c>
      <c r="C137" s="11" t="s">
        <v>6</v>
      </c>
      <c r="D137" s="10" t="s">
        <v>7</v>
      </c>
      <c r="E137" s="10" t="s">
        <v>8</v>
      </c>
      <c r="F137" s="3"/>
      <c r="G137" s="3"/>
      <c r="H137" s="3"/>
      <c r="I137" s="10" t="s">
        <v>7</v>
      </c>
      <c r="J137" s="10" t="s">
        <v>8</v>
      </c>
      <c r="K137" s="10" t="s">
        <v>10</v>
      </c>
      <c r="L137" s="4"/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91">
        <v>1.0</v>
      </c>
      <c r="B138" s="92" t="s">
        <v>18</v>
      </c>
      <c r="C138" s="93" t="s">
        <v>72</v>
      </c>
      <c r="D138" s="22">
        <v>32000.0</v>
      </c>
      <c r="E138" s="15">
        <f t="shared" ref="E138:E139" si="26">A138*D138</f>
        <v>32000</v>
      </c>
      <c r="F138" s="3"/>
      <c r="G138" s="3"/>
      <c r="H138" s="3"/>
      <c r="I138" s="22">
        <v>28000.0</v>
      </c>
      <c r="J138" s="15">
        <f t="shared" ref="J138:J144" si="27">I138*A138</f>
        <v>28000</v>
      </c>
      <c r="K138" s="15">
        <f t="shared" ref="K138:K144" si="28">E138-J138</f>
        <v>4000</v>
      </c>
      <c r="L138" s="4"/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91">
        <v>2.0</v>
      </c>
      <c r="B139" s="92" t="s">
        <v>18</v>
      </c>
      <c r="C139" s="93" t="s">
        <v>283</v>
      </c>
      <c r="D139" s="22">
        <v>22000.0</v>
      </c>
      <c r="E139" s="15">
        <f t="shared" si="26"/>
        <v>44000</v>
      </c>
      <c r="F139" s="3"/>
      <c r="G139" s="3"/>
      <c r="H139" s="3"/>
      <c r="I139" s="22">
        <v>18000.0</v>
      </c>
      <c r="J139" s="15">
        <f t="shared" si="27"/>
        <v>36000</v>
      </c>
      <c r="K139" s="15">
        <f t="shared" si="28"/>
        <v>8000</v>
      </c>
      <c r="L139" s="4"/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91">
        <v>1.0</v>
      </c>
      <c r="B140" s="92" t="s">
        <v>33</v>
      </c>
      <c r="C140" s="93" t="s">
        <v>86</v>
      </c>
      <c r="D140" s="90" t="s">
        <v>251</v>
      </c>
      <c r="E140" s="22">
        <v>0.0</v>
      </c>
      <c r="F140" s="3"/>
      <c r="G140" s="3"/>
      <c r="H140" s="86"/>
      <c r="I140" s="22">
        <v>3000.0</v>
      </c>
      <c r="J140" s="15">
        <f t="shared" si="27"/>
        <v>3000</v>
      </c>
      <c r="K140" s="15">
        <f t="shared" si="28"/>
        <v>-3000</v>
      </c>
      <c r="L140" s="4"/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91">
        <v>0.5</v>
      </c>
      <c r="B141" s="92" t="s">
        <v>33</v>
      </c>
      <c r="C141" s="93" t="s">
        <v>249</v>
      </c>
      <c r="D141" s="22">
        <v>5000.0</v>
      </c>
      <c r="E141" s="15">
        <f t="shared" ref="E141:E144" si="29">A141*D141</f>
        <v>2500</v>
      </c>
      <c r="F141" s="3"/>
      <c r="G141" s="3"/>
      <c r="H141" s="3"/>
      <c r="I141" s="22">
        <v>8000.0</v>
      </c>
      <c r="J141" s="15">
        <f t="shared" si="27"/>
        <v>4000</v>
      </c>
      <c r="K141" s="15">
        <f t="shared" si="28"/>
        <v>-1500</v>
      </c>
      <c r="L141" s="4"/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91">
        <v>1.0</v>
      </c>
      <c r="B142" s="92" t="s">
        <v>33</v>
      </c>
      <c r="C142" s="93" t="s">
        <v>97</v>
      </c>
      <c r="D142" s="22">
        <v>20000.0</v>
      </c>
      <c r="E142" s="15">
        <f t="shared" si="29"/>
        <v>20000</v>
      </c>
      <c r="F142" s="3"/>
      <c r="G142" s="3"/>
      <c r="H142" s="3"/>
      <c r="I142" s="87">
        <v>18000.0</v>
      </c>
      <c r="J142" s="15">
        <f t="shared" si="27"/>
        <v>18000</v>
      </c>
      <c r="K142" s="15">
        <f t="shared" si="28"/>
        <v>2000</v>
      </c>
      <c r="L142" s="4"/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91">
        <v>12.0</v>
      </c>
      <c r="B143" s="92" t="s">
        <v>50</v>
      </c>
      <c r="C143" s="93" t="s">
        <v>65</v>
      </c>
      <c r="D143" s="22">
        <v>600.0</v>
      </c>
      <c r="E143" s="15">
        <f t="shared" si="29"/>
        <v>7200</v>
      </c>
      <c r="F143" s="3"/>
      <c r="G143" s="3"/>
      <c r="H143" s="3"/>
      <c r="I143" s="22">
        <v>416.0</v>
      </c>
      <c r="J143" s="15">
        <f t="shared" si="27"/>
        <v>4992</v>
      </c>
      <c r="K143" s="15">
        <f t="shared" si="28"/>
        <v>2208</v>
      </c>
      <c r="L143" s="4"/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91">
        <v>1.0</v>
      </c>
      <c r="B144" s="92" t="s">
        <v>50</v>
      </c>
      <c r="C144" s="93" t="s">
        <v>236</v>
      </c>
      <c r="D144" s="22">
        <v>5000.0</v>
      </c>
      <c r="E144" s="15">
        <f t="shared" si="29"/>
        <v>5000</v>
      </c>
      <c r="F144" s="3"/>
      <c r="G144" s="3"/>
      <c r="H144" s="3"/>
      <c r="I144" s="87">
        <v>4000.0</v>
      </c>
      <c r="J144" s="15">
        <f t="shared" si="27"/>
        <v>4000</v>
      </c>
      <c r="K144" s="15">
        <f t="shared" si="28"/>
        <v>1000</v>
      </c>
      <c r="L144" s="4"/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1"/>
      <c r="B145" s="3"/>
      <c r="C145" s="2"/>
      <c r="D145" s="3"/>
      <c r="E145" s="3"/>
      <c r="F145" s="3"/>
      <c r="G145" s="2"/>
      <c r="H145" s="3"/>
      <c r="I145" s="3"/>
      <c r="J145" s="3"/>
      <c r="K145" s="3"/>
      <c r="L145" s="4"/>
      <c r="M145" s="2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"/>
      <c r="B146" s="3"/>
      <c r="C146" s="2"/>
      <c r="D146" s="3"/>
      <c r="E146" s="15">
        <f>SUM(E138:E145)</f>
        <v>110700</v>
      </c>
      <c r="F146" s="3"/>
      <c r="G146" s="3"/>
      <c r="H146" s="3"/>
      <c r="I146" s="3"/>
      <c r="J146" s="3"/>
      <c r="K146" s="15">
        <f>SUM(K138:K144)</f>
        <v>12708</v>
      </c>
      <c r="L146" s="23">
        <f>K146/E146</f>
        <v>0.114796748</v>
      </c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30"/>
      <c r="B147" s="31"/>
      <c r="C147" s="2"/>
      <c r="D147" s="3"/>
      <c r="E147" s="3"/>
      <c r="F147" s="3"/>
      <c r="G147" s="2"/>
      <c r="H147" s="2"/>
      <c r="I147" s="2"/>
      <c r="J147" s="2"/>
      <c r="K147" s="3"/>
      <c r="L147" s="4"/>
      <c r="M147" s="2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30"/>
      <c r="B148" s="31"/>
      <c r="C148" s="2"/>
      <c r="D148" s="3"/>
      <c r="E148" s="3"/>
      <c r="F148" s="3"/>
      <c r="G148" s="2"/>
      <c r="H148" s="2"/>
      <c r="I148" s="2"/>
      <c r="J148" s="2"/>
      <c r="K148" s="3"/>
      <c r="L148" s="4"/>
      <c r="M148" s="2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24"/>
      <c r="B149" s="24"/>
      <c r="C149" s="24"/>
      <c r="D149" s="32"/>
      <c r="E149" s="7"/>
      <c r="F149" s="33"/>
      <c r="G149" s="25"/>
      <c r="H149" s="25"/>
      <c r="I149" s="16"/>
      <c r="J149" s="16"/>
      <c r="K149" s="16"/>
      <c r="L149" s="34"/>
      <c r="M149" s="2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24"/>
      <c r="B150" s="24"/>
      <c r="C150" s="24"/>
      <c r="D150" s="32"/>
      <c r="E150" s="7"/>
      <c r="F150" s="33"/>
      <c r="G150" s="25"/>
      <c r="H150" s="25"/>
      <c r="I150" s="16"/>
      <c r="J150" s="16"/>
      <c r="K150" s="16"/>
      <c r="L150" s="34"/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30"/>
      <c r="B151" s="31"/>
      <c r="C151" s="2"/>
      <c r="D151" s="3"/>
      <c r="E151" s="3"/>
      <c r="F151" s="3"/>
      <c r="G151" s="2"/>
      <c r="H151" s="2"/>
      <c r="I151" s="2"/>
      <c r="J151" s="2"/>
      <c r="K151" s="3"/>
      <c r="L151" s="4"/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30" t="s">
        <v>120</v>
      </c>
      <c r="B152" s="31">
        <f>E146+E132+E121+F112+F87+F55+F25</f>
        <v>2262166.75</v>
      </c>
      <c r="C152" s="2"/>
      <c r="D152" s="3"/>
      <c r="E152" s="3"/>
      <c r="F152" s="3"/>
      <c r="G152" s="2"/>
      <c r="H152" s="2"/>
      <c r="I152" s="2"/>
      <c r="J152" s="2"/>
      <c r="K152" s="3"/>
      <c r="L152" s="4"/>
      <c r="M152" s="2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1"/>
      <c r="B153" s="2"/>
      <c r="C153" s="2"/>
      <c r="D153" s="3"/>
      <c r="E153" s="3"/>
      <c r="F153" s="3"/>
      <c r="G153" s="2"/>
      <c r="H153" s="2"/>
      <c r="I153" s="2"/>
      <c r="J153" s="2"/>
      <c r="K153" s="3"/>
      <c r="L153" s="4"/>
      <c r="M153" s="2"/>
      <c r="N153" s="2"/>
      <c r="O153" s="2"/>
      <c r="P153" s="2"/>
      <c r="Q153" s="3"/>
      <c r="R153" s="9"/>
      <c r="S153" s="3"/>
      <c r="T153" s="3"/>
      <c r="U153" s="1"/>
      <c r="V153" s="3"/>
      <c r="W153" s="3"/>
      <c r="X153" s="3"/>
      <c r="Y153" s="3"/>
      <c r="Z153" s="3"/>
    </row>
    <row r="154">
      <c r="A154" s="30" t="s">
        <v>121</v>
      </c>
      <c r="B154" s="31">
        <f>K146+K132+K121+K112+K87+K55+K25</f>
        <v>966812.2833</v>
      </c>
      <c r="C154" s="2"/>
      <c r="D154" s="3"/>
      <c r="E154" s="3"/>
      <c r="F154" s="3"/>
      <c r="G154" s="2"/>
      <c r="H154" s="2"/>
      <c r="I154" s="2"/>
      <c r="J154" s="2"/>
      <c r="K154" s="3"/>
      <c r="L154" s="4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1"/>
      <c r="B155" s="2"/>
      <c r="C155" s="2"/>
      <c r="D155" s="3"/>
      <c r="E155" s="3"/>
      <c r="F155" s="3"/>
      <c r="G155" s="2"/>
      <c r="H155" s="2"/>
      <c r="I155" s="2"/>
      <c r="J155" s="2"/>
      <c r="K155" s="3"/>
      <c r="L155" s="4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39" t="s">
        <v>122</v>
      </c>
      <c r="B156" s="40">
        <f>E123</f>
        <v>1360</v>
      </c>
      <c r="C156" s="2"/>
      <c r="D156" s="3"/>
      <c r="E156" s="3"/>
      <c r="F156" s="3"/>
      <c r="G156" s="2"/>
      <c r="H156" s="2"/>
      <c r="I156" s="2"/>
      <c r="J156" s="2"/>
      <c r="K156" s="3"/>
      <c r="L156" s="4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1"/>
      <c r="B157" s="2"/>
      <c r="C157" s="2"/>
      <c r="D157" s="3"/>
      <c r="E157" s="3"/>
      <c r="F157" s="3"/>
      <c r="G157" s="2"/>
      <c r="H157" s="2"/>
      <c r="I157" s="2"/>
      <c r="J157" s="2"/>
      <c r="K157" s="3"/>
      <c r="L157" s="4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30" t="s">
        <v>123</v>
      </c>
      <c r="B158" s="41">
        <f>B154/B152</f>
        <v>0.4273832967</v>
      </c>
      <c r="C158" s="2"/>
      <c r="D158" s="3"/>
      <c r="E158" s="3"/>
      <c r="F158" s="3"/>
      <c r="G158" s="2"/>
      <c r="H158" s="2"/>
      <c r="I158" s="2"/>
      <c r="J158" s="2"/>
      <c r="K158" s="3"/>
      <c r="L158" s="4"/>
      <c r="M158" s="2"/>
      <c r="N158" s="2"/>
      <c r="O158" s="2"/>
      <c r="P158" s="2"/>
      <c r="Q158" s="2"/>
      <c r="R158" s="2"/>
      <c r="S158" s="3"/>
      <c r="T158" s="3"/>
      <c r="U158" s="1"/>
      <c r="V158" s="3"/>
      <c r="W158" s="3"/>
      <c r="X158" s="2"/>
      <c r="Y158" s="2"/>
      <c r="Z158" s="2"/>
    </row>
    <row r="159">
      <c r="A159" s="1"/>
      <c r="B159" s="2"/>
      <c r="C159" s="2"/>
      <c r="D159" s="3"/>
      <c r="E159" s="3"/>
      <c r="F159" s="3"/>
      <c r="G159" s="2"/>
      <c r="H159" s="2"/>
      <c r="I159" s="2"/>
      <c r="J159" s="2"/>
      <c r="K159" s="3"/>
      <c r="L159" s="4"/>
      <c r="M159" s="2"/>
      <c r="N159" s="2"/>
      <c r="O159" s="2"/>
      <c r="P159" s="2"/>
      <c r="Q159" s="3"/>
      <c r="R159" s="9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42" t="s">
        <v>124</v>
      </c>
      <c r="C160" s="43">
        <v>100.0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9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1"/>
      <c r="B162" s="2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"/>
      <c r="B163" s="1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X164" s="3"/>
      <c r="Y164" s="3"/>
      <c r="Z164" s="3"/>
    </row>
    <row r="165" ht="15.75" customHeight="1">
      <c r="A165" s="45"/>
      <c r="B165" s="46" t="s">
        <v>125</v>
      </c>
      <c r="C165" s="47" t="s">
        <v>126</v>
      </c>
      <c r="D165" s="48" t="s">
        <v>127</v>
      </c>
      <c r="E165" s="48" t="s">
        <v>128</v>
      </c>
      <c r="F165" s="48" t="s">
        <v>129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9"/>
      <c r="X165" s="3"/>
      <c r="Y165" s="3"/>
      <c r="Z165" s="3"/>
    </row>
    <row r="166" ht="15.75" customHeight="1">
      <c r="A166" s="49"/>
      <c r="B166" s="50">
        <v>2528350.0</v>
      </c>
      <c r="C166" s="51">
        <v>308459.29</v>
      </c>
      <c r="D166" s="51">
        <f>2277828.28-500000-1000000+491000</f>
        <v>1268828.28</v>
      </c>
      <c r="E166" s="51"/>
      <c r="F166" s="51">
        <f>8500000+1101582.8</f>
        <v>9601582.8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1"/>
      <c r="B167" s="52"/>
      <c r="C167" s="52"/>
      <c r="D167" s="52"/>
      <c r="E167" s="5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46" t="s">
        <v>130</v>
      </c>
      <c r="B168" s="53"/>
      <c r="C168" s="53"/>
      <c r="D168" s="53"/>
      <c r="E168" s="53"/>
      <c r="F168" s="5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13" t="s">
        <v>131</v>
      </c>
      <c r="B169" s="55">
        <v>319800.0</v>
      </c>
      <c r="C169" s="55">
        <v>0.0</v>
      </c>
      <c r="D169" s="55">
        <v>0.0</v>
      </c>
      <c r="E169" s="55">
        <v>0.0</v>
      </c>
      <c r="F169" s="55">
        <v>0.0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13" t="s">
        <v>132</v>
      </c>
      <c r="B170" s="55">
        <v>0.0</v>
      </c>
      <c r="C170" s="55">
        <v>3625.2</v>
      </c>
      <c r="D170" s="55">
        <v>0.0</v>
      </c>
      <c r="E170" s="55">
        <v>0.0</v>
      </c>
      <c r="F170" s="55">
        <v>0.0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13" t="s">
        <v>133</v>
      </c>
      <c r="B171" s="55">
        <v>0.0</v>
      </c>
      <c r="C171" s="55">
        <v>0.0</v>
      </c>
      <c r="D171" s="55">
        <v>1101582.8</v>
      </c>
      <c r="E171" s="55">
        <v>0.0</v>
      </c>
      <c r="F171" s="55">
        <v>0.0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13" t="s">
        <v>134</v>
      </c>
      <c r="B172" s="55">
        <v>0.0</v>
      </c>
      <c r="C172" s="55">
        <v>0.0</v>
      </c>
      <c r="D172" s="55">
        <v>0.0</v>
      </c>
      <c r="E172" s="55">
        <v>0.0</v>
      </c>
      <c r="F172" s="55">
        <v>0.0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13" t="s">
        <v>135</v>
      </c>
      <c r="B173" s="55">
        <v>0.0</v>
      </c>
      <c r="C173" s="55">
        <v>0.0</v>
      </c>
      <c r="D173" s="55">
        <v>0.0</v>
      </c>
      <c r="E173" s="55">
        <v>0.0</v>
      </c>
      <c r="F173" s="55">
        <v>0.0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13" t="s">
        <v>136</v>
      </c>
      <c r="B174" s="55">
        <v>0.0</v>
      </c>
      <c r="C174" s="56">
        <f>C169*0.6%+C172*0.6%</f>
        <v>0</v>
      </c>
      <c r="D174" s="55">
        <f>SUM(D169:D171)*0.6%</f>
        <v>6609.4968</v>
      </c>
      <c r="E174" s="55">
        <v>0.0</v>
      </c>
      <c r="F174" s="55">
        <v>0.0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1"/>
      <c r="B175" s="52"/>
      <c r="C175" s="52"/>
      <c r="D175" s="52"/>
      <c r="E175" s="5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57" t="s">
        <v>8</v>
      </c>
      <c r="B176" s="58">
        <f>SUM(B166:B174)</f>
        <v>2848150</v>
      </c>
      <c r="C176" s="58">
        <f>C166+C169+C172+C173-C174+C170</f>
        <v>312084.49</v>
      </c>
      <c r="D176" s="59">
        <f>D166+D169+D172+D173-D174+D171</f>
        <v>2363801.583</v>
      </c>
      <c r="E176" s="58">
        <f>E166+E169+E172+E173-E174</f>
        <v>0</v>
      </c>
      <c r="F176" s="60">
        <f>F166+F169+F172+F173-F174-D171</f>
        <v>8500000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"/>
      <c r="B177" s="1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46" t="s">
        <v>137</v>
      </c>
      <c r="B178" s="53"/>
      <c r="C178" s="53"/>
      <c r="D178" s="53"/>
      <c r="E178" s="53"/>
      <c r="F178" s="5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13" t="s">
        <v>138</v>
      </c>
      <c r="B179" s="61">
        <v>10000.0</v>
      </c>
      <c r="C179" s="61">
        <v>0.0</v>
      </c>
      <c r="D179" s="61">
        <v>0.0</v>
      </c>
      <c r="E179" s="61">
        <v>0.0</v>
      </c>
      <c r="F179" s="3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13" t="s">
        <v>139</v>
      </c>
      <c r="B180" s="55">
        <v>0.0</v>
      </c>
      <c r="C180" s="55">
        <v>0.0</v>
      </c>
      <c r="D180" s="55">
        <v>0.0</v>
      </c>
      <c r="E180" s="55">
        <v>0.0</v>
      </c>
      <c r="F180" s="3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13" t="s">
        <v>140</v>
      </c>
      <c r="B181" s="61">
        <v>0.0</v>
      </c>
      <c r="C181" s="61">
        <v>0.0</v>
      </c>
      <c r="D181" s="55">
        <v>500000.0</v>
      </c>
      <c r="E181" s="61">
        <v>0.0</v>
      </c>
      <c r="F181" s="3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13" t="s">
        <v>141</v>
      </c>
      <c r="B182" s="61">
        <v>0.0</v>
      </c>
      <c r="C182" s="61">
        <v>0.0</v>
      </c>
      <c r="D182" s="61">
        <v>0.0</v>
      </c>
      <c r="E182" s="61">
        <v>0.0</v>
      </c>
      <c r="F182" s="3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13" t="s">
        <v>142</v>
      </c>
      <c r="B183" s="61">
        <v>0.0</v>
      </c>
      <c r="C183" s="61">
        <v>395000.0</v>
      </c>
      <c r="D183" s="61">
        <v>0.0</v>
      </c>
      <c r="E183" s="61">
        <v>0.0</v>
      </c>
      <c r="F183" s="3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13" t="s">
        <v>143</v>
      </c>
      <c r="B184" s="61">
        <v>40000.0</v>
      </c>
      <c r="C184" s="61">
        <v>0.0</v>
      </c>
      <c r="D184" s="61">
        <v>0.0</v>
      </c>
      <c r="E184" s="61">
        <v>0.0</v>
      </c>
      <c r="F184" s="35"/>
      <c r="G184" s="2"/>
      <c r="H184" s="6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13" t="s">
        <v>144</v>
      </c>
      <c r="B185" s="55">
        <v>0.0</v>
      </c>
      <c r="C185" s="55">
        <v>0.0</v>
      </c>
      <c r="D185" s="55">
        <v>0.0</v>
      </c>
      <c r="E185" s="55">
        <v>0.0</v>
      </c>
      <c r="F185" s="3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13" t="s">
        <v>145</v>
      </c>
      <c r="B186" s="55">
        <v>0.0</v>
      </c>
      <c r="C186" s="55">
        <v>0.0</v>
      </c>
      <c r="D186" s="55">
        <v>0.0</v>
      </c>
      <c r="E186" s="55">
        <v>0.0</v>
      </c>
      <c r="F186" s="35"/>
      <c r="G186" s="2"/>
      <c r="H186" s="6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13" t="s">
        <v>146</v>
      </c>
      <c r="B187" s="55">
        <v>0.0</v>
      </c>
      <c r="C187" s="55">
        <v>0.0</v>
      </c>
      <c r="D187" s="55">
        <v>0.0</v>
      </c>
      <c r="E187" s="55">
        <v>0.0</v>
      </c>
      <c r="F187" s="35"/>
      <c r="G187" s="2"/>
      <c r="H187" s="62"/>
      <c r="I187" s="2"/>
      <c r="J187" s="2"/>
      <c r="K187" s="2"/>
      <c r="L187" s="2"/>
      <c r="M187" s="2"/>
      <c r="N187" s="2"/>
      <c r="O187" s="2"/>
      <c r="P187" s="2"/>
      <c r="Q187" s="3"/>
      <c r="R187" s="9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13" t="s">
        <v>147</v>
      </c>
      <c r="B188" s="61">
        <v>0.0</v>
      </c>
      <c r="C188" s="61">
        <v>0.0</v>
      </c>
      <c r="D188" s="61">
        <v>0.0</v>
      </c>
      <c r="E188" s="61">
        <v>0.0</v>
      </c>
      <c r="F188" s="35"/>
      <c r="G188" s="2"/>
      <c r="H188" s="62"/>
      <c r="I188" s="2"/>
      <c r="J188" s="2"/>
      <c r="K188" s="2"/>
      <c r="L188" s="2"/>
      <c r="M188" s="2"/>
      <c r="N188" s="2"/>
      <c r="O188" s="2"/>
      <c r="P188" s="2"/>
      <c r="Q188" s="3"/>
      <c r="R188" s="9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13" t="s">
        <v>148</v>
      </c>
      <c r="B189" s="61">
        <v>0.0</v>
      </c>
      <c r="C189" s="61">
        <v>50000.0</v>
      </c>
      <c r="D189" s="61">
        <v>0.0</v>
      </c>
      <c r="E189" s="61">
        <v>0.0</v>
      </c>
      <c r="F189" s="35"/>
      <c r="G189" s="2"/>
      <c r="H189" s="62"/>
      <c r="I189" s="2"/>
      <c r="J189" s="2"/>
      <c r="K189" s="2"/>
      <c r="L189" s="2"/>
      <c r="M189" s="2"/>
      <c r="N189" s="2"/>
      <c r="O189" s="2"/>
      <c r="P189" s="2"/>
      <c r="Q189" s="3"/>
      <c r="R189" s="9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13" t="s">
        <v>149</v>
      </c>
      <c r="B190" s="56">
        <v>0.0</v>
      </c>
      <c r="C190" s="56">
        <v>50000.0</v>
      </c>
      <c r="D190" s="55">
        <v>0.0</v>
      </c>
      <c r="E190" s="55">
        <v>0.0</v>
      </c>
      <c r="F190" s="3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13" t="s">
        <v>150</v>
      </c>
      <c r="B191" s="56">
        <v>0.0</v>
      </c>
      <c r="C191" s="56">
        <v>0.0</v>
      </c>
      <c r="D191" s="55">
        <v>0.0</v>
      </c>
      <c r="E191" s="55">
        <v>0.0</v>
      </c>
      <c r="F191" s="35"/>
      <c r="G191" s="2"/>
      <c r="H191" s="6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13" t="s">
        <v>151</v>
      </c>
      <c r="B192" s="56">
        <v>0.0</v>
      </c>
      <c r="C192" s="56">
        <v>0.0</v>
      </c>
      <c r="D192" s="55">
        <v>0.0</v>
      </c>
      <c r="E192" s="55">
        <v>0.0</v>
      </c>
      <c r="F192" s="3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13" t="s">
        <v>152</v>
      </c>
      <c r="B193" s="56">
        <v>0.0</v>
      </c>
      <c r="C193" s="56">
        <v>0.0</v>
      </c>
      <c r="D193" s="55">
        <v>0.0</v>
      </c>
      <c r="E193" s="55">
        <v>0.0</v>
      </c>
      <c r="F193" s="3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9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13" t="s">
        <v>153</v>
      </c>
      <c r="B194" s="56">
        <v>0.0</v>
      </c>
      <c r="C194" s="56">
        <v>0.0</v>
      </c>
      <c r="D194" s="55">
        <v>0.0</v>
      </c>
      <c r="E194" s="55">
        <v>0.0</v>
      </c>
      <c r="F194" s="3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9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13" t="s">
        <v>154</v>
      </c>
      <c r="B195" s="56">
        <v>0.0</v>
      </c>
      <c r="C195" s="56">
        <v>0.0</v>
      </c>
      <c r="D195" s="55">
        <v>0.0</v>
      </c>
      <c r="E195" s="55">
        <v>0.0</v>
      </c>
      <c r="F195" s="3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13" t="s">
        <v>155</v>
      </c>
      <c r="B196" s="55">
        <v>20000.0</v>
      </c>
      <c r="C196" s="55">
        <v>0.0</v>
      </c>
      <c r="D196" s="55">
        <v>0.0</v>
      </c>
      <c r="E196" s="55">
        <v>0.0</v>
      </c>
      <c r="F196" s="3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13" t="s">
        <v>156</v>
      </c>
      <c r="B197" s="55">
        <v>0.0</v>
      </c>
      <c r="C197" s="55">
        <v>0.0</v>
      </c>
      <c r="D197" s="55">
        <v>12167.06</v>
      </c>
      <c r="E197" s="55">
        <v>0.0</v>
      </c>
      <c r="F197" s="3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13" t="s">
        <v>157</v>
      </c>
      <c r="B198" s="55">
        <v>0.0</v>
      </c>
      <c r="C198" s="55">
        <v>0.0</v>
      </c>
      <c r="D198" s="55">
        <v>0.0</v>
      </c>
      <c r="E198" s="55">
        <v>0.0</v>
      </c>
      <c r="F198" s="3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13" t="s">
        <v>158</v>
      </c>
      <c r="B199" s="56">
        <v>0.0</v>
      </c>
      <c r="C199" s="56">
        <v>0.0</v>
      </c>
      <c r="D199" s="55">
        <f>SUM(D169:D171)*2%</f>
        <v>22031.656</v>
      </c>
      <c r="E199" s="55">
        <v>0.0</v>
      </c>
      <c r="F199" s="3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13" t="s">
        <v>159</v>
      </c>
      <c r="B200" s="55">
        <v>0.0</v>
      </c>
      <c r="C200" s="55">
        <v>0.0</v>
      </c>
      <c r="D200" s="55">
        <v>0.0</v>
      </c>
      <c r="E200" s="55">
        <v>0.0</v>
      </c>
      <c r="F200" s="3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13" t="s">
        <v>160</v>
      </c>
      <c r="B201" s="55">
        <v>0.0</v>
      </c>
      <c r="C201" s="55">
        <v>0.0</v>
      </c>
      <c r="D201" s="55">
        <v>0.0</v>
      </c>
      <c r="E201" s="55">
        <v>0.0</v>
      </c>
      <c r="F201" s="3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13" t="s">
        <v>161</v>
      </c>
      <c r="B202" s="55">
        <v>0.0</v>
      </c>
      <c r="C202" s="55">
        <v>0.0</v>
      </c>
      <c r="D202" s="55">
        <v>0.0</v>
      </c>
      <c r="E202" s="55">
        <v>0.0</v>
      </c>
      <c r="F202" s="3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13" t="s">
        <v>162</v>
      </c>
      <c r="B203" s="55">
        <v>0.0</v>
      </c>
      <c r="C203" s="55">
        <v>0.0</v>
      </c>
      <c r="D203" s="55">
        <v>0.0</v>
      </c>
      <c r="E203" s="55">
        <v>0.0</v>
      </c>
      <c r="F203" s="3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63"/>
      <c r="B204" s="55"/>
      <c r="C204" s="55"/>
      <c r="D204" s="55"/>
      <c r="E204" s="55"/>
      <c r="F204" s="3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13" t="s">
        <v>163</v>
      </c>
      <c r="B205" s="56">
        <v>0.0</v>
      </c>
      <c r="C205" s="56">
        <f>SUM(C179:C202)*0.6%</f>
        <v>2970</v>
      </c>
      <c r="D205" s="56">
        <f>SUM(D179:D202)*0.6%+(D206*0.6%)</f>
        <v>5737.192296</v>
      </c>
      <c r="E205" s="56">
        <f>(E183*0.6%)+(E184*0.6%)+(E185*0.6%)+(E188*0.6%)+(E189*0.6%)</f>
        <v>0</v>
      </c>
      <c r="F205" s="3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13" t="s">
        <v>164</v>
      </c>
      <c r="B206" s="56">
        <v>0.0</v>
      </c>
      <c r="C206" s="56">
        <f t="shared" ref="C206:D206" si="30">272000+150000</f>
        <v>422000</v>
      </c>
      <c r="D206" s="56">
        <f t="shared" si="30"/>
        <v>422000</v>
      </c>
      <c r="E206" s="56">
        <f>SUM(E180:E204)*0.6%+(E207*0.6%)</f>
        <v>0</v>
      </c>
      <c r="F206" s="6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63"/>
      <c r="B207" s="63"/>
      <c r="C207" s="35"/>
      <c r="D207" s="2"/>
      <c r="E207" s="35"/>
      <c r="F207" s="3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65" t="s">
        <v>165</v>
      </c>
      <c r="B208" s="66">
        <f>SUM(B179:B207)</f>
        <v>70000</v>
      </c>
      <c r="C208" s="66">
        <f>SUM(C179:C205)</f>
        <v>497970</v>
      </c>
      <c r="D208" s="66">
        <f>SUM(D179:D206)</f>
        <v>961935.9083</v>
      </c>
      <c r="E208" s="66">
        <f>E190+E194+E205-E206</f>
        <v>0</v>
      </c>
      <c r="F208" s="67" t="str">
        <f>F183</f>
        <v/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63"/>
      <c r="B209" s="63"/>
      <c r="C209" s="35"/>
      <c r="D209" s="35"/>
      <c r="E209" s="35"/>
      <c r="F209" s="3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65" t="s">
        <v>166</v>
      </c>
      <c r="B210" s="68">
        <f>B176-B208</f>
        <v>2778150</v>
      </c>
      <c r="C210" s="69">
        <f>C176-C208+C206</f>
        <v>236114.49</v>
      </c>
      <c r="D210" s="69">
        <f t="shared" ref="D210:F210" si="31">D176-D208</f>
        <v>1401865.675</v>
      </c>
      <c r="E210" s="70">
        <f t="shared" si="31"/>
        <v>0</v>
      </c>
      <c r="F210" s="70">
        <f t="shared" si="31"/>
        <v>8500000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71" t="s">
        <v>167</v>
      </c>
      <c r="B212" s="72">
        <v>249800.0</v>
      </c>
      <c r="C212" s="52"/>
      <c r="D212" s="52"/>
      <c r="E212" s="52"/>
      <c r="F212" s="5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9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71" t="s">
        <v>168</v>
      </c>
      <c r="B213" s="72">
        <v>2528350.0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52" t="s">
        <v>13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52">
        <f>SUM(B212:B213)</f>
        <v>2778150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9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9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1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9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9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9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9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1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1"/>
      <c r="V254" s="3"/>
      <c r="W254" s="9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1"/>
      <c r="V255" s="3"/>
      <c r="W255" s="9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9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9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9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9"/>
      <c r="S279" s="3"/>
      <c r="T279" s="3"/>
      <c r="U279" s="1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9"/>
      <c r="S280" s="3"/>
      <c r="T280" s="3"/>
      <c r="U280" s="1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9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9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3"/>
      <c r="T289" s="3"/>
      <c r="U289" s="9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9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9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9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9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9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9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9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9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3"/>
      <c r="T331" s="3"/>
      <c r="U331" s="9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9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9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9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5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5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5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5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5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5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5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5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5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5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5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5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5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5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5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5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9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5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5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52"/>
      <c r="R376" s="52"/>
      <c r="S376" s="3"/>
      <c r="T376" s="3"/>
      <c r="U376" s="9"/>
      <c r="V376" s="3"/>
      <c r="W376" s="3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9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9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5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5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5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5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5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5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5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9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9"/>
      <c r="T422" s="3"/>
      <c r="U422" s="2"/>
      <c r="V422" s="3"/>
      <c r="W422" s="3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9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9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9"/>
      <c r="T439" s="3"/>
      <c r="U439" s="2"/>
      <c r="V439" s="3"/>
      <c r="W439" s="3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9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9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9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9"/>
      <c r="T450" s="3"/>
      <c r="U450" s="2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9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9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3"/>
      <c r="T466" s="3"/>
      <c r="U466" s="9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3"/>
      <c r="R467" s="2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9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2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2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9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3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3"/>
      <c r="T480" s="9"/>
      <c r="U480" s="2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3"/>
      <c r="R481" s="2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3"/>
      <c r="R482" s="9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3"/>
      <c r="R483" s="2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3"/>
      <c r="R484" s="2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3"/>
      <c r="R485" s="2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3"/>
      <c r="R486" s="2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3"/>
      <c r="R487" s="2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3"/>
      <c r="R488" s="2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3"/>
      <c r="R489" s="9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3"/>
      <c r="R490" s="9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3"/>
      <c r="R491" s="9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3"/>
      <c r="T492" s="9"/>
      <c r="U492" s="2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3"/>
      <c r="R493" s="2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3"/>
      <c r="R494" s="9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3"/>
      <c r="R495" s="2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3"/>
      <c r="R496" s="2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3"/>
      <c r="R497" s="2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3"/>
      <c r="R498" s="2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3"/>
      <c r="R499" s="2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3"/>
      <c r="R500" s="9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3"/>
      <c r="R501" s="2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3"/>
      <c r="R502" s="2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3"/>
      <c r="R503" s="2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3"/>
      <c r="R505" s="2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3"/>
      <c r="R507" s="2"/>
      <c r="S507" s="2"/>
      <c r="T507" s="3"/>
      <c r="U507" s="2"/>
      <c r="V507" s="2"/>
      <c r="W507" s="2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3"/>
      <c r="T508" s="3"/>
      <c r="U508" s="3"/>
      <c r="V508" s="2"/>
      <c r="W508" s="2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44"/>
      <c r="R510" s="44"/>
      <c r="S510" s="44"/>
      <c r="T510" s="44"/>
      <c r="U510" s="44"/>
      <c r="V510" s="44"/>
      <c r="W510" s="44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3"/>
      <c r="T511" s="3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"/>
      <c r="R512" s="2"/>
      <c r="S512" s="3"/>
      <c r="T512" s="3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4"/>
      <c r="R514" s="75"/>
      <c r="S514" s="76"/>
      <c r="T514" s="76"/>
      <c r="U514" s="76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7"/>
      <c r="R515" s="77"/>
      <c r="S515" s="77"/>
      <c r="T515" s="77"/>
      <c r="U515" s="77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2"/>
      <c r="R516" s="52"/>
      <c r="S516" s="52"/>
      <c r="T516" s="5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52"/>
      <c r="R518" s="52"/>
      <c r="S518" s="52"/>
      <c r="T518" s="52"/>
      <c r="U518" s="5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52"/>
      <c r="R519" s="52"/>
      <c r="S519" s="52"/>
      <c r="T519" s="5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52"/>
      <c r="R520" s="52"/>
      <c r="S520" s="52"/>
      <c r="T520" s="5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52"/>
      <c r="R521" s="52"/>
      <c r="S521" s="52"/>
      <c r="T521" s="5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52"/>
      <c r="R522" s="52"/>
      <c r="S522" s="52"/>
      <c r="T522" s="5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8"/>
      <c r="R523" s="78"/>
      <c r="S523" s="78"/>
      <c r="T523" s="78"/>
      <c r="U523" s="79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"/>
      <c r="R524" s="2"/>
      <c r="S524" s="3"/>
      <c r="T524" s="3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62"/>
      <c r="R526" s="62"/>
      <c r="S526" s="62"/>
      <c r="T526" s="6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62"/>
      <c r="R527" s="62"/>
      <c r="S527" s="62"/>
      <c r="T527" s="6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62"/>
      <c r="R528" s="62"/>
      <c r="S528" s="62"/>
      <c r="T528" s="6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62"/>
      <c r="R529" s="62"/>
      <c r="S529" s="62"/>
      <c r="T529" s="6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62"/>
      <c r="R530" s="62"/>
      <c r="S530" s="62"/>
      <c r="T530" s="62"/>
      <c r="U530" s="2"/>
      <c r="V530" s="2"/>
      <c r="W530" s="6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62"/>
      <c r="R531" s="62"/>
      <c r="S531" s="62"/>
      <c r="T531" s="6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62"/>
      <c r="R532" s="62"/>
      <c r="S532" s="62"/>
      <c r="T532" s="62"/>
      <c r="U532" s="2"/>
      <c r="V532" s="2"/>
      <c r="W532" s="6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62"/>
      <c r="R533" s="62"/>
      <c r="S533" s="62"/>
      <c r="T533" s="62"/>
      <c r="U533" s="2"/>
      <c r="V533" s="2"/>
      <c r="W533" s="6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52"/>
      <c r="R534" s="52"/>
      <c r="S534" s="52"/>
      <c r="T534" s="5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52"/>
      <c r="R535" s="52"/>
      <c r="S535" s="52"/>
      <c r="T535" s="52"/>
      <c r="U535" s="2"/>
      <c r="V535" s="2"/>
      <c r="W535" s="6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52"/>
      <c r="R536" s="52"/>
      <c r="S536" s="52"/>
      <c r="T536" s="5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52"/>
      <c r="R537" s="52"/>
      <c r="S537" s="52"/>
      <c r="T537" s="5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52"/>
      <c r="R538" s="52"/>
      <c r="S538" s="52"/>
      <c r="T538" s="5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52"/>
      <c r="R539" s="52"/>
      <c r="S539" s="52"/>
      <c r="T539" s="5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52"/>
      <c r="R540" s="52"/>
      <c r="S540" s="52"/>
      <c r="T540" s="5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52"/>
      <c r="R541" s="52"/>
      <c r="S541" s="52"/>
      <c r="T541" s="5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52"/>
      <c r="R542" s="52"/>
      <c r="S542" s="52"/>
      <c r="T542" s="5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"/>
      <c r="R543" s="52"/>
      <c r="S543" s="52"/>
      <c r="T543" s="5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8"/>
      <c r="R545" s="78"/>
      <c r="S545" s="78"/>
      <c r="T545" s="78"/>
      <c r="U545" s="79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7"/>
      <c r="R547" s="78"/>
      <c r="S547" s="78"/>
      <c r="T547" s="80"/>
      <c r="U547" s="80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52"/>
      <c r="R549" s="52"/>
      <c r="S549" s="52"/>
      <c r="T549" s="52"/>
      <c r="U549" s="5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5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</sheetData>
  <mergeCells count="13">
    <mergeCell ref="A160:B160"/>
    <mergeCell ref="A165:A166"/>
    <mergeCell ref="A168:F168"/>
    <mergeCell ref="A178:F178"/>
    <mergeCell ref="U218:W218"/>
    <mergeCell ref="U253:W253"/>
    <mergeCell ref="A2:C2"/>
    <mergeCell ref="A28:C28"/>
    <mergeCell ref="I28:K28"/>
    <mergeCell ref="A59:C59"/>
    <mergeCell ref="I59:K59"/>
    <mergeCell ref="I90:K90"/>
    <mergeCell ref="U164:W164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4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88" t="s">
        <v>0</v>
      </c>
      <c r="B2" s="5"/>
      <c r="C2" s="5"/>
      <c r="D2" s="6"/>
      <c r="E2" s="86" t="s">
        <v>284</v>
      </c>
      <c r="F2" s="82">
        <v>46064.0</v>
      </c>
      <c r="G2" s="8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11" t="s">
        <v>6</v>
      </c>
      <c r="D4" s="12" t="s">
        <v>7</v>
      </c>
      <c r="E4" s="10" t="s">
        <v>8</v>
      </c>
      <c r="F4" s="10" t="s">
        <v>9</v>
      </c>
      <c r="G4" s="3"/>
      <c r="H4" s="3"/>
      <c r="I4" s="10" t="s">
        <v>7</v>
      </c>
      <c r="J4" s="10" t="s">
        <v>8</v>
      </c>
      <c r="K4" s="10" t="s">
        <v>10</v>
      </c>
      <c r="L4" s="4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0.5</v>
      </c>
      <c r="B5" s="84" t="s">
        <v>18</v>
      </c>
      <c r="C5" s="85" t="s">
        <v>21</v>
      </c>
      <c r="D5" s="22">
        <v>56000.0</v>
      </c>
      <c r="E5" s="15">
        <f t="shared" ref="E5:E20" si="1">A5*D5</f>
        <v>28000</v>
      </c>
      <c r="F5" s="15">
        <f>E5*1.21</f>
        <v>33880</v>
      </c>
      <c r="G5" s="3"/>
      <c r="H5" s="3"/>
      <c r="I5" s="87">
        <v>50000.0</v>
      </c>
      <c r="J5" s="15">
        <f t="shared" ref="J5:J20" si="2">I5*A5</f>
        <v>25000</v>
      </c>
      <c r="K5" s="15">
        <f t="shared" ref="K5:K20" si="3">F5-J5</f>
        <v>8880</v>
      </c>
      <c r="L5" s="4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2.0</v>
      </c>
      <c r="B6" s="84" t="s">
        <v>18</v>
      </c>
      <c r="C6" s="85" t="s">
        <v>201</v>
      </c>
      <c r="D6" s="22">
        <v>40000.0</v>
      </c>
      <c r="E6" s="15">
        <f t="shared" si="1"/>
        <v>80000</v>
      </c>
      <c r="F6" s="15">
        <f t="shared" ref="F6:F19" si="4">E6*1.105</f>
        <v>88400</v>
      </c>
      <c r="G6" s="3"/>
      <c r="H6" s="3"/>
      <c r="I6" s="87">
        <v>27000.0</v>
      </c>
      <c r="J6" s="15">
        <f t="shared" si="2"/>
        <v>54000</v>
      </c>
      <c r="K6" s="15">
        <f t="shared" si="3"/>
        <v>34400</v>
      </c>
      <c r="L6" s="4"/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2.0</v>
      </c>
      <c r="B7" s="84" t="s">
        <v>18</v>
      </c>
      <c r="C7" s="85" t="s">
        <v>213</v>
      </c>
      <c r="D7" s="22">
        <v>42000.0</v>
      </c>
      <c r="E7" s="15">
        <f t="shared" si="1"/>
        <v>84000</v>
      </c>
      <c r="F7" s="15">
        <f t="shared" si="4"/>
        <v>92820</v>
      </c>
      <c r="G7" s="3"/>
      <c r="H7" s="3"/>
      <c r="I7" s="22">
        <v>26000.0</v>
      </c>
      <c r="J7" s="15">
        <f t="shared" si="2"/>
        <v>52000</v>
      </c>
      <c r="K7" s="15">
        <f t="shared" si="3"/>
        <v>40820</v>
      </c>
      <c r="L7" s="4"/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2.0</v>
      </c>
      <c r="B8" s="84" t="s">
        <v>18</v>
      </c>
      <c r="C8" s="85" t="s">
        <v>55</v>
      </c>
      <c r="D8" s="22">
        <v>35000.0</v>
      </c>
      <c r="E8" s="15">
        <f t="shared" si="1"/>
        <v>70000</v>
      </c>
      <c r="F8" s="15">
        <f t="shared" si="4"/>
        <v>77350</v>
      </c>
      <c r="G8" s="3"/>
      <c r="H8" s="3"/>
      <c r="I8" s="87">
        <v>28000.0</v>
      </c>
      <c r="J8" s="15">
        <f t="shared" si="2"/>
        <v>56000</v>
      </c>
      <c r="K8" s="15">
        <f t="shared" si="3"/>
        <v>21350</v>
      </c>
      <c r="L8" s="4"/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2.0</v>
      </c>
      <c r="B9" s="84" t="s">
        <v>18</v>
      </c>
      <c r="C9" s="85" t="s">
        <v>237</v>
      </c>
      <c r="D9" s="22">
        <v>22000.0</v>
      </c>
      <c r="E9" s="15">
        <f t="shared" si="1"/>
        <v>44000</v>
      </c>
      <c r="F9" s="15">
        <f t="shared" si="4"/>
        <v>48620</v>
      </c>
      <c r="G9" s="3"/>
      <c r="H9" s="3"/>
      <c r="I9" s="87">
        <v>19000.0</v>
      </c>
      <c r="J9" s="15">
        <f t="shared" si="2"/>
        <v>38000</v>
      </c>
      <c r="K9" s="15">
        <f t="shared" si="3"/>
        <v>10620</v>
      </c>
      <c r="L9" s="4"/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2.0</v>
      </c>
      <c r="B10" s="84" t="s">
        <v>18</v>
      </c>
      <c r="C10" s="85" t="s">
        <v>30</v>
      </c>
      <c r="D10" s="22">
        <v>63000.0</v>
      </c>
      <c r="E10" s="15">
        <f t="shared" si="1"/>
        <v>126000</v>
      </c>
      <c r="F10" s="15">
        <f t="shared" si="4"/>
        <v>139230</v>
      </c>
      <c r="G10" s="3"/>
      <c r="H10" s="3"/>
      <c r="I10" s="87">
        <v>21000.0</v>
      </c>
      <c r="J10" s="15">
        <f t="shared" si="2"/>
        <v>42000</v>
      </c>
      <c r="K10" s="15">
        <f t="shared" si="3"/>
        <v>97230</v>
      </c>
      <c r="L10" s="4"/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2.0</v>
      </c>
      <c r="B11" s="84" t="s">
        <v>18</v>
      </c>
      <c r="C11" s="85" t="s">
        <v>214</v>
      </c>
      <c r="D11" s="22">
        <v>35000.0</v>
      </c>
      <c r="E11" s="15">
        <f t="shared" si="1"/>
        <v>70000</v>
      </c>
      <c r="F11" s="15">
        <f t="shared" si="4"/>
        <v>77350</v>
      </c>
      <c r="G11" s="86"/>
      <c r="H11" s="3"/>
      <c r="I11" s="87">
        <v>25000.0</v>
      </c>
      <c r="J11" s="15">
        <f t="shared" si="2"/>
        <v>50000</v>
      </c>
      <c r="K11" s="15">
        <f t="shared" si="3"/>
        <v>27350</v>
      </c>
      <c r="L11" s="4"/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2.0</v>
      </c>
      <c r="B12" s="84" t="s">
        <v>18</v>
      </c>
      <c r="C12" s="85" t="s">
        <v>19</v>
      </c>
      <c r="D12" s="22">
        <v>23000.0</v>
      </c>
      <c r="E12" s="15">
        <f t="shared" si="1"/>
        <v>46000</v>
      </c>
      <c r="F12" s="15">
        <f t="shared" si="4"/>
        <v>50830</v>
      </c>
      <c r="G12" s="3"/>
      <c r="H12" s="3"/>
      <c r="I12" s="87">
        <v>13000.0</v>
      </c>
      <c r="J12" s="15">
        <f t="shared" si="2"/>
        <v>26000</v>
      </c>
      <c r="K12" s="15">
        <f t="shared" si="3"/>
        <v>24830</v>
      </c>
      <c r="L12" s="4"/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2.0</v>
      </c>
      <c r="B13" s="84" t="s">
        <v>18</v>
      </c>
      <c r="C13" s="85" t="s">
        <v>20</v>
      </c>
      <c r="D13" s="22">
        <v>30000.0</v>
      </c>
      <c r="E13" s="15">
        <f t="shared" si="1"/>
        <v>60000</v>
      </c>
      <c r="F13" s="15">
        <f t="shared" si="4"/>
        <v>66300</v>
      </c>
      <c r="G13" s="3"/>
      <c r="H13" s="86"/>
      <c r="I13" s="87">
        <v>15000.0</v>
      </c>
      <c r="J13" s="15">
        <f t="shared" si="2"/>
        <v>30000</v>
      </c>
      <c r="K13" s="15">
        <f t="shared" si="3"/>
        <v>36300</v>
      </c>
      <c r="L13" s="4"/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1.0</v>
      </c>
      <c r="B14" s="84" t="s">
        <v>18</v>
      </c>
      <c r="C14" s="85" t="s">
        <v>20</v>
      </c>
      <c r="D14" s="22">
        <v>30000.0</v>
      </c>
      <c r="E14" s="15">
        <f t="shared" si="1"/>
        <v>30000</v>
      </c>
      <c r="F14" s="15">
        <f t="shared" si="4"/>
        <v>33150</v>
      </c>
      <c r="G14" s="86" t="s">
        <v>38</v>
      </c>
      <c r="H14" s="86"/>
      <c r="I14" s="87">
        <v>0.0</v>
      </c>
      <c r="J14" s="15">
        <f t="shared" si="2"/>
        <v>0</v>
      </c>
      <c r="K14" s="15">
        <f t="shared" si="3"/>
        <v>33150</v>
      </c>
      <c r="L14" s="4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1.0</v>
      </c>
      <c r="B15" s="84" t="s">
        <v>18</v>
      </c>
      <c r="C15" s="85" t="s">
        <v>19</v>
      </c>
      <c r="D15" s="22">
        <v>23000.0</v>
      </c>
      <c r="E15" s="15">
        <f t="shared" si="1"/>
        <v>23000</v>
      </c>
      <c r="F15" s="15">
        <f t="shared" si="4"/>
        <v>25415</v>
      </c>
      <c r="G15" s="86" t="s">
        <v>38</v>
      </c>
      <c r="H15" s="3"/>
      <c r="I15" s="87">
        <v>0.0</v>
      </c>
      <c r="J15" s="15">
        <f t="shared" si="2"/>
        <v>0</v>
      </c>
      <c r="K15" s="15">
        <f t="shared" si="3"/>
        <v>25415</v>
      </c>
      <c r="L15" s="4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1.0</v>
      </c>
      <c r="B16" s="84" t="s">
        <v>18</v>
      </c>
      <c r="C16" s="85" t="s">
        <v>30</v>
      </c>
      <c r="D16" s="22">
        <v>63000.0</v>
      </c>
      <c r="E16" s="15">
        <f t="shared" si="1"/>
        <v>63000</v>
      </c>
      <c r="F16" s="15">
        <f t="shared" si="4"/>
        <v>69615</v>
      </c>
      <c r="G16" s="86" t="s">
        <v>41</v>
      </c>
      <c r="H16" s="3"/>
      <c r="I16" s="87">
        <v>0.0</v>
      </c>
      <c r="J16" s="15">
        <f t="shared" si="2"/>
        <v>0</v>
      </c>
      <c r="K16" s="15">
        <f t="shared" si="3"/>
        <v>69615</v>
      </c>
      <c r="L16" s="4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1.0</v>
      </c>
      <c r="B17" s="84" t="s">
        <v>18</v>
      </c>
      <c r="C17" s="85" t="s">
        <v>55</v>
      </c>
      <c r="D17" s="22">
        <v>35000.0</v>
      </c>
      <c r="E17" s="15">
        <f t="shared" si="1"/>
        <v>35000</v>
      </c>
      <c r="F17" s="15">
        <f t="shared" si="4"/>
        <v>38675</v>
      </c>
      <c r="G17" s="86" t="s">
        <v>38</v>
      </c>
      <c r="H17" s="86"/>
      <c r="I17" s="87">
        <v>0.0</v>
      </c>
      <c r="J17" s="15">
        <f t="shared" si="2"/>
        <v>0</v>
      </c>
      <c r="K17" s="15">
        <f t="shared" si="3"/>
        <v>38675</v>
      </c>
      <c r="L17" s="4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1.0</v>
      </c>
      <c r="B18" s="84" t="s">
        <v>18</v>
      </c>
      <c r="C18" s="85" t="s">
        <v>213</v>
      </c>
      <c r="D18" s="22">
        <v>42000.0</v>
      </c>
      <c r="E18" s="15">
        <f t="shared" si="1"/>
        <v>42000</v>
      </c>
      <c r="F18" s="15">
        <f t="shared" si="4"/>
        <v>46410</v>
      </c>
      <c r="G18" s="86" t="s">
        <v>38</v>
      </c>
      <c r="H18" s="3"/>
      <c r="I18" s="87">
        <v>0.0</v>
      </c>
      <c r="J18" s="15">
        <f t="shared" si="2"/>
        <v>0</v>
      </c>
      <c r="K18" s="15">
        <f t="shared" si="3"/>
        <v>46410</v>
      </c>
      <c r="L18" s="4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1.0</v>
      </c>
      <c r="B19" s="84" t="s">
        <v>29</v>
      </c>
      <c r="C19" s="85" t="s">
        <v>201</v>
      </c>
      <c r="D19" s="22">
        <v>40000.0</v>
      </c>
      <c r="E19" s="15">
        <f t="shared" si="1"/>
        <v>40000</v>
      </c>
      <c r="F19" s="15">
        <f t="shared" si="4"/>
        <v>44200</v>
      </c>
      <c r="G19" s="86" t="s">
        <v>38</v>
      </c>
      <c r="H19" s="3"/>
      <c r="I19" s="87">
        <v>0.0</v>
      </c>
      <c r="J19" s="15">
        <f t="shared" si="2"/>
        <v>0</v>
      </c>
      <c r="K19" s="15">
        <f t="shared" si="3"/>
        <v>44200</v>
      </c>
      <c r="L19" s="4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0.5</v>
      </c>
      <c r="B20" s="84" t="s">
        <v>29</v>
      </c>
      <c r="C20" s="85" t="s">
        <v>21</v>
      </c>
      <c r="D20" s="22">
        <v>56000.0</v>
      </c>
      <c r="E20" s="15">
        <f t="shared" si="1"/>
        <v>28000</v>
      </c>
      <c r="F20" s="15">
        <f>E20*1.21</f>
        <v>33880</v>
      </c>
      <c r="G20" s="86" t="s">
        <v>38</v>
      </c>
      <c r="H20" s="3"/>
      <c r="I20" s="87"/>
      <c r="J20" s="15">
        <f t="shared" si="2"/>
        <v>0</v>
      </c>
      <c r="K20" s="15">
        <f t="shared" si="3"/>
        <v>33880</v>
      </c>
      <c r="L20" s="4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3"/>
      <c r="B21" s="12"/>
      <c r="C21" s="14"/>
      <c r="D21" s="15"/>
      <c r="E21" s="3"/>
      <c r="F21" s="3"/>
      <c r="G21" s="3"/>
      <c r="H21" s="3"/>
      <c r="I21" s="86"/>
      <c r="J21" s="3"/>
      <c r="K21" s="3"/>
      <c r="L21" s="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3"/>
      <c r="B22" s="12"/>
      <c r="C22" s="14"/>
      <c r="D22" s="15"/>
      <c r="E22" s="15">
        <f t="shared" ref="E22:F22" si="5">SUM(E5:E20)</f>
        <v>869000</v>
      </c>
      <c r="F22" s="15">
        <f t="shared" si="5"/>
        <v>966125</v>
      </c>
      <c r="G22" s="3"/>
      <c r="H22" s="3"/>
      <c r="I22" s="3"/>
      <c r="J22" s="3"/>
      <c r="K22" s="15">
        <f>SUM(K5:K20)</f>
        <v>593125</v>
      </c>
      <c r="L22" s="23">
        <f>K22/F22</f>
        <v>0.613921594</v>
      </c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24"/>
      <c r="B23" s="24"/>
      <c r="C23" s="24"/>
      <c r="D23" s="32"/>
      <c r="E23" s="7"/>
      <c r="F23" s="33"/>
      <c r="G23" s="25"/>
      <c r="H23" s="25"/>
      <c r="I23" s="16"/>
      <c r="J23" s="16"/>
      <c r="K23" s="16"/>
      <c r="L23" s="34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24"/>
      <c r="B24" s="24"/>
      <c r="C24" s="24"/>
      <c r="D24" s="32"/>
      <c r="E24" s="7"/>
      <c r="F24" s="33"/>
      <c r="G24" s="25"/>
      <c r="H24" s="25"/>
      <c r="I24" s="16"/>
      <c r="J24" s="16"/>
      <c r="K24" s="16"/>
      <c r="L24" s="34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24"/>
      <c r="B25" s="24"/>
      <c r="C25" s="24"/>
      <c r="D25" s="32"/>
      <c r="E25" s="82"/>
      <c r="F25" s="33"/>
      <c r="G25" s="25"/>
      <c r="H25" s="25"/>
      <c r="I25" s="16"/>
      <c r="J25" s="16"/>
      <c r="K25" s="16"/>
      <c r="L25" s="34"/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24"/>
      <c r="B26" s="24"/>
      <c r="C26" s="24"/>
      <c r="D26" s="32"/>
      <c r="E26" s="82"/>
      <c r="F26" s="33"/>
      <c r="G26" s="25"/>
      <c r="H26" s="25"/>
      <c r="I26" s="16"/>
      <c r="J26" s="16"/>
      <c r="K26" s="16"/>
      <c r="L26" s="34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24" t="s">
        <v>222</v>
      </c>
      <c r="B27" s="24"/>
      <c r="C27" s="24"/>
      <c r="D27" s="81" t="s">
        <v>285</v>
      </c>
      <c r="E27" s="82">
        <v>46064.0</v>
      </c>
      <c r="F27" s="33" t="s">
        <v>13</v>
      </c>
      <c r="G27" s="25"/>
      <c r="H27" s="25"/>
      <c r="I27" s="16"/>
      <c r="J27" s="16"/>
      <c r="K27" s="16"/>
      <c r="L27" s="34"/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B28" s="25"/>
      <c r="C28" s="35"/>
      <c r="D28" s="25"/>
      <c r="E28" s="25"/>
      <c r="F28" s="25"/>
      <c r="G28" s="25"/>
      <c r="H28" s="25"/>
      <c r="I28" s="16"/>
      <c r="J28" s="16"/>
      <c r="K28" s="16"/>
      <c r="L28" s="34"/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5" t="s">
        <v>4</v>
      </c>
      <c r="B29" s="10" t="s">
        <v>5</v>
      </c>
      <c r="C29" s="11" t="s">
        <v>6</v>
      </c>
      <c r="D29" s="12" t="s">
        <v>7</v>
      </c>
      <c r="E29" s="10" t="s">
        <v>8</v>
      </c>
      <c r="F29" s="12"/>
      <c r="G29" s="25"/>
      <c r="H29" s="25"/>
      <c r="I29" s="12" t="s">
        <v>7</v>
      </c>
      <c r="J29" s="12" t="s">
        <v>8</v>
      </c>
      <c r="K29" s="12" t="s">
        <v>10</v>
      </c>
      <c r="L29" s="34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83">
        <v>2.0</v>
      </c>
      <c r="B30" s="84" t="s">
        <v>5</v>
      </c>
      <c r="C30" s="85" t="s">
        <v>176</v>
      </c>
      <c r="D30" s="22">
        <v>1200.0</v>
      </c>
      <c r="E30" s="15">
        <f t="shared" ref="E30:E60" si="6">A30*D30</f>
        <v>2400</v>
      </c>
      <c r="F30" s="16"/>
      <c r="G30" s="25"/>
      <c r="H30" s="37"/>
      <c r="I30" s="87">
        <v>460.0</v>
      </c>
      <c r="J30" s="16">
        <f t="shared" ref="J30:J60" si="7">I30*A30</f>
        <v>920</v>
      </c>
      <c r="K30" s="16">
        <f t="shared" ref="K30:K60" si="8">E30-J30</f>
        <v>1480</v>
      </c>
      <c r="L30" s="29" t="s">
        <v>13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>
        <v>4.0</v>
      </c>
      <c r="B31" s="84" t="s">
        <v>33</v>
      </c>
      <c r="C31" s="85" t="s">
        <v>117</v>
      </c>
      <c r="D31" s="22">
        <v>3200.0</v>
      </c>
      <c r="E31" s="15">
        <f t="shared" si="6"/>
        <v>12800</v>
      </c>
      <c r="F31" s="16"/>
      <c r="G31" s="25"/>
      <c r="H31" s="25"/>
      <c r="I31" s="87">
        <v>2000.0</v>
      </c>
      <c r="J31" s="16">
        <f t="shared" si="7"/>
        <v>8000</v>
      </c>
      <c r="K31" s="16">
        <f t="shared" si="8"/>
        <v>4800</v>
      </c>
      <c r="L31" s="29"/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3.0</v>
      </c>
      <c r="B32" s="84" t="s">
        <v>33</v>
      </c>
      <c r="C32" s="85" t="s">
        <v>23</v>
      </c>
      <c r="D32" s="22">
        <v>1800.0</v>
      </c>
      <c r="E32" s="15">
        <f t="shared" si="6"/>
        <v>5400</v>
      </c>
      <c r="F32" s="16"/>
      <c r="G32" s="25"/>
      <c r="H32" s="25"/>
      <c r="I32" s="87">
        <v>1500.0</v>
      </c>
      <c r="J32" s="16">
        <f t="shared" si="7"/>
        <v>4500</v>
      </c>
      <c r="K32" s="16">
        <f t="shared" si="8"/>
        <v>900</v>
      </c>
      <c r="L32" s="29"/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3">
        <v>2.0</v>
      </c>
      <c r="B33" s="12" t="s">
        <v>5</v>
      </c>
      <c r="C33" s="14" t="s">
        <v>95</v>
      </c>
      <c r="D33" s="22">
        <v>2000.0</v>
      </c>
      <c r="E33" s="15">
        <f t="shared" si="6"/>
        <v>4000</v>
      </c>
      <c r="F33" s="16"/>
      <c r="G33" s="25"/>
      <c r="H33" s="98" t="s">
        <v>274</v>
      </c>
      <c r="I33" s="87">
        <v>0.0</v>
      </c>
      <c r="J33" s="16">
        <f t="shared" si="7"/>
        <v>0</v>
      </c>
      <c r="K33" s="16">
        <f t="shared" si="8"/>
        <v>4000</v>
      </c>
      <c r="L33" s="29"/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3">
        <v>1.0</v>
      </c>
      <c r="B34" s="12" t="s">
        <v>33</v>
      </c>
      <c r="C34" s="14" t="s">
        <v>225</v>
      </c>
      <c r="D34" s="22">
        <v>4500.0</v>
      </c>
      <c r="E34" s="15">
        <f t="shared" si="6"/>
        <v>4500</v>
      </c>
      <c r="F34" s="16"/>
      <c r="G34" s="25"/>
      <c r="H34" s="37"/>
      <c r="I34" s="87">
        <f>15000/7</f>
        <v>2142.857143</v>
      </c>
      <c r="J34" s="16">
        <f t="shared" si="7"/>
        <v>2142.857143</v>
      </c>
      <c r="K34" s="16">
        <f t="shared" si="8"/>
        <v>2357.142857</v>
      </c>
      <c r="L34" s="29"/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3">
        <v>2.0</v>
      </c>
      <c r="B35" s="84" t="s">
        <v>33</v>
      </c>
      <c r="C35" s="85" t="s">
        <v>20</v>
      </c>
      <c r="D35" s="22">
        <v>2800.0</v>
      </c>
      <c r="E35" s="15">
        <f t="shared" si="6"/>
        <v>5600</v>
      </c>
      <c r="F35" s="16"/>
      <c r="G35" s="25"/>
      <c r="H35" s="37"/>
      <c r="I35" s="87">
        <v>1500.0</v>
      </c>
      <c r="J35" s="16">
        <f t="shared" si="7"/>
        <v>3000</v>
      </c>
      <c r="K35" s="16">
        <f t="shared" si="8"/>
        <v>2600</v>
      </c>
      <c r="L35" s="29"/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3">
        <v>6.0</v>
      </c>
      <c r="B36" s="12" t="s">
        <v>33</v>
      </c>
      <c r="C36" s="85" t="s">
        <v>103</v>
      </c>
      <c r="D36" s="22">
        <v>1400.0</v>
      </c>
      <c r="E36" s="15">
        <f t="shared" si="6"/>
        <v>8400</v>
      </c>
      <c r="F36" s="16"/>
      <c r="G36" s="25"/>
      <c r="H36" s="25"/>
      <c r="I36" s="16">
        <f>8000/12</f>
        <v>666.6666667</v>
      </c>
      <c r="J36" s="16">
        <f t="shared" si="7"/>
        <v>4000</v>
      </c>
      <c r="K36" s="16">
        <f t="shared" si="8"/>
        <v>4400</v>
      </c>
      <c r="L36" s="29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3">
        <v>3.0</v>
      </c>
      <c r="B37" s="84" t="s">
        <v>50</v>
      </c>
      <c r="C37" s="85" t="s">
        <v>24</v>
      </c>
      <c r="D37" s="22">
        <v>4500.0</v>
      </c>
      <c r="E37" s="15">
        <f t="shared" si="6"/>
        <v>13500</v>
      </c>
      <c r="F37" s="16"/>
      <c r="G37" s="25"/>
      <c r="H37" s="22"/>
      <c r="I37" s="22">
        <f>25000/7</f>
        <v>3571.428571</v>
      </c>
      <c r="J37" s="16">
        <f t="shared" si="7"/>
        <v>10714.28571</v>
      </c>
      <c r="K37" s="16">
        <f t="shared" si="8"/>
        <v>2785.714286</v>
      </c>
      <c r="L37" s="29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3.0</v>
      </c>
      <c r="B38" s="84" t="s">
        <v>33</v>
      </c>
      <c r="C38" s="85" t="s">
        <v>194</v>
      </c>
      <c r="D38" s="22">
        <v>3000.0</v>
      </c>
      <c r="E38" s="15">
        <f t="shared" si="6"/>
        <v>9000</v>
      </c>
      <c r="F38" s="16"/>
      <c r="G38" s="25"/>
      <c r="H38" s="98" t="s">
        <v>274</v>
      </c>
      <c r="I38" s="87">
        <v>0.0</v>
      </c>
      <c r="J38" s="16">
        <f t="shared" si="7"/>
        <v>0</v>
      </c>
      <c r="K38" s="16">
        <f t="shared" si="8"/>
        <v>9000</v>
      </c>
      <c r="L38" s="29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6.0</v>
      </c>
      <c r="B39" s="84" t="s">
        <v>50</v>
      </c>
      <c r="C39" s="14" t="s">
        <v>69</v>
      </c>
      <c r="D39" s="22">
        <v>2200.0</v>
      </c>
      <c r="E39" s="15">
        <f t="shared" si="6"/>
        <v>13200</v>
      </c>
      <c r="F39" s="16"/>
      <c r="G39" s="25"/>
      <c r="H39" s="25"/>
      <c r="I39" s="87">
        <v>1500.0</v>
      </c>
      <c r="J39" s="16">
        <f t="shared" si="7"/>
        <v>9000</v>
      </c>
      <c r="K39" s="16">
        <f t="shared" si="8"/>
        <v>4200</v>
      </c>
      <c r="L39" s="29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1.65</v>
      </c>
      <c r="B40" s="84" t="s">
        <v>33</v>
      </c>
      <c r="C40" s="85" t="s">
        <v>286</v>
      </c>
      <c r="D40" s="22">
        <v>1800.0</v>
      </c>
      <c r="E40" s="15">
        <f t="shared" si="6"/>
        <v>2970</v>
      </c>
      <c r="F40" s="16"/>
      <c r="G40" s="25"/>
      <c r="H40" s="25"/>
      <c r="I40" s="22">
        <v>882.0</v>
      </c>
      <c r="J40" s="16">
        <f t="shared" si="7"/>
        <v>1455.3</v>
      </c>
      <c r="K40" s="16">
        <f t="shared" si="8"/>
        <v>1514.7</v>
      </c>
      <c r="L40" s="29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3.0</v>
      </c>
      <c r="B41" s="84" t="s">
        <v>50</v>
      </c>
      <c r="C41" s="85" t="s">
        <v>65</v>
      </c>
      <c r="D41" s="22">
        <v>500.0</v>
      </c>
      <c r="E41" s="15">
        <f t="shared" si="6"/>
        <v>1500</v>
      </c>
      <c r="F41" s="16"/>
      <c r="G41" s="25"/>
      <c r="H41" s="25"/>
      <c r="I41" s="87">
        <v>500.0</v>
      </c>
      <c r="J41" s="16">
        <f t="shared" si="7"/>
        <v>1500</v>
      </c>
      <c r="K41" s="16">
        <f t="shared" si="8"/>
        <v>0</v>
      </c>
      <c r="L41" s="29"/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6.0</v>
      </c>
      <c r="B42" s="12" t="s">
        <v>33</v>
      </c>
      <c r="C42" s="85" t="s">
        <v>19</v>
      </c>
      <c r="D42" s="22">
        <v>1700.0</v>
      </c>
      <c r="E42" s="15">
        <f t="shared" si="6"/>
        <v>10200</v>
      </c>
      <c r="F42" s="16"/>
      <c r="G42" s="25"/>
      <c r="H42" s="25"/>
      <c r="I42" s="16">
        <f>13000/18</f>
        <v>722.2222222</v>
      </c>
      <c r="J42" s="16">
        <f t="shared" si="7"/>
        <v>4333.333333</v>
      </c>
      <c r="K42" s="16">
        <f t="shared" si="8"/>
        <v>5866.666667</v>
      </c>
      <c r="L42" s="29"/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3.0</v>
      </c>
      <c r="B43" s="84" t="s">
        <v>33</v>
      </c>
      <c r="C43" s="85" t="s">
        <v>192</v>
      </c>
      <c r="D43" s="22">
        <v>1500.0</v>
      </c>
      <c r="E43" s="15">
        <f t="shared" si="6"/>
        <v>4500</v>
      </c>
      <c r="F43" s="16"/>
      <c r="G43" s="25"/>
      <c r="H43" s="25"/>
      <c r="I43" s="87">
        <v>1000.0</v>
      </c>
      <c r="J43" s="16">
        <f t="shared" si="7"/>
        <v>3000</v>
      </c>
      <c r="K43" s="16">
        <f t="shared" si="8"/>
        <v>1500</v>
      </c>
      <c r="L43" s="29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2.0</v>
      </c>
      <c r="B44" s="84" t="s">
        <v>33</v>
      </c>
      <c r="C44" s="85" t="s">
        <v>22</v>
      </c>
      <c r="D44" s="22">
        <v>1500.0</v>
      </c>
      <c r="E44" s="15">
        <f t="shared" si="6"/>
        <v>3000</v>
      </c>
      <c r="F44" s="16"/>
      <c r="G44" s="25"/>
      <c r="H44" s="25"/>
      <c r="I44" s="16">
        <f>8000/16</f>
        <v>500</v>
      </c>
      <c r="J44" s="16">
        <f t="shared" si="7"/>
        <v>1000</v>
      </c>
      <c r="K44" s="16">
        <f t="shared" si="8"/>
        <v>2000</v>
      </c>
      <c r="L44" s="29" t="s">
        <v>13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1.0</v>
      </c>
      <c r="B45" s="84" t="s">
        <v>38</v>
      </c>
      <c r="C45" s="85" t="s">
        <v>287</v>
      </c>
      <c r="D45" s="22">
        <v>12000.0</v>
      </c>
      <c r="E45" s="15">
        <f t="shared" si="6"/>
        <v>12000</v>
      </c>
      <c r="F45" s="16"/>
      <c r="G45" s="25"/>
      <c r="H45" s="25"/>
      <c r="I45" s="87">
        <v>9000.0</v>
      </c>
      <c r="J45" s="16">
        <f t="shared" si="7"/>
        <v>9000</v>
      </c>
      <c r="K45" s="16">
        <f t="shared" si="8"/>
        <v>3000</v>
      </c>
      <c r="L45" s="29" t="s">
        <v>13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0.5</v>
      </c>
      <c r="B46" s="84" t="s">
        <v>38</v>
      </c>
      <c r="C46" s="85" t="s">
        <v>67</v>
      </c>
      <c r="D46" s="22">
        <v>12500.0</v>
      </c>
      <c r="E46" s="15">
        <f t="shared" si="6"/>
        <v>6250</v>
      </c>
      <c r="F46" s="16"/>
      <c r="G46" s="25"/>
      <c r="H46" s="37"/>
      <c r="I46" s="87">
        <v>9000.0</v>
      </c>
      <c r="J46" s="16">
        <f t="shared" si="7"/>
        <v>4500</v>
      </c>
      <c r="K46" s="16">
        <f t="shared" si="8"/>
        <v>1750</v>
      </c>
      <c r="L46" s="29" t="s">
        <v>13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1.0</v>
      </c>
      <c r="B47" s="84" t="s">
        <v>38</v>
      </c>
      <c r="C47" s="85" t="s">
        <v>46</v>
      </c>
      <c r="D47" s="22">
        <v>16000.0</v>
      </c>
      <c r="E47" s="15">
        <f t="shared" si="6"/>
        <v>16000</v>
      </c>
      <c r="F47" s="16"/>
      <c r="G47" s="25"/>
      <c r="H47" s="37"/>
      <c r="I47" s="87">
        <v>13000.0</v>
      </c>
      <c r="J47" s="16">
        <f t="shared" si="7"/>
        <v>13000</v>
      </c>
      <c r="K47" s="16">
        <f t="shared" si="8"/>
        <v>3000</v>
      </c>
      <c r="L47" s="29" t="s">
        <v>13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3">
        <v>1.0</v>
      </c>
      <c r="B48" s="84" t="s">
        <v>38</v>
      </c>
      <c r="C48" s="85" t="s">
        <v>47</v>
      </c>
      <c r="D48" s="22">
        <v>12000.0</v>
      </c>
      <c r="E48" s="15">
        <f t="shared" si="6"/>
        <v>12000</v>
      </c>
      <c r="F48" s="16"/>
      <c r="G48" s="25"/>
      <c r="H48" s="25"/>
      <c r="I48" s="87">
        <v>9000.0</v>
      </c>
      <c r="J48" s="16">
        <f t="shared" si="7"/>
        <v>9000</v>
      </c>
      <c r="K48" s="16">
        <f t="shared" si="8"/>
        <v>3000</v>
      </c>
      <c r="L48" s="29" t="s">
        <v>13</v>
      </c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13">
        <v>1.0</v>
      </c>
      <c r="B49" s="84" t="s">
        <v>18</v>
      </c>
      <c r="C49" s="85" t="s">
        <v>21</v>
      </c>
      <c r="D49" s="22">
        <v>56000.0</v>
      </c>
      <c r="E49" s="15">
        <f t="shared" si="6"/>
        <v>56000</v>
      </c>
      <c r="F49" s="16"/>
      <c r="G49" s="25"/>
      <c r="H49" s="37"/>
      <c r="I49" s="87">
        <v>50000.0</v>
      </c>
      <c r="J49" s="16">
        <f t="shared" si="7"/>
        <v>50000</v>
      </c>
      <c r="K49" s="16">
        <f t="shared" si="8"/>
        <v>6000</v>
      </c>
      <c r="L49" s="29" t="s">
        <v>13</v>
      </c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1.0</v>
      </c>
      <c r="B50" s="84" t="s">
        <v>29</v>
      </c>
      <c r="C50" s="85" t="s">
        <v>31</v>
      </c>
      <c r="D50" s="22">
        <v>35000.0</v>
      </c>
      <c r="E50" s="15">
        <f t="shared" si="6"/>
        <v>35000</v>
      </c>
      <c r="F50" s="16"/>
      <c r="G50" s="25"/>
      <c r="H50" s="37"/>
      <c r="I50" s="87">
        <v>27000.0</v>
      </c>
      <c r="J50" s="16">
        <f t="shared" si="7"/>
        <v>27000</v>
      </c>
      <c r="K50" s="16">
        <f t="shared" si="8"/>
        <v>8000</v>
      </c>
      <c r="L50" s="29" t="s">
        <v>13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12" t="s">
        <v>33</v>
      </c>
      <c r="C51" s="85" t="s">
        <v>213</v>
      </c>
      <c r="D51" s="22">
        <v>4000.0</v>
      </c>
      <c r="E51" s="15">
        <f t="shared" si="6"/>
        <v>4000</v>
      </c>
      <c r="F51" s="16"/>
      <c r="G51" s="25"/>
      <c r="H51" s="98" t="s">
        <v>274</v>
      </c>
      <c r="I51" s="87">
        <v>0.0</v>
      </c>
      <c r="J51" s="16">
        <f t="shared" si="7"/>
        <v>0</v>
      </c>
      <c r="K51" s="16">
        <f t="shared" si="8"/>
        <v>4000</v>
      </c>
      <c r="L51" s="29" t="s">
        <v>13</v>
      </c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3.0</v>
      </c>
      <c r="B52" s="12" t="s">
        <v>33</v>
      </c>
      <c r="C52" s="85" t="s">
        <v>201</v>
      </c>
      <c r="D52" s="22">
        <v>3500.0</v>
      </c>
      <c r="E52" s="15">
        <f t="shared" si="6"/>
        <v>10500</v>
      </c>
      <c r="F52" s="16"/>
      <c r="G52" s="25"/>
      <c r="H52" s="37"/>
      <c r="I52" s="16">
        <f>27000/16</f>
        <v>1687.5</v>
      </c>
      <c r="J52" s="16">
        <f t="shared" si="7"/>
        <v>5062.5</v>
      </c>
      <c r="K52" s="16">
        <f t="shared" si="8"/>
        <v>5437.5</v>
      </c>
      <c r="L52" s="29" t="s">
        <v>13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0.5</v>
      </c>
      <c r="B53" s="12" t="s">
        <v>33</v>
      </c>
      <c r="C53" s="85" t="s">
        <v>57</v>
      </c>
      <c r="D53" s="22">
        <v>6000.0</v>
      </c>
      <c r="E53" s="15">
        <f t="shared" si="6"/>
        <v>3000</v>
      </c>
      <c r="F53" s="16"/>
      <c r="G53" s="25"/>
      <c r="H53" s="98" t="s">
        <v>274</v>
      </c>
      <c r="I53" s="87">
        <v>0.0</v>
      </c>
      <c r="J53" s="16">
        <f t="shared" si="7"/>
        <v>0</v>
      </c>
      <c r="K53" s="16">
        <f t="shared" si="8"/>
        <v>3000</v>
      </c>
      <c r="L53" s="29" t="s">
        <v>13</v>
      </c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0.5</v>
      </c>
      <c r="B54" s="12" t="s">
        <v>33</v>
      </c>
      <c r="C54" s="85" t="s">
        <v>53</v>
      </c>
      <c r="D54" s="22">
        <v>9500.0</v>
      </c>
      <c r="E54" s="15">
        <f t="shared" si="6"/>
        <v>4750</v>
      </c>
      <c r="F54" s="16"/>
      <c r="G54" s="25"/>
      <c r="H54" s="37"/>
      <c r="I54" s="87">
        <f>60000/8</f>
        <v>7500</v>
      </c>
      <c r="J54" s="16">
        <f t="shared" si="7"/>
        <v>3750</v>
      </c>
      <c r="K54" s="16">
        <f t="shared" si="8"/>
        <v>1000</v>
      </c>
      <c r="L54" s="29" t="s">
        <v>13</v>
      </c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2.0</v>
      </c>
      <c r="B55" s="12" t="s">
        <v>33</v>
      </c>
      <c r="C55" s="85" t="s">
        <v>72</v>
      </c>
      <c r="D55" s="22">
        <v>2800.0</v>
      </c>
      <c r="E55" s="15">
        <f t="shared" si="6"/>
        <v>5600</v>
      </c>
      <c r="F55" s="16"/>
      <c r="G55" s="25"/>
      <c r="H55" s="37"/>
      <c r="I55" s="16">
        <f>29000/18</f>
        <v>1611.111111</v>
      </c>
      <c r="J55" s="16">
        <f t="shared" si="7"/>
        <v>3222.222222</v>
      </c>
      <c r="K55" s="16">
        <f t="shared" si="8"/>
        <v>2377.777778</v>
      </c>
      <c r="L55" s="29" t="s">
        <v>13</v>
      </c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83">
        <v>0.5</v>
      </c>
      <c r="B56" s="84" t="s">
        <v>29</v>
      </c>
      <c r="C56" s="85" t="s">
        <v>78</v>
      </c>
      <c r="D56" s="22">
        <v>58000.0</v>
      </c>
      <c r="E56" s="15">
        <f t="shared" si="6"/>
        <v>29000</v>
      </c>
      <c r="F56" s="16"/>
      <c r="G56" s="25"/>
      <c r="H56" s="37"/>
      <c r="I56" s="87">
        <v>50000.0</v>
      </c>
      <c r="J56" s="16">
        <f t="shared" si="7"/>
        <v>25000</v>
      </c>
      <c r="K56" s="16">
        <f t="shared" si="8"/>
        <v>4000</v>
      </c>
      <c r="L56" s="29" t="s">
        <v>13</v>
      </c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3">
        <v>3.0</v>
      </c>
      <c r="B57" s="12" t="s">
        <v>33</v>
      </c>
      <c r="C57" s="85" t="s">
        <v>232</v>
      </c>
      <c r="D57" s="22">
        <v>3500.0</v>
      </c>
      <c r="E57" s="15">
        <f t="shared" si="6"/>
        <v>10500</v>
      </c>
      <c r="F57" s="16"/>
      <c r="G57" s="25"/>
      <c r="H57" s="37"/>
      <c r="I57" s="16">
        <f>45000/18</f>
        <v>2500</v>
      </c>
      <c r="J57" s="16">
        <f t="shared" si="7"/>
        <v>7500</v>
      </c>
      <c r="K57" s="16">
        <f t="shared" si="8"/>
        <v>3000</v>
      </c>
      <c r="L57" s="29" t="s">
        <v>13</v>
      </c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83">
        <v>0.5</v>
      </c>
      <c r="B58" s="84" t="s">
        <v>29</v>
      </c>
      <c r="C58" s="85" t="s">
        <v>56</v>
      </c>
      <c r="D58" s="22">
        <v>32000.0</v>
      </c>
      <c r="E58" s="15">
        <f t="shared" si="6"/>
        <v>16000</v>
      </c>
      <c r="F58" s="16"/>
      <c r="G58" s="25"/>
      <c r="H58" s="37"/>
      <c r="I58" s="87">
        <v>25000.0</v>
      </c>
      <c r="J58" s="16">
        <f t="shared" si="7"/>
        <v>12500</v>
      </c>
      <c r="K58" s="16">
        <f t="shared" si="8"/>
        <v>3500</v>
      </c>
      <c r="L58" s="29" t="s">
        <v>13</v>
      </c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83">
        <v>8.9</v>
      </c>
      <c r="B59" s="84" t="s">
        <v>33</v>
      </c>
      <c r="C59" s="85" t="s">
        <v>34</v>
      </c>
      <c r="D59" s="22">
        <v>1200.0</v>
      </c>
      <c r="E59" s="15">
        <f t="shared" si="6"/>
        <v>10680</v>
      </c>
      <c r="F59" s="16"/>
      <c r="G59" s="25"/>
      <c r="H59" s="37"/>
      <c r="I59" s="87">
        <v>800.0</v>
      </c>
      <c r="J59" s="16">
        <f t="shared" si="7"/>
        <v>7120</v>
      </c>
      <c r="K59" s="16">
        <f t="shared" si="8"/>
        <v>3560</v>
      </c>
      <c r="L59" s="29" t="s">
        <v>13</v>
      </c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13">
        <v>1.0</v>
      </c>
      <c r="B60" s="12" t="s">
        <v>33</v>
      </c>
      <c r="C60" s="14" t="s">
        <v>221</v>
      </c>
      <c r="D60" s="22">
        <v>5500.0</v>
      </c>
      <c r="E60" s="15">
        <f t="shared" si="6"/>
        <v>5500</v>
      </c>
      <c r="F60" s="16"/>
      <c r="G60" s="25"/>
      <c r="H60" s="37"/>
      <c r="I60" s="87">
        <v>4800.0</v>
      </c>
      <c r="J60" s="16">
        <f t="shared" si="7"/>
        <v>4800</v>
      </c>
      <c r="K60" s="16">
        <f t="shared" si="8"/>
        <v>700</v>
      </c>
      <c r="L60" s="29" t="s">
        <v>13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13"/>
      <c r="B61" s="12"/>
      <c r="C61" s="14"/>
      <c r="D61" s="15"/>
      <c r="E61" s="16"/>
      <c r="F61" s="16"/>
      <c r="H61" s="25"/>
      <c r="I61" s="16"/>
      <c r="J61" s="16"/>
      <c r="K61" s="16"/>
      <c r="L61" s="36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13"/>
      <c r="B62" s="12"/>
      <c r="C62" s="14"/>
      <c r="D62" s="15"/>
      <c r="E62" s="16">
        <f>SUM(E30:E61)</f>
        <v>337750</v>
      </c>
      <c r="F62" s="16"/>
      <c r="G62" s="25"/>
      <c r="H62" s="25"/>
      <c r="I62" s="16"/>
      <c r="J62" s="16"/>
      <c r="K62" s="16">
        <f>SUM(K30:K60)</f>
        <v>102729.5016</v>
      </c>
      <c r="L62" s="36">
        <f>K62/E62</f>
        <v>0.3041584059</v>
      </c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24"/>
      <c r="B63" s="24"/>
      <c r="C63" s="24"/>
      <c r="D63" s="32"/>
      <c r="E63" s="82"/>
      <c r="F63" s="33"/>
      <c r="G63" s="25"/>
      <c r="H63" s="25"/>
      <c r="I63" s="16"/>
      <c r="J63" s="16"/>
      <c r="K63" s="16"/>
      <c r="L63" s="3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24"/>
      <c r="B64" s="24"/>
      <c r="C64" s="24"/>
      <c r="D64" s="32"/>
      <c r="E64" s="82"/>
      <c r="F64" s="33"/>
      <c r="G64" s="25"/>
      <c r="H64" s="25"/>
      <c r="I64" s="16"/>
      <c r="J64" s="16"/>
      <c r="K64" s="16"/>
      <c r="L64" s="34"/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8" t="s">
        <v>190</v>
      </c>
      <c r="B65" s="1"/>
      <c r="C65" s="1"/>
      <c r="D65" s="22" t="s">
        <v>223</v>
      </c>
      <c r="E65" s="82">
        <v>46064.0</v>
      </c>
      <c r="F65" s="3"/>
      <c r="G65" s="3"/>
      <c r="H65" s="3"/>
      <c r="I65" s="3"/>
      <c r="J65" s="3"/>
      <c r="K65" s="3"/>
      <c r="L65" s="4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"/>
      <c r="B66" s="3"/>
      <c r="C66" s="2"/>
      <c r="D66" s="3"/>
      <c r="E66" s="3"/>
      <c r="F66" s="3"/>
      <c r="G66" s="3"/>
      <c r="H66" s="3"/>
      <c r="I66" s="3"/>
      <c r="J66" s="3"/>
      <c r="K66" s="3"/>
      <c r="L66" s="4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5" t="s">
        <v>4</v>
      </c>
      <c r="B67" s="10" t="s">
        <v>5</v>
      </c>
      <c r="C67" s="11" t="s">
        <v>6</v>
      </c>
      <c r="D67" s="10" t="s">
        <v>7</v>
      </c>
      <c r="E67" s="10" t="s">
        <v>8</v>
      </c>
      <c r="F67" s="3"/>
      <c r="G67" s="3"/>
      <c r="H67" s="3"/>
      <c r="I67" s="10" t="s">
        <v>7</v>
      </c>
      <c r="J67" s="10" t="s">
        <v>8</v>
      </c>
      <c r="K67" s="10" t="s">
        <v>10</v>
      </c>
      <c r="L67" s="4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91">
        <v>0.5</v>
      </c>
      <c r="B68" s="92" t="s">
        <v>18</v>
      </c>
      <c r="C68" s="93" t="s">
        <v>64</v>
      </c>
      <c r="D68" s="22">
        <v>20000.0</v>
      </c>
      <c r="E68" s="15">
        <f t="shared" ref="E68:E78" si="9">A68*D68</f>
        <v>10000</v>
      </c>
      <c r="F68" s="3"/>
      <c r="G68" s="3"/>
      <c r="H68" s="3"/>
      <c r="I68" s="22">
        <v>15000.0</v>
      </c>
      <c r="J68" s="15">
        <f t="shared" ref="J68:J78" si="10">I68*A68</f>
        <v>7500</v>
      </c>
      <c r="K68" s="15">
        <f t="shared" ref="K68:K78" si="11">E68-J68</f>
        <v>2500</v>
      </c>
      <c r="L68" s="4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91">
        <v>0.5</v>
      </c>
      <c r="B69" s="92" t="s">
        <v>18</v>
      </c>
      <c r="C69" s="93" t="s">
        <v>20</v>
      </c>
      <c r="D69" s="22">
        <v>22000.0</v>
      </c>
      <c r="E69" s="15">
        <f t="shared" si="9"/>
        <v>11000</v>
      </c>
      <c r="F69" s="3"/>
      <c r="G69" s="3"/>
      <c r="H69" s="3"/>
      <c r="I69" s="22">
        <v>12000.0</v>
      </c>
      <c r="J69" s="15">
        <f t="shared" si="10"/>
        <v>6000</v>
      </c>
      <c r="K69" s="15">
        <f t="shared" si="11"/>
        <v>5000</v>
      </c>
      <c r="L69" s="4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91">
        <v>2.0</v>
      </c>
      <c r="B70" s="92" t="s">
        <v>5</v>
      </c>
      <c r="C70" s="93" t="s">
        <v>104</v>
      </c>
      <c r="D70" s="22">
        <v>2500.0</v>
      </c>
      <c r="E70" s="15">
        <f t="shared" si="9"/>
        <v>5000</v>
      </c>
      <c r="F70" s="3"/>
      <c r="G70" s="3"/>
      <c r="H70" s="86"/>
      <c r="I70" s="22">
        <v>2000.0</v>
      </c>
      <c r="J70" s="15">
        <f t="shared" si="10"/>
        <v>4000</v>
      </c>
      <c r="K70" s="15">
        <f t="shared" si="11"/>
        <v>1000</v>
      </c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91">
        <v>1.0</v>
      </c>
      <c r="B71" s="92" t="s">
        <v>18</v>
      </c>
      <c r="C71" s="93" t="s">
        <v>89</v>
      </c>
      <c r="D71" s="22">
        <v>45000.0</v>
      </c>
      <c r="E71" s="15">
        <f t="shared" si="9"/>
        <v>45000</v>
      </c>
      <c r="F71" s="3"/>
      <c r="G71" s="3"/>
      <c r="H71" s="3"/>
      <c r="I71" s="22">
        <v>38000.0</v>
      </c>
      <c r="J71" s="15">
        <f t="shared" si="10"/>
        <v>38000</v>
      </c>
      <c r="K71" s="15">
        <f t="shared" si="11"/>
        <v>7000</v>
      </c>
      <c r="L71" s="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91">
        <v>1.0</v>
      </c>
      <c r="B72" s="92" t="s">
        <v>18</v>
      </c>
      <c r="C72" s="93" t="s">
        <v>65</v>
      </c>
      <c r="D72" s="22">
        <v>6500.0</v>
      </c>
      <c r="E72" s="15">
        <f t="shared" si="9"/>
        <v>6500</v>
      </c>
      <c r="F72" s="3"/>
      <c r="G72" s="3"/>
      <c r="H72" s="3"/>
      <c r="I72" s="87">
        <v>5000.0</v>
      </c>
      <c r="J72" s="15">
        <f t="shared" si="10"/>
        <v>5000</v>
      </c>
      <c r="K72" s="15">
        <f t="shared" si="11"/>
        <v>1500</v>
      </c>
      <c r="L72" s="4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91">
        <v>2.0</v>
      </c>
      <c r="B73" s="92" t="s">
        <v>18</v>
      </c>
      <c r="C73" s="93" t="s">
        <v>194</v>
      </c>
      <c r="D73" s="22">
        <v>14000.0</v>
      </c>
      <c r="E73" s="15">
        <f t="shared" si="9"/>
        <v>28000</v>
      </c>
      <c r="F73" s="3"/>
      <c r="G73" s="3"/>
      <c r="H73" s="3"/>
      <c r="I73" s="22">
        <v>10000.0</v>
      </c>
      <c r="J73" s="15">
        <f t="shared" si="10"/>
        <v>20000</v>
      </c>
      <c r="K73" s="15">
        <f t="shared" si="11"/>
        <v>8000</v>
      </c>
      <c r="L73" s="4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91">
        <v>1.0</v>
      </c>
      <c r="B74" s="92" t="s">
        <v>288</v>
      </c>
      <c r="C74" s="93" t="s">
        <v>195</v>
      </c>
      <c r="D74" s="22">
        <v>11000.0</v>
      </c>
      <c r="E74" s="15">
        <f t="shared" si="9"/>
        <v>11000</v>
      </c>
      <c r="F74" s="3"/>
      <c r="G74" s="3"/>
      <c r="H74" s="3"/>
      <c r="I74" s="22">
        <v>9000.0</v>
      </c>
      <c r="J74" s="15">
        <f t="shared" si="10"/>
        <v>9000</v>
      </c>
      <c r="K74" s="15">
        <f t="shared" si="11"/>
        <v>2000</v>
      </c>
      <c r="L74" s="4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91">
        <v>1.5</v>
      </c>
      <c r="B75" s="92" t="s">
        <v>18</v>
      </c>
      <c r="C75" s="93" t="s">
        <v>103</v>
      </c>
      <c r="D75" s="22">
        <v>13000.0</v>
      </c>
      <c r="E75" s="15">
        <f t="shared" si="9"/>
        <v>19500</v>
      </c>
      <c r="F75" s="3"/>
      <c r="G75" s="3"/>
      <c r="H75" s="86"/>
      <c r="I75" s="22">
        <v>8000.0</v>
      </c>
      <c r="J75" s="15">
        <f t="shared" si="10"/>
        <v>12000</v>
      </c>
      <c r="K75" s="15">
        <f t="shared" si="11"/>
        <v>7500</v>
      </c>
      <c r="L75" s="4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91">
        <v>0.5</v>
      </c>
      <c r="B76" s="92" t="s">
        <v>18</v>
      </c>
      <c r="C76" s="93" t="s">
        <v>87</v>
      </c>
      <c r="D76" s="22">
        <v>74000.0</v>
      </c>
      <c r="E76" s="15">
        <f t="shared" si="9"/>
        <v>37000</v>
      </c>
      <c r="F76" s="3"/>
      <c r="G76" s="3"/>
      <c r="H76" s="3"/>
      <c r="I76" s="22">
        <v>64000.0</v>
      </c>
      <c r="J76" s="15">
        <f t="shared" si="10"/>
        <v>32000</v>
      </c>
      <c r="K76" s="15">
        <f t="shared" si="11"/>
        <v>5000</v>
      </c>
      <c r="L76" s="4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91">
        <v>2.0</v>
      </c>
      <c r="B77" s="92" t="s">
        <v>18</v>
      </c>
      <c r="C77" s="93" t="s">
        <v>289</v>
      </c>
      <c r="D77" s="22">
        <v>17000.0</v>
      </c>
      <c r="E77" s="15">
        <f t="shared" si="9"/>
        <v>34000</v>
      </c>
      <c r="F77" s="3"/>
      <c r="G77" s="3"/>
      <c r="H77" s="3"/>
      <c r="I77" s="22">
        <v>14000.0</v>
      </c>
      <c r="J77" s="15">
        <f t="shared" si="10"/>
        <v>28000</v>
      </c>
      <c r="K77" s="15">
        <f t="shared" si="11"/>
        <v>6000</v>
      </c>
      <c r="L77" s="4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91">
        <v>4.0</v>
      </c>
      <c r="B78" s="92" t="s">
        <v>18</v>
      </c>
      <c r="C78" s="93" t="s">
        <v>95</v>
      </c>
      <c r="D78" s="22">
        <v>18000.0</v>
      </c>
      <c r="E78" s="15">
        <f t="shared" si="9"/>
        <v>72000</v>
      </c>
      <c r="F78" s="3"/>
      <c r="G78" s="3"/>
      <c r="H78" s="3"/>
      <c r="I78" s="22">
        <v>15000.0</v>
      </c>
      <c r="J78" s="15">
        <f t="shared" si="10"/>
        <v>60000</v>
      </c>
      <c r="K78" s="15">
        <f t="shared" si="11"/>
        <v>12000</v>
      </c>
      <c r="L78" s="4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"/>
      <c r="B79" s="3"/>
      <c r="C79" s="2"/>
      <c r="D79" s="3"/>
      <c r="E79" s="3"/>
      <c r="F79" s="3"/>
      <c r="G79" s="2"/>
      <c r="H79" s="3"/>
      <c r="I79" s="3"/>
      <c r="J79" s="3"/>
      <c r="K79" s="3"/>
      <c r="L79" s="4"/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1"/>
      <c r="B80" s="3"/>
      <c r="C80" s="2"/>
      <c r="D80" s="3"/>
      <c r="E80" s="15">
        <f>SUM(E68:E78)</f>
        <v>279000</v>
      </c>
      <c r="F80" s="3"/>
      <c r="G80" s="3"/>
      <c r="H80" s="3"/>
      <c r="I80" s="3"/>
      <c r="J80" s="3"/>
      <c r="K80" s="15">
        <f>SUM(K68:K78)</f>
        <v>57500</v>
      </c>
      <c r="L80" s="23">
        <f>K80/E80</f>
        <v>0.20609319</v>
      </c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30"/>
      <c r="B81" s="31"/>
      <c r="C81" s="2"/>
      <c r="D81" s="3"/>
      <c r="E81" s="3"/>
      <c r="F81" s="3"/>
      <c r="G81" s="2"/>
      <c r="H81" s="2"/>
      <c r="I81" s="2"/>
      <c r="J81" s="2"/>
      <c r="K81" s="3"/>
      <c r="L81" s="4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8" t="s">
        <v>100</v>
      </c>
      <c r="B82" s="1"/>
      <c r="C82" s="1"/>
      <c r="D82" s="22" t="s">
        <v>290</v>
      </c>
      <c r="E82" s="82">
        <v>46064.0</v>
      </c>
      <c r="F82" s="3"/>
      <c r="G82" s="3"/>
      <c r="H82" s="3"/>
      <c r="I82" s="3"/>
      <c r="J82" s="3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"/>
      <c r="B83" s="3"/>
      <c r="C83" s="2"/>
      <c r="D83" s="3"/>
      <c r="E83" s="3"/>
      <c r="F83" s="3"/>
      <c r="G83" s="3"/>
      <c r="H83" s="3"/>
      <c r="I83" s="3"/>
      <c r="J83" s="3"/>
      <c r="K83" s="3"/>
      <c r="L83" s="4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5" t="s">
        <v>4</v>
      </c>
      <c r="B84" s="10" t="s">
        <v>5</v>
      </c>
      <c r="C84" s="11" t="s">
        <v>6</v>
      </c>
      <c r="D84" s="10" t="s">
        <v>7</v>
      </c>
      <c r="E84" s="10" t="s">
        <v>8</v>
      </c>
      <c r="F84" s="3"/>
      <c r="G84" s="3"/>
      <c r="H84" s="3"/>
      <c r="I84" s="10" t="s">
        <v>7</v>
      </c>
      <c r="J84" s="10" t="s">
        <v>8</v>
      </c>
      <c r="K84" s="10" t="s">
        <v>10</v>
      </c>
      <c r="L84" s="4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91">
        <v>4.0</v>
      </c>
      <c r="B85" s="92" t="s">
        <v>33</v>
      </c>
      <c r="C85" s="93" t="s">
        <v>19</v>
      </c>
      <c r="D85" s="22">
        <v>1800.0</v>
      </c>
      <c r="E85" s="15">
        <f t="shared" ref="E85:E88" si="12">A85*D85</f>
        <v>7200</v>
      </c>
      <c r="F85" s="3"/>
      <c r="G85" s="3"/>
      <c r="H85" s="3"/>
      <c r="I85" s="22">
        <f>13000/18</f>
        <v>722.2222222</v>
      </c>
      <c r="J85" s="15">
        <f t="shared" ref="J85:J88" si="13">I85*A85</f>
        <v>2888.888889</v>
      </c>
      <c r="K85" s="15">
        <f t="shared" ref="K85:K88" si="14">E85-J85</f>
        <v>4311.111111</v>
      </c>
      <c r="L85" s="4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91">
        <v>5.0</v>
      </c>
      <c r="B86" s="92" t="s">
        <v>5</v>
      </c>
      <c r="C86" s="93" t="s">
        <v>87</v>
      </c>
      <c r="D86" s="22">
        <v>1400.0</v>
      </c>
      <c r="E86" s="15">
        <f t="shared" si="12"/>
        <v>7000</v>
      </c>
      <c r="F86" s="3"/>
      <c r="G86" s="3"/>
      <c r="H86" s="3"/>
      <c r="I86" s="22">
        <f>64000/70</f>
        <v>914.2857143</v>
      </c>
      <c r="J86" s="15">
        <f t="shared" si="13"/>
        <v>4571.428571</v>
      </c>
      <c r="K86" s="15">
        <f t="shared" si="14"/>
        <v>2428.571429</v>
      </c>
      <c r="L86" s="4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91">
        <v>2.0</v>
      </c>
      <c r="B87" s="92" t="s">
        <v>5</v>
      </c>
      <c r="C87" s="93" t="s">
        <v>176</v>
      </c>
      <c r="D87" s="22">
        <v>1100.0</v>
      </c>
      <c r="E87" s="15">
        <f t="shared" si="12"/>
        <v>2200</v>
      </c>
      <c r="F87" s="3"/>
      <c r="G87" s="3"/>
      <c r="H87" s="86"/>
      <c r="I87" s="87">
        <f>23000/50</f>
        <v>460</v>
      </c>
      <c r="J87" s="15">
        <f t="shared" si="13"/>
        <v>920</v>
      </c>
      <c r="K87" s="15">
        <f t="shared" si="14"/>
        <v>1280</v>
      </c>
      <c r="L87" s="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91">
        <v>1.0</v>
      </c>
      <c r="B88" s="92" t="s">
        <v>33</v>
      </c>
      <c r="C88" s="93" t="s">
        <v>47</v>
      </c>
      <c r="D88" s="22">
        <v>1600.0</v>
      </c>
      <c r="E88" s="15">
        <f t="shared" si="12"/>
        <v>1600</v>
      </c>
      <c r="F88" s="3"/>
      <c r="G88" s="3"/>
      <c r="H88" s="3"/>
      <c r="I88" s="22">
        <v>1000.0</v>
      </c>
      <c r="J88" s="15">
        <f t="shared" si="13"/>
        <v>1000</v>
      </c>
      <c r="K88" s="15">
        <f t="shared" si="14"/>
        <v>600</v>
      </c>
      <c r="L88" s="4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"/>
      <c r="B89" s="3"/>
      <c r="C89" s="2"/>
      <c r="D89" s="3"/>
      <c r="E89" s="3"/>
      <c r="F89" s="3"/>
      <c r="G89" s="2"/>
      <c r="H89" s="3"/>
      <c r="I89" s="3"/>
      <c r="J89" s="3"/>
      <c r="K89" s="3"/>
      <c r="L89" s="4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"/>
      <c r="B90" s="3"/>
      <c r="C90" s="2"/>
      <c r="D90" s="3"/>
      <c r="E90" s="15">
        <f>SUM(E85:E88)</f>
        <v>18000</v>
      </c>
      <c r="F90" s="3"/>
      <c r="G90" s="3"/>
      <c r="H90" s="3"/>
      <c r="I90" s="3"/>
      <c r="J90" s="3"/>
      <c r="K90" s="15">
        <f>SUM(K85:K88)</f>
        <v>8619.68254</v>
      </c>
      <c r="L90" s="23">
        <f>K90/E90</f>
        <v>0.4788712522</v>
      </c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91"/>
      <c r="B91" s="92"/>
      <c r="C91" s="88"/>
      <c r="D91" s="22"/>
      <c r="E91" s="15"/>
      <c r="F91" s="3"/>
      <c r="G91" s="3"/>
      <c r="H91" s="3"/>
      <c r="I91" s="22"/>
      <c r="J91" s="15"/>
      <c r="K91" s="15"/>
      <c r="L91" s="23"/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1"/>
      <c r="B92" s="3"/>
      <c r="C92" s="1"/>
      <c r="D92" s="3"/>
      <c r="E92" s="3"/>
      <c r="F92" s="3"/>
      <c r="G92" s="3"/>
      <c r="H92" s="3"/>
      <c r="I92" s="22"/>
      <c r="J92" s="15"/>
      <c r="K92" s="3"/>
      <c r="L92" s="23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24"/>
      <c r="B93" s="24"/>
      <c r="C93" s="24"/>
      <c r="D93" s="32"/>
      <c r="E93" s="7"/>
      <c r="F93" s="33"/>
      <c r="G93" s="25"/>
      <c r="H93" s="25"/>
      <c r="I93" s="16"/>
      <c r="J93" s="16"/>
      <c r="K93" s="16"/>
      <c r="L93" s="34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8" t="s">
        <v>197</v>
      </c>
      <c r="B94" s="1"/>
      <c r="C94" s="1"/>
      <c r="D94" s="22" t="s">
        <v>291</v>
      </c>
      <c r="E94" s="82">
        <v>46064.0</v>
      </c>
      <c r="F94" s="3"/>
      <c r="G94" s="3"/>
      <c r="H94" s="3"/>
      <c r="I94" s="3"/>
      <c r="J94" s="3"/>
      <c r="K94" s="3"/>
      <c r="L94" s="4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"/>
      <c r="B95" s="3"/>
      <c r="C95" s="2"/>
      <c r="D95" s="3"/>
      <c r="E95" s="3"/>
      <c r="F95" s="3"/>
      <c r="G95" s="3"/>
      <c r="H95" s="3"/>
      <c r="I95" s="3"/>
      <c r="J95" s="3"/>
      <c r="K95" s="3"/>
      <c r="L95" s="4"/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5" t="s">
        <v>4</v>
      </c>
      <c r="B96" s="10" t="s">
        <v>5</v>
      </c>
      <c r="C96" s="11" t="s">
        <v>6</v>
      </c>
      <c r="D96" s="10" t="s">
        <v>7</v>
      </c>
      <c r="E96" s="10" t="s">
        <v>8</v>
      </c>
      <c r="F96" s="3"/>
      <c r="G96" s="3"/>
      <c r="H96" s="3"/>
      <c r="I96" s="10" t="s">
        <v>7</v>
      </c>
      <c r="J96" s="10" t="s">
        <v>8</v>
      </c>
      <c r="K96" s="10" t="s">
        <v>10</v>
      </c>
      <c r="L96" s="4"/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91">
        <v>1.0</v>
      </c>
      <c r="B97" s="92" t="s">
        <v>18</v>
      </c>
      <c r="C97" s="93" t="s">
        <v>86</v>
      </c>
      <c r="D97" s="22">
        <v>42000.0</v>
      </c>
      <c r="E97" s="15">
        <f t="shared" ref="E97:E104" si="15">A97*D97</f>
        <v>42000</v>
      </c>
      <c r="F97" s="3"/>
      <c r="G97" s="3"/>
      <c r="H97" s="3"/>
      <c r="I97" s="22">
        <v>35000.0</v>
      </c>
      <c r="J97" s="15">
        <f t="shared" ref="J97:J104" si="16">I97*A97</f>
        <v>35000</v>
      </c>
      <c r="K97" s="15">
        <f t="shared" ref="K97:K104" si="17">E97-J97</f>
        <v>7000</v>
      </c>
      <c r="L97" s="4"/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91">
        <v>5.0</v>
      </c>
      <c r="B98" s="92" t="s">
        <v>50</v>
      </c>
      <c r="C98" s="93" t="s">
        <v>171</v>
      </c>
      <c r="D98" s="22">
        <v>3000.0</v>
      </c>
      <c r="E98" s="15">
        <f t="shared" si="15"/>
        <v>15000</v>
      </c>
      <c r="F98" s="3"/>
      <c r="G98" s="3"/>
      <c r="H98" s="3"/>
      <c r="I98" s="22">
        <v>2000.0</v>
      </c>
      <c r="J98" s="15">
        <f t="shared" si="16"/>
        <v>10000</v>
      </c>
      <c r="K98" s="15">
        <f t="shared" si="17"/>
        <v>5000</v>
      </c>
      <c r="L98" s="4"/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91">
        <v>4.0</v>
      </c>
      <c r="B99" s="92" t="s">
        <v>292</v>
      </c>
      <c r="C99" s="93" t="s">
        <v>85</v>
      </c>
      <c r="D99" s="22">
        <v>2500.0</v>
      </c>
      <c r="E99" s="15">
        <f t="shared" si="15"/>
        <v>10000</v>
      </c>
      <c r="F99" s="3"/>
      <c r="G99" s="3"/>
      <c r="H99" s="86"/>
      <c r="I99" s="87">
        <f>20000/12</f>
        <v>1666.666667</v>
      </c>
      <c r="J99" s="15">
        <f t="shared" si="16"/>
        <v>6666.666667</v>
      </c>
      <c r="K99" s="15">
        <f t="shared" si="17"/>
        <v>3333.333333</v>
      </c>
      <c r="L99" s="4"/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91">
        <v>1.0</v>
      </c>
      <c r="B100" s="92" t="s">
        <v>33</v>
      </c>
      <c r="C100" s="93" t="s">
        <v>97</v>
      </c>
      <c r="D100" s="22">
        <v>20000.0</v>
      </c>
      <c r="E100" s="15">
        <f t="shared" si="15"/>
        <v>20000</v>
      </c>
      <c r="F100" s="3"/>
      <c r="G100" s="3"/>
      <c r="H100" s="3"/>
      <c r="I100" s="22">
        <v>18000.0</v>
      </c>
      <c r="J100" s="15">
        <f t="shared" si="16"/>
        <v>18000</v>
      </c>
      <c r="K100" s="15">
        <f t="shared" si="17"/>
        <v>2000</v>
      </c>
      <c r="L100" s="4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91">
        <v>1.0</v>
      </c>
      <c r="B101" s="92" t="s">
        <v>29</v>
      </c>
      <c r="C101" s="93" t="s">
        <v>30</v>
      </c>
      <c r="D101" s="22">
        <v>60000.0</v>
      </c>
      <c r="E101" s="15">
        <f t="shared" si="15"/>
        <v>60000</v>
      </c>
      <c r="F101" s="3"/>
      <c r="G101" s="3"/>
      <c r="H101" s="3"/>
      <c r="I101" s="87">
        <v>45000.0</v>
      </c>
      <c r="J101" s="15">
        <f t="shared" si="16"/>
        <v>45000</v>
      </c>
      <c r="K101" s="15">
        <f t="shared" si="17"/>
        <v>15000</v>
      </c>
      <c r="L101" s="4"/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91">
        <v>1.0</v>
      </c>
      <c r="B102" s="92" t="s">
        <v>18</v>
      </c>
      <c r="C102" s="93" t="s">
        <v>293</v>
      </c>
      <c r="D102" s="22">
        <v>30000.0</v>
      </c>
      <c r="E102" s="15">
        <f t="shared" si="15"/>
        <v>30000</v>
      </c>
      <c r="F102" s="3"/>
      <c r="G102" s="3"/>
      <c r="H102" s="3"/>
      <c r="I102" s="22">
        <v>25000.0</v>
      </c>
      <c r="J102" s="15">
        <f t="shared" si="16"/>
        <v>25000</v>
      </c>
      <c r="K102" s="15">
        <f t="shared" si="17"/>
        <v>5000</v>
      </c>
      <c r="L102" s="4"/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91">
        <v>4.0</v>
      </c>
      <c r="B103" s="92" t="s">
        <v>33</v>
      </c>
      <c r="C103" s="93" t="s">
        <v>201</v>
      </c>
      <c r="D103" s="22">
        <v>3500.0</v>
      </c>
      <c r="E103" s="15">
        <f t="shared" si="15"/>
        <v>14000</v>
      </c>
      <c r="F103" s="3"/>
      <c r="G103" s="3"/>
      <c r="H103" s="3"/>
      <c r="I103" s="16">
        <f>27000/16</f>
        <v>1687.5</v>
      </c>
      <c r="J103" s="15">
        <f t="shared" si="16"/>
        <v>6750</v>
      </c>
      <c r="K103" s="15">
        <f t="shared" si="17"/>
        <v>7250</v>
      </c>
      <c r="L103" s="4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91">
        <v>2.0</v>
      </c>
      <c r="B104" s="92" t="s">
        <v>33</v>
      </c>
      <c r="C104" s="93" t="s">
        <v>213</v>
      </c>
      <c r="D104" s="22">
        <v>4000.0</v>
      </c>
      <c r="E104" s="15">
        <f t="shared" si="15"/>
        <v>8000</v>
      </c>
      <c r="F104" s="3"/>
      <c r="G104" s="3"/>
      <c r="H104" s="86" t="s">
        <v>274</v>
      </c>
      <c r="I104" s="22">
        <v>0.0</v>
      </c>
      <c r="J104" s="15">
        <f t="shared" si="16"/>
        <v>0</v>
      </c>
      <c r="K104" s="15">
        <f t="shared" si="17"/>
        <v>8000</v>
      </c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"/>
      <c r="B105" s="3"/>
      <c r="C105" s="2"/>
      <c r="D105" s="3"/>
      <c r="E105" s="3"/>
      <c r="F105" s="3"/>
      <c r="G105" s="2"/>
      <c r="H105" s="3"/>
      <c r="I105" s="3"/>
      <c r="J105" s="3"/>
      <c r="K105" s="3"/>
      <c r="L105" s="4"/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1"/>
      <c r="B106" s="3"/>
      <c r="C106" s="2"/>
      <c r="D106" s="3"/>
      <c r="E106" s="15">
        <f>SUM(E97:E104)</f>
        <v>199000</v>
      </c>
      <c r="F106" s="3"/>
      <c r="G106" s="3"/>
      <c r="H106" s="3"/>
      <c r="I106" s="3"/>
      <c r="J106" s="3"/>
      <c r="K106" s="15">
        <f>SUM(K97:K104)</f>
        <v>52583.33333</v>
      </c>
      <c r="L106" s="23">
        <f>K106/E106</f>
        <v>0.2642378559</v>
      </c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30"/>
      <c r="B107" s="31"/>
      <c r="C107" s="2"/>
      <c r="D107" s="3"/>
      <c r="E107" s="3"/>
      <c r="F107" s="3"/>
      <c r="G107" s="2"/>
      <c r="H107" s="2"/>
      <c r="I107" s="2"/>
      <c r="J107" s="2"/>
      <c r="K107" s="3"/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30"/>
      <c r="B108" s="31"/>
      <c r="C108" s="2"/>
      <c r="D108" s="3"/>
      <c r="E108" s="3"/>
      <c r="F108" s="3"/>
      <c r="G108" s="2"/>
      <c r="H108" s="2"/>
      <c r="I108" s="2"/>
      <c r="J108" s="2"/>
      <c r="K108" s="3"/>
      <c r="L108" s="4"/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24"/>
      <c r="B109" s="24"/>
      <c r="C109" s="24"/>
      <c r="D109" s="32"/>
      <c r="E109" s="7"/>
      <c r="F109" s="33"/>
      <c r="G109" s="25"/>
      <c r="H109" s="25"/>
      <c r="I109" s="16"/>
      <c r="J109" s="16"/>
      <c r="K109" s="16"/>
      <c r="L109" s="34"/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24"/>
      <c r="B110" s="24"/>
      <c r="C110" s="24"/>
      <c r="D110" s="32"/>
      <c r="E110" s="7"/>
      <c r="F110" s="33"/>
      <c r="G110" s="25"/>
      <c r="H110" s="25"/>
      <c r="I110" s="16"/>
      <c r="J110" s="16"/>
      <c r="K110" s="16"/>
      <c r="L110" s="34"/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30"/>
      <c r="B111" s="31"/>
      <c r="C111" s="2"/>
      <c r="D111" s="3"/>
      <c r="E111" s="3"/>
      <c r="F111" s="3"/>
      <c r="G111" s="2"/>
      <c r="H111" s="2"/>
      <c r="I111" s="2"/>
      <c r="J111" s="2"/>
      <c r="K111" s="3"/>
      <c r="L111" s="4"/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30" t="s">
        <v>120</v>
      </c>
      <c r="B112" s="31">
        <f>E106+E90+E80+E62+F22</f>
        <v>1799875</v>
      </c>
      <c r="C112" s="2"/>
      <c r="D112" s="3"/>
      <c r="E112" s="3"/>
      <c r="F112" s="3"/>
      <c r="G112" s="2"/>
      <c r="H112" s="2"/>
      <c r="I112" s="2"/>
      <c r="J112" s="2"/>
      <c r="K112" s="3"/>
      <c r="L112" s="4"/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1"/>
      <c r="B113" s="2"/>
      <c r="C113" s="2"/>
      <c r="D113" s="3"/>
      <c r="E113" s="3"/>
      <c r="F113" s="3"/>
      <c r="G113" s="2"/>
      <c r="H113" s="2"/>
      <c r="I113" s="2"/>
      <c r="J113" s="2"/>
      <c r="K113" s="3"/>
      <c r="L113" s="4"/>
      <c r="M113" s="2"/>
      <c r="N113" s="2"/>
      <c r="O113" s="2"/>
      <c r="P113" s="2"/>
      <c r="Q113" s="3"/>
      <c r="R113" s="9"/>
      <c r="S113" s="3"/>
      <c r="T113" s="3"/>
      <c r="U113" s="1"/>
      <c r="V113" s="3"/>
      <c r="W113" s="3"/>
      <c r="X113" s="3"/>
      <c r="Y113" s="3"/>
      <c r="Z113" s="3"/>
    </row>
    <row r="114">
      <c r="A114" s="30" t="s">
        <v>121</v>
      </c>
      <c r="B114" s="31">
        <f>K106+K90+K80+K62+K22</f>
        <v>814557.5175</v>
      </c>
      <c r="C114" s="2"/>
      <c r="D114" s="3"/>
      <c r="E114" s="3"/>
      <c r="F114" s="3"/>
      <c r="G114" s="2"/>
      <c r="H114" s="2"/>
      <c r="I114" s="2"/>
      <c r="J114" s="2"/>
      <c r="K114" s="3"/>
      <c r="L114" s="4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"/>
      <c r="B115" s="2"/>
      <c r="C115" s="2"/>
      <c r="D115" s="3"/>
      <c r="E115" s="3"/>
      <c r="F115" s="3"/>
      <c r="G115" s="2"/>
      <c r="H115" s="2"/>
      <c r="I115" s="2"/>
      <c r="J115" s="2"/>
      <c r="K115" s="3"/>
      <c r="L115" s="4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39" t="s">
        <v>122</v>
      </c>
      <c r="B116" s="99">
        <v>0.0</v>
      </c>
      <c r="C116" s="2"/>
      <c r="D116" s="3"/>
      <c r="E116" s="3"/>
      <c r="F116" s="3"/>
      <c r="G116" s="2"/>
      <c r="H116" s="2"/>
      <c r="I116" s="2"/>
      <c r="J116" s="2"/>
      <c r="K116" s="3"/>
      <c r="L116" s="4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1"/>
      <c r="B117" s="2"/>
      <c r="C117" s="2"/>
      <c r="D117" s="3"/>
      <c r="E117" s="3"/>
      <c r="F117" s="3"/>
      <c r="G117" s="2"/>
      <c r="H117" s="2"/>
      <c r="I117" s="2"/>
      <c r="J117" s="2"/>
      <c r="K117" s="3"/>
      <c r="L117" s="4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30" t="s">
        <v>123</v>
      </c>
      <c r="B118" s="41">
        <f>B114/B112</f>
        <v>0.4525633822</v>
      </c>
      <c r="C118" s="2"/>
      <c r="D118" s="3"/>
      <c r="E118" s="3"/>
      <c r="F118" s="3"/>
      <c r="G118" s="2"/>
      <c r="H118" s="2"/>
      <c r="I118" s="2"/>
      <c r="J118" s="2"/>
      <c r="K118" s="3"/>
      <c r="L118" s="4"/>
      <c r="M118" s="2"/>
      <c r="N118" s="2"/>
      <c r="O118" s="2"/>
      <c r="P118" s="2"/>
      <c r="Q118" s="2"/>
      <c r="R118" s="2"/>
      <c r="S118" s="3"/>
      <c r="T118" s="3"/>
      <c r="U118" s="1"/>
      <c r="V118" s="3"/>
      <c r="W118" s="3"/>
      <c r="X118" s="2"/>
      <c r="Y118" s="2"/>
      <c r="Z118" s="2"/>
    </row>
    <row r="119">
      <c r="A119" s="1"/>
      <c r="B119" s="2"/>
      <c r="C119" s="2"/>
      <c r="D119" s="3"/>
      <c r="E119" s="3"/>
      <c r="F119" s="3"/>
      <c r="G119" s="2"/>
      <c r="H119" s="2"/>
      <c r="I119" s="2"/>
      <c r="J119" s="2"/>
      <c r="K119" s="3"/>
      <c r="L119" s="4"/>
      <c r="M119" s="2"/>
      <c r="N119" s="2"/>
      <c r="O119" s="2"/>
      <c r="P119" s="2"/>
      <c r="Q119" s="3"/>
      <c r="R119" s="9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42" t="s">
        <v>124</v>
      </c>
      <c r="C120" s="43">
        <v>100.0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9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2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"/>
      <c r="B122" s="2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"/>
      <c r="B123" s="1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X124" s="3"/>
      <c r="Y124" s="3"/>
      <c r="Z124" s="3"/>
    </row>
    <row r="125" ht="15.75" customHeight="1">
      <c r="A125" s="45"/>
      <c r="B125" s="46" t="s">
        <v>125</v>
      </c>
      <c r="C125" s="47" t="s">
        <v>126</v>
      </c>
      <c r="D125" s="48" t="s">
        <v>127</v>
      </c>
      <c r="E125" s="48" t="s">
        <v>128</v>
      </c>
      <c r="F125" s="48" t="s">
        <v>129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3"/>
      <c r="T125" s="3"/>
      <c r="U125" s="1"/>
      <c r="V125" s="3"/>
      <c r="W125" s="9"/>
      <c r="X125" s="3"/>
      <c r="Y125" s="3"/>
      <c r="Z125" s="3"/>
    </row>
    <row r="126" ht="15.75" customHeight="1">
      <c r="A126" s="49"/>
      <c r="B126" s="50">
        <v>2528350.0</v>
      </c>
      <c r="C126" s="51">
        <v>308459.29</v>
      </c>
      <c r="D126" s="51">
        <f>2277828.28-500000-1000000+491000</f>
        <v>1268828.28</v>
      </c>
      <c r="E126" s="51"/>
      <c r="F126" s="51">
        <f>8500000+1101582.8</f>
        <v>9601582.8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"/>
      <c r="B127" s="52"/>
      <c r="C127" s="52"/>
      <c r="D127" s="52"/>
      <c r="E127" s="5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46" t="s">
        <v>130</v>
      </c>
      <c r="B128" s="53"/>
      <c r="C128" s="53"/>
      <c r="D128" s="53"/>
      <c r="E128" s="53"/>
      <c r="F128" s="5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131</v>
      </c>
      <c r="B129" s="55">
        <v>319800.0</v>
      </c>
      <c r="C129" s="55">
        <v>0.0</v>
      </c>
      <c r="D129" s="55">
        <v>0.0</v>
      </c>
      <c r="E129" s="55">
        <v>0.0</v>
      </c>
      <c r="F129" s="55">
        <v>0.0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132</v>
      </c>
      <c r="B130" s="55">
        <v>0.0</v>
      </c>
      <c r="C130" s="55">
        <v>3625.2</v>
      </c>
      <c r="D130" s="55">
        <v>0.0</v>
      </c>
      <c r="E130" s="55">
        <v>0.0</v>
      </c>
      <c r="F130" s="55">
        <v>0.0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133</v>
      </c>
      <c r="B131" s="55">
        <v>0.0</v>
      </c>
      <c r="C131" s="55">
        <v>0.0</v>
      </c>
      <c r="D131" s="55">
        <v>1101582.8</v>
      </c>
      <c r="E131" s="55">
        <v>0.0</v>
      </c>
      <c r="F131" s="55">
        <v>0.0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134</v>
      </c>
      <c r="B132" s="55">
        <v>0.0</v>
      </c>
      <c r="C132" s="55">
        <v>0.0</v>
      </c>
      <c r="D132" s="55">
        <v>0.0</v>
      </c>
      <c r="E132" s="55">
        <v>0.0</v>
      </c>
      <c r="F132" s="55">
        <v>0.0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135</v>
      </c>
      <c r="B133" s="55">
        <v>0.0</v>
      </c>
      <c r="C133" s="55">
        <v>0.0</v>
      </c>
      <c r="D133" s="55">
        <v>0.0</v>
      </c>
      <c r="E133" s="55">
        <v>0.0</v>
      </c>
      <c r="F133" s="55">
        <v>0.0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136</v>
      </c>
      <c r="B134" s="55">
        <v>0.0</v>
      </c>
      <c r="C134" s="56">
        <f>C129*0.6%+C132*0.6%</f>
        <v>0</v>
      </c>
      <c r="D134" s="55">
        <f>SUM(D129:D131)*0.6%</f>
        <v>6609.4968</v>
      </c>
      <c r="E134" s="55">
        <v>0.0</v>
      </c>
      <c r="F134" s="55">
        <v>0.0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"/>
      <c r="B135" s="52"/>
      <c r="C135" s="52"/>
      <c r="D135" s="52"/>
      <c r="E135" s="5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57" t="s">
        <v>8</v>
      </c>
      <c r="B136" s="58">
        <f>SUM(B126:B134)</f>
        <v>2848150</v>
      </c>
      <c r="C136" s="58">
        <f>C126+C129+C132+C133-C134+C130</f>
        <v>312084.49</v>
      </c>
      <c r="D136" s="59">
        <f>D126+D129+D132+D133-D134+D131</f>
        <v>2363801.583</v>
      </c>
      <c r="E136" s="58">
        <f>E126+E129+E132+E133-E134</f>
        <v>0</v>
      </c>
      <c r="F136" s="60">
        <f>F126+F129+F132+F133-F134-D131</f>
        <v>8500000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"/>
      <c r="B137" s="1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46" t="s">
        <v>137</v>
      </c>
      <c r="B138" s="53"/>
      <c r="C138" s="53"/>
      <c r="D138" s="53"/>
      <c r="E138" s="53"/>
      <c r="F138" s="5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13" t="s">
        <v>138</v>
      </c>
      <c r="B139" s="61">
        <v>10000.0</v>
      </c>
      <c r="C139" s="61">
        <v>0.0</v>
      </c>
      <c r="D139" s="61">
        <v>0.0</v>
      </c>
      <c r="E139" s="61">
        <v>0.0</v>
      </c>
      <c r="F139" s="3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13" t="s">
        <v>139</v>
      </c>
      <c r="B140" s="55">
        <v>0.0</v>
      </c>
      <c r="C140" s="55">
        <v>0.0</v>
      </c>
      <c r="D140" s="55">
        <v>0.0</v>
      </c>
      <c r="E140" s="55">
        <v>0.0</v>
      </c>
      <c r="F140" s="3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13" t="s">
        <v>140</v>
      </c>
      <c r="B141" s="61">
        <v>0.0</v>
      </c>
      <c r="C141" s="61">
        <v>0.0</v>
      </c>
      <c r="D141" s="55">
        <v>500000.0</v>
      </c>
      <c r="E141" s="61">
        <v>0.0</v>
      </c>
      <c r="F141" s="3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13" t="s">
        <v>141</v>
      </c>
      <c r="B142" s="61">
        <v>0.0</v>
      </c>
      <c r="C142" s="61">
        <v>0.0</v>
      </c>
      <c r="D142" s="61">
        <v>0.0</v>
      </c>
      <c r="E142" s="61">
        <v>0.0</v>
      </c>
      <c r="F142" s="3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13" t="s">
        <v>142</v>
      </c>
      <c r="B143" s="61">
        <v>0.0</v>
      </c>
      <c r="C143" s="61">
        <v>395000.0</v>
      </c>
      <c r="D143" s="61">
        <v>0.0</v>
      </c>
      <c r="E143" s="61">
        <v>0.0</v>
      </c>
      <c r="F143" s="3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13" t="s">
        <v>143</v>
      </c>
      <c r="B144" s="61">
        <v>40000.0</v>
      </c>
      <c r="C144" s="61">
        <v>0.0</v>
      </c>
      <c r="D144" s="61">
        <v>0.0</v>
      </c>
      <c r="E144" s="61">
        <v>0.0</v>
      </c>
      <c r="F144" s="35"/>
      <c r="G144" s="2"/>
      <c r="H144" s="6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13" t="s">
        <v>144</v>
      </c>
      <c r="B145" s="55">
        <v>0.0</v>
      </c>
      <c r="C145" s="55">
        <v>0.0</v>
      </c>
      <c r="D145" s="55">
        <v>0.0</v>
      </c>
      <c r="E145" s="55">
        <v>0.0</v>
      </c>
      <c r="F145" s="3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13" t="s">
        <v>145</v>
      </c>
      <c r="B146" s="55">
        <v>0.0</v>
      </c>
      <c r="C146" s="55">
        <v>0.0</v>
      </c>
      <c r="D146" s="55">
        <v>0.0</v>
      </c>
      <c r="E146" s="55">
        <v>0.0</v>
      </c>
      <c r="F146" s="35"/>
      <c r="G146" s="2"/>
      <c r="H146" s="6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13" t="s">
        <v>146</v>
      </c>
      <c r="B147" s="55">
        <v>0.0</v>
      </c>
      <c r="C147" s="55">
        <v>0.0</v>
      </c>
      <c r="D147" s="55">
        <v>0.0</v>
      </c>
      <c r="E147" s="55">
        <v>0.0</v>
      </c>
      <c r="F147" s="35"/>
      <c r="G147" s="2"/>
      <c r="H147" s="62"/>
      <c r="I147" s="2"/>
      <c r="J147" s="2"/>
      <c r="K147" s="2"/>
      <c r="L147" s="2"/>
      <c r="M147" s="2"/>
      <c r="N147" s="2"/>
      <c r="O147" s="2"/>
      <c r="P147" s="2"/>
      <c r="Q147" s="3"/>
      <c r="R147" s="9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13" t="s">
        <v>147</v>
      </c>
      <c r="B148" s="61">
        <v>0.0</v>
      </c>
      <c r="C148" s="61">
        <v>0.0</v>
      </c>
      <c r="D148" s="61">
        <v>0.0</v>
      </c>
      <c r="E148" s="61">
        <v>0.0</v>
      </c>
      <c r="F148" s="35"/>
      <c r="G148" s="2"/>
      <c r="H148" s="62"/>
      <c r="I148" s="2"/>
      <c r="J148" s="2"/>
      <c r="K148" s="2"/>
      <c r="L148" s="2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13" t="s">
        <v>148</v>
      </c>
      <c r="B149" s="61">
        <v>0.0</v>
      </c>
      <c r="C149" s="61">
        <v>50000.0</v>
      </c>
      <c r="D149" s="61">
        <v>0.0</v>
      </c>
      <c r="E149" s="61">
        <v>0.0</v>
      </c>
      <c r="F149" s="35"/>
      <c r="G149" s="2"/>
      <c r="H149" s="62"/>
      <c r="I149" s="2"/>
      <c r="J149" s="2"/>
      <c r="K149" s="2"/>
      <c r="L149" s="2"/>
      <c r="M149" s="2"/>
      <c r="N149" s="2"/>
      <c r="O149" s="2"/>
      <c r="P149" s="2"/>
      <c r="Q149" s="3"/>
      <c r="R149" s="9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13" t="s">
        <v>149</v>
      </c>
      <c r="B150" s="56">
        <v>0.0</v>
      </c>
      <c r="C150" s="56">
        <v>50000.0</v>
      </c>
      <c r="D150" s="55">
        <v>0.0</v>
      </c>
      <c r="E150" s="55">
        <v>0.0</v>
      </c>
      <c r="F150" s="3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13" t="s">
        <v>150</v>
      </c>
      <c r="B151" s="56">
        <v>0.0</v>
      </c>
      <c r="C151" s="56">
        <v>0.0</v>
      </c>
      <c r="D151" s="55">
        <v>0.0</v>
      </c>
      <c r="E151" s="55">
        <v>0.0</v>
      </c>
      <c r="F151" s="35"/>
      <c r="G151" s="2"/>
      <c r="H151" s="6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13" t="s">
        <v>151</v>
      </c>
      <c r="B152" s="56">
        <v>0.0</v>
      </c>
      <c r="C152" s="56">
        <v>0.0</v>
      </c>
      <c r="D152" s="55">
        <v>0.0</v>
      </c>
      <c r="E152" s="55">
        <v>0.0</v>
      </c>
      <c r="F152" s="3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13" t="s">
        <v>152</v>
      </c>
      <c r="B153" s="56">
        <v>0.0</v>
      </c>
      <c r="C153" s="56">
        <v>0.0</v>
      </c>
      <c r="D153" s="55">
        <v>0.0</v>
      </c>
      <c r="E153" s="55">
        <v>0.0</v>
      </c>
      <c r="F153" s="3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9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13" t="s">
        <v>153</v>
      </c>
      <c r="B154" s="56">
        <v>0.0</v>
      </c>
      <c r="C154" s="56">
        <v>0.0</v>
      </c>
      <c r="D154" s="55">
        <v>0.0</v>
      </c>
      <c r="E154" s="55">
        <v>0.0</v>
      </c>
      <c r="F154" s="3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9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13" t="s">
        <v>154</v>
      </c>
      <c r="B155" s="56">
        <v>0.0</v>
      </c>
      <c r="C155" s="56">
        <v>0.0</v>
      </c>
      <c r="D155" s="55">
        <v>0.0</v>
      </c>
      <c r="E155" s="55">
        <v>0.0</v>
      </c>
      <c r="F155" s="3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13" t="s">
        <v>155</v>
      </c>
      <c r="B156" s="55">
        <v>20000.0</v>
      </c>
      <c r="C156" s="55">
        <v>0.0</v>
      </c>
      <c r="D156" s="55">
        <v>0.0</v>
      </c>
      <c r="E156" s="55">
        <v>0.0</v>
      </c>
      <c r="F156" s="3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13" t="s">
        <v>156</v>
      </c>
      <c r="B157" s="55">
        <v>0.0</v>
      </c>
      <c r="C157" s="55">
        <v>0.0</v>
      </c>
      <c r="D157" s="55">
        <v>12167.06</v>
      </c>
      <c r="E157" s="55">
        <v>0.0</v>
      </c>
      <c r="F157" s="3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13" t="s">
        <v>157</v>
      </c>
      <c r="B158" s="55">
        <v>0.0</v>
      </c>
      <c r="C158" s="55">
        <v>0.0</v>
      </c>
      <c r="D158" s="55">
        <v>0.0</v>
      </c>
      <c r="E158" s="55">
        <v>0.0</v>
      </c>
      <c r="F158" s="3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13" t="s">
        <v>158</v>
      </c>
      <c r="B159" s="56">
        <v>0.0</v>
      </c>
      <c r="C159" s="56">
        <v>0.0</v>
      </c>
      <c r="D159" s="55">
        <f>SUM(D129:D131)*2%</f>
        <v>22031.656</v>
      </c>
      <c r="E159" s="55">
        <v>0.0</v>
      </c>
      <c r="F159" s="3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13" t="s">
        <v>159</v>
      </c>
      <c r="B160" s="55">
        <v>0.0</v>
      </c>
      <c r="C160" s="55">
        <v>0.0</v>
      </c>
      <c r="D160" s="55">
        <v>0.0</v>
      </c>
      <c r="E160" s="55">
        <v>0.0</v>
      </c>
      <c r="F160" s="3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13" t="s">
        <v>160</v>
      </c>
      <c r="B161" s="55">
        <v>0.0</v>
      </c>
      <c r="C161" s="55">
        <v>0.0</v>
      </c>
      <c r="D161" s="55">
        <v>0.0</v>
      </c>
      <c r="E161" s="55">
        <v>0.0</v>
      </c>
      <c r="F161" s="3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13" t="s">
        <v>161</v>
      </c>
      <c r="B162" s="55">
        <v>0.0</v>
      </c>
      <c r="C162" s="55">
        <v>0.0</v>
      </c>
      <c r="D162" s="55">
        <v>0.0</v>
      </c>
      <c r="E162" s="55">
        <v>0.0</v>
      </c>
      <c r="F162" s="3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13" t="s">
        <v>162</v>
      </c>
      <c r="B163" s="55">
        <v>0.0</v>
      </c>
      <c r="C163" s="55">
        <v>0.0</v>
      </c>
      <c r="D163" s="55">
        <v>0.0</v>
      </c>
      <c r="E163" s="55">
        <v>0.0</v>
      </c>
      <c r="F163" s="3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63"/>
      <c r="B164" s="55"/>
      <c r="C164" s="55"/>
      <c r="D164" s="55"/>
      <c r="E164" s="55"/>
      <c r="F164" s="3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13" t="s">
        <v>163</v>
      </c>
      <c r="B165" s="56">
        <v>0.0</v>
      </c>
      <c r="C165" s="56">
        <f>SUM(C139:C162)*0.6%</f>
        <v>2970</v>
      </c>
      <c r="D165" s="56">
        <f>SUM(D139:D162)*0.6%+(D166*0.6%)</f>
        <v>5737.192296</v>
      </c>
      <c r="E165" s="56">
        <f>(E143*0.6%)+(E144*0.6%)+(E145*0.6%)+(E148*0.6%)+(E149*0.6%)</f>
        <v>0</v>
      </c>
      <c r="F165" s="3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13" t="s">
        <v>164</v>
      </c>
      <c r="B166" s="56">
        <v>0.0</v>
      </c>
      <c r="C166" s="56">
        <f t="shared" ref="C166:D166" si="18">272000+150000</f>
        <v>422000</v>
      </c>
      <c r="D166" s="56">
        <f t="shared" si="18"/>
        <v>422000</v>
      </c>
      <c r="E166" s="56">
        <f>SUM(E140:E164)*0.6%+(E167*0.6%)</f>
        <v>0</v>
      </c>
      <c r="F166" s="6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63"/>
      <c r="B167" s="63"/>
      <c r="C167" s="35"/>
      <c r="D167" s="2"/>
      <c r="E167" s="35"/>
      <c r="F167" s="3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65" t="s">
        <v>165</v>
      </c>
      <c r="B168" s="66">
        <f>SUM(B139:B167)</f>
        <v>70000</v>
      </c>
      <c r="C168" s="66">
        <f>SUM(C139:C165)</f>
        <v>497970</v>
      </c>
      <c r="D168" s="66">
        <f>SUM(D139:D166)</f>
        <v>961935.9083</v>
      </c>
      <c r="E168" s="66">
        <f>E150+E154+E165-E166</f>
        <v>0</v>
      </c>
      <c r="F168" s="67" t="str">
        <f>F143</f>
        <v/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63"/>
      <c r="B169" s="63"/>
      <c r="C169" s="35"/>
      <c r="D169" s="35"/>
      <c r="E169" s="35"/>
      <c r="F169" s="3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65" t="s">
        <v>166</v>
      </c>
      <c r="B170" s="68">
        <f>B136-B168</f>
        <v>2778150</v>
      </c>
      <c r="C170" s="69">
        <f>C136-C168+C166</f>
        <v>236114.49</v>
      </c>
      <c r="D170" s="69">
        <f t="shared" ref="D170:F170" si="19">D136-D168</f>
        <v>1401865.675</v>
      </c>
      <c r="E170" s="70">
        <f t="shared" si="19"/>
        <v>0</v>
      </c>
      <c r="F170" s="70">
        <f t="shared" si="19"/>
        <v>8500000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71" t="s">
        <v>167</v>
      </c>
      <c r="B172" s="72">
        <v>249800.0</v>
      </c>
      <c r="C172" s="52"/>
      <c r="D172" s="52"/>
      <c r="E172" s="52"/>
      <c r="F172" s="5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9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71" t="s">
        <v>168</v>
      </c>
      <c r="B173" s="72">
        <v>2528350.0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52" t="s">
        <v>13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52">
        <f>SUM(B172:B173)</f>
        <v>2778150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9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9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9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9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9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9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1"/>
      <c r="V215" s="3"/>
      <c r="W215" s="9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9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9"/>
      <c r="S223" s="3"/>
      <c r="T223" s="3"/>
      <c r="U223" s="1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9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9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9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9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3"/>
      <c r="T249" s="3"/>
      <c r="U249" s="9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9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9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9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9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9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9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9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3"/>
      <c r="T291" s="3"/>
      <c r="U291" s="9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9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9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9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5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5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5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5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5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5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5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5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5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5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5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5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5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5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5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5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9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5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5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52"/>
      <c r="R336" s="52"/>
      <c r="S336" s="3"/>
      <c r="T336" s="3"/>
      <c r="U336" s="9"/>
      <c r="V336" s="3"/>
      <c r="W336" s="3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9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9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5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5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5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5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5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5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5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3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2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2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9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9"/>
      <c r="T382" s="3"/>
      <c r="U382" s="2"/>
      <c r="V382" s="3"/>
      <c r="W382" s="3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9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9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9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2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9"/>
      <c r="T399" s="3"/>
      <c r="U399" s="2"/>
      <c r="V399" s="3"/>
      <c r="W399" s="3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9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9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9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2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9"/>
      <c r="T410" s="3"/>
      <c r="U410" s="2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9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2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3"/>
      <c r="T426" s="3"/>
      <c r="U426" s="9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9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9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2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3"/>
      <c r="T440" s="9"/>
      <c r="U440" s="2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3"/>
      <c r="R441" s="2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9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2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9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9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9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3"/>
      <c r="T452" s="9"/>
      <c r="U452" s="2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9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3"/>
      <c r="R455" s="2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2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9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2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3"/>
      <c r="R467" s="2"/>
      <c r="S467" s="2"/>
      <c r="T467" s="3"/>
      <c r="U467" s="2"/>
      <c r="V467" s="2"/>
      <c r="W467" s="2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3"/>
      <c r="T468" s="3"/>
      <c r="U468" s="3"/>
      <c r="V468" s="2"/>
      <c r="W468" s="2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44"/>
      <c r="R470" s="44"/>
      <c r="S470" s="44"/>
      <c r="T470" s="44"/>
      <c r="U470" s="44"/>
      <c r="V470" s="44"/>
      <c r="W470" s="44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3"/>
      <c r="T471" s="3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"/>
      <c r="R472" s="2"/>
      <c r="S472" s="3"/>
      <c r="T472" s="3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4"/>
      <c r="R474" s="75"/>
      <c r="S474" s="76"/>
      <c r="T474" s="76"/>
      <c r="U474" s="76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7"/>
      <c r="R475" s="77"/>
      <c r="S475" s="77"/>
      <c r="T475" s="77"/>
      <c r="U475" s="77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52"/>
      <c r="R476" s="52"/>
      <c r="S476" s="52"/>
      <c r="T476" s="5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52"/>
      <c r="R478" s="52"/>
      <c r="S478" s="52"/>
      <c r="T478" s="52"/>
      <c r="U478" s="5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52"/>
      <c r="R479" s="52"/>
      <c r="S479" s="52"/>
      <c r="T479" s="5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52"/>
      <c r="R480" s="52"/>
      <c r="S480" s="52"/>
      <c r="T480" s="5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52"/>
      <c r="R481" s="52"/>
      <c r="S481" s="52"/>
      <c r="T481" s="5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52"/>
      <c r="R482" s="52"/>
      <c r="S482" s="52"/>
      <c r="T482" s="5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8"/>
      <c r="R483" s="78"/>
      <c r="S483" s="78"/>
      <c r="T483" s="78"/>
      <c r="U483" s="79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"/>
      <c r="R484" s="2"/>
      <c r="S484" s="3"/>
      <c r="T484" s="3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62"/>
      <c r="R486" s="62"/>
      <c r="S486" s="62"/>
      <c r="T486" s="6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62"/>
      <c r="R487" s="62"/>
      <c r="S487" s="62"/>
      <c r="T487" s="6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62"/>
      <c r="R488" s="62"/>
      <c r="S488" s="62"/>
      <c r="T488" s="6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62"/>
      <c r="R489" s="62"/>
      <c r="S489" s="62"/>
      <c r="T489" s="6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62"/>
      <c r="R490" s="62"/>
      <c r="S490" s="62"/>
      <c r="T490" s="62"/>
      <c r="U490" s="2"/>
      <c r="V490" s="2"/>
      <c r="W490" s="6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62"/>
      <c r="R491" s="62"/>
      <c r="S491" s="62"/>
      <c r="T491" s="6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62"/>
      <c r="R492" s="62"/>
      <c r="S492" s="62"/>
      <c r="T492" s="62"/>
      <c r="U492" s="2"/>
      <c r="V492" s="2"/>
      <c r="W492" s="6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62"/>
      <c r="R493" s="62"/>
      <c r="S493" s="62"/>
      <c r="T493" s="62"/>
      <c r="U493" s="2"/>
      <c r="V493" s="2"/>
      <c r="W493" s="6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2"/>
      <c r="R494" s="52"/>
      <c r="S494" s="52"/>
      <c r="T494" s="5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52"/>
      <c r="R495" s="52"/>
      <c r="S495" s="52"/>
      <c r="T495" s="52"/>
      <c r="U495" s="2"/>
      <c r="V495" s="2"/>
      <c r="W495" s="6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52"/>
      <c r="R496" s="52"/>
      <c r="S496" s="52"/>
      <c r="T496" s="5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52"/>
      <c r="R497" s="52"/>
      <c r="S497" s="52"/>
      <c r="T497" s="5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52"/>
      <c r="R498" s="52"/>
      <c r="S498" s="52"/>
      <c r="T498" s="5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52"/>
      <c r="R499" s="52"/>
      <c r="S499" s="52"/>
      <c r="T499" s="5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52"/>
      <c r="R500" s="52"/>
      <c r="S500" s="52"/>
      <c r="T500" s="5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52"/>
      <c r="R501" s="52"/>
      <c r="S501" s="52"/>
      <c r="T501" s="5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52"/>
      <c r="R502" s="52"/>
      <c r="S502" s="52"/>
      <c r="T502" s="5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"/>
      <c r="R503" s="52"/>
      <c r="S503" s="52"/>
      <c r="T503" s="5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8"/>
      <c r="R505" s="78"/>
      <c r="S505" s="78"/>
      <c r="T505" s="78"/>
      <c r="U505" s="79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7"/>
      <c r="R507" s="78"/>
      <c r="S507" s="78"/>
      <c r="T507" s="80"/>
      <c r="U507" s="80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52"/>
      <c r="R509" s="52"/>
      <c r="S509" s="52"/>
      <c r="T509" s="52"/>
      <c r="U509" s="5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5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</sheetData>
  <mergeCells count="8">
    <mergeCell ref="I2:K2"/>
    <mergeCell ref="A120:B120"/>
    <mergeCell ref="U124:W124"/>
    <mergeCell ref="A125:A126"/>
    <mergeCell ref="A128:F128"/>
    <mergeCell ref="A138:F138"/>
    <mergeCell ref="U178:W178"/>
    <mergeCell ref="U213:W213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4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88" t="s">
        <v>0</v>
      </c>
      <c r="B2" s="5"/>
      <c r="C2" s="5"/>
      <c r="D2" s="6"/>
      <c r="E2" s="86" t="s">
        <v>294</v>
      </c>
      <c r="F2" s="82">
        <v>46065.0</v>
      </c>
      <c r="G2" s="8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11" t="s">
        <v>6</v>
      </c>
      <c r="D4" s="12" t="s">
        <v>7</v>
      </c>
      <c r="E4" s="10" t="s">
        <v>8</v>
      </c>
      <c r="F4" s="10" t="s">
        <v>9</v>
      </c>
      <c r="G4" s="3"/>
      <c r="H4" s="3"/>
      <c r="I4" s="10" t="s">
        <v>7</v>
      </c>
      <c r="J4" s="10" t="s">
        <v>8</v>
      </c>
      <c r="K4" s="10" t="s">
        <v>10</v>
      </c>
      <c r="L4" s="4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4.0</v>
      </c>
      <c r="B5" s="84" t="s">
        <v>18</v>
      </c>
      <c r="C5" s="85" t="s">
        <v>213</v>
      </c>
      <c r="D5" s="22">
        <v>42000.0</v>
      </c>
      <c r="E5" s="15">
        <f t="shared" ref="E5:E15" si="1">A5*D5</f>
        <v>168000</v>
      </c>
      <c r="F5" s="15">
        <f t="shared" ref="F5:F9" si="2">E5*1.105</f>
        <v>185640</v>
      </c>
      <c r="G5" s="3"/>
      <c r="H5" s="3"/>
      <c r="I5" s="87">
        <v>26000.0</v>
      </c>
      <c r="J5" s="15">
        <f t="shared" ref="J5:J15" si="3">I5*A5</f>
        <v>104000</v>
      </c>
      <c r="K5" s="15">
        <f t="shared" ref="K5:K15" si="4">F5-J5</f>
        <v>81640</v>
      </c>
      <c r="L5" s="4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5.0</v>
      </c>
      <c r="B6" s="84" t="s">
        <v>18</v>
      </c>
      <c r="C6" s="85" t="s">
        <v>295</v>
      </c>
      <c r="D6" s="22">
        <v>35000.0</v>
      </c>
      <c r="E6" s="15">
        <f t="shared" si="1"/>
        <v>175000</v>
      </c>
      <c r="F6" s="15">
        <f t="shared" si="2"/>
        <v>193375</v>
      </c>
      <c r="G6" s="3"/>
      <c r="H6" s="3"/>
      <c r="I6" s="87">
        <v>27000.0</v>
      </c>
      <c r="J6" s="15">
        <f t="shared" si="3"/>
        <v>135000</v>
      </c>
      <c r="K6" s="15">
        <f t="shared" si="4"/>
        <v>58375</v>
      </c>
      <c r="L6" s="4"/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5.0</v>
      </c>
      <c r="B7" s="84" t="s">
        <v>18</v>
      </c>
      <c r="C7" s="85" t="s">
        <v>201</v>
      </c>
      <c r="D7" s="22">
        <v>40000.0</v>
      </c>
      <c r="E7" s="15">
        <f t="shared" si="1"/>
        <v>200000</v>
      </c>
      <c r="F7" s="15">
        <f t="shared" si="2"/>
        <v>221000</v>
      </c>
      <c r="G7" s="3"/>
      <c r="H7" s="3"/>
      <c r="I7" s="87">
        <v>27000.0</v>
      </c>
      <c r="J7" s="15">
        <f t="shared" si="3"/>
        <v>135000</v>
      </c>
      <c r="K7" s="15">
        <f t="shared" si="4"/>
        <v>86000</v>
      </c>
      <c r="L7" s="4"/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4.0</v>
      </c>
      <c r="B8" s="84" t="s">
        <v>18</v>
      </c>
      <c r="C8" s="85" t="s">
        <v>214</v>
      </c>
      <c r="D8" s="22">
        <v>35000.0</v>
      </c>
      <c r="E8" s="15">
        <f t="shared" si="1"/>
        <v>140000</v>
      </c>
      <c r="F8" s="15">
        <f t="shared" si="2"/>
        <v>154700</v>
      </c>
      <c r="G8" s="3"/>
      <c r="H8" s="3"/>
      <c r="I8" s="87">
        <v>20000.0</v>
      </c>
      <c r="J8" s="15">
        <f t="shared" si="3"/>
        <v>80000</v>
      </c>
      <c r="K8" s="15">
        <f t="shared" si="4"/>
        <v>74700</v>
      </c>
      <c r="L8" s="4"/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3.0</v>
      </c>
      <c r="B9" s="84" t="s">
        <v>18</v>
      </c>
      <c r="C9" s="85" t="s">
        <v>30</v>
      </c>
      <c r="D9" s="22">
        <v>63000.0</v>
      </c>
      <c r="E9" s="15">
        <f t="shared" si="1"/>
        <v>189000</v>
      </c>
      <c r="F9" s="15">
        <f t="shared" si="2"/>
        <v>208845</v>
      </c>
      <c r="G9" s="3"/>
      <c r="H9" s="3"/>
      <c r="I9" s="87">
        <v>50000.0</v>
      </c>
      <c r="J9" s="15">
        <f t="shared" si="3"/>
        <v>150000</v>
      </c>
      <c r="K9" s="15">
        <f t="shared" si="4"/>
        <v>58845</v>
      </c>
      <c r="L9" s="4"/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18</v>
      </c>
      <c r="C10" s="85" t="s">
        <v>21</v>
      </c>
      <c r="D10" s="22">
        <v>56000.0</v>
      </c>
      <c r="E10" s="15">
        <f t="shared" si="1"/>
        <v>56000</v>
      </c>
      <c r="F10" s="15">
        <f t="shared" ref="F10:F11" si="5">E10*1.21</f>
        <v>67760</v>
      </c>
      <c r="G10" s="3"/>
      <c r="H10" s="3"/>
      <c r="I10" s="87">
        <v>50000.0</v>
      </c>
      <c r="J10" s="15">
        <f t="shared" si="3"/>
        <v>50000</v>
      </c>
      <c r="K10" s="15">
        <f t="shared" si="4"/>
        <v>17760</v>
      </c>
      <c r="L10" s="4"/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0.5</v>
      </c>
      <c r="B11" s="84" t="s">
        <v>18</v>
      </c>
      <c r="C11" s="85" t="s">
        <v>21</v>
      </c>
      <c r="D11" s="22">
        <v>56000.0</v>
      </c>
      <c r="E11" s="15">
        <f t="shared" si="1"/>
        <v>28000</v>
      </c>
      <c r="F11" s="15">
        <f t="shared" si="5"/>
        <v>33880</v>
      </c>
      <c r="G11" s="86" t="s">
        <v>38</v>
      </c>
      <c r="H11" s="3"/>
      <c r="I11" s="87">
        <v>0.0</v>
      </c>
      <c r="J11" s="15">
        <f t="shared" si="3"/>
        <v>0</v>
      </c>
      <c r="K11" s="15">
        <f t="shared" si="4"/>
        <v>33880</v>
      </c>
      <c r="L11" s="4"/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1.0</v>
      </c>
      <c r="B12" s="84" t="s">
        <v>18</v>
      </c>
      <c r="C12" s="85" t="s">
        <v>30</v>
      </c>
      <c r="D12" s="22">
        <v>63000.0</v>
      </c>
      <c r="E12" s="15">
        <f t="shared" si="1"/>
        <v>63000</v>
      </c>
      <c r="F12" s="15">
        <f t="shared" ref="F12:F15" si="6">E12*1.105</f>
        <v>69615</v>
      </c>
      <c r="G12" s="86" t="s">
        <v>38</v>
      </c>
      <c r="H12" s="3"/>
      <c r="I12" s="87">
        <v>0.0</v>
      </c>
      <c r="J12" s="15">
        <f t="shared" si="3"/>
        <v>0</v>
      </c>
      <c r="K12" s="15">
        <f t="shared" si="4"/>
        <v>69615</v>
      </c>
      <c r="L12" s="4"/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1.0</v>
      </c>
      <c r="B13" s="84" t="s">
        <v>18</v>
      </c>
      <c r="C13" s="85" t="s">
        <v>213</v>
      </c>
      <c r="D13" s="22">
        <v>42000.0</v>
      </c>
      <c r="E13" s="15">
        <f t="shared" si="1"/>
        <v>42000</v>
      </c>
      <c r="F13" s="15">
        <f t="shared" si="6"/>
        <v>46410</v>
      </c>
      <c r="G13" s="86" t="s">
        <v>38</v>
      </c>
      <c r="H13" s="86"/>
      <c r="I13" s="87">
        <v>0.0</v>
      </c>
      <c r="J13" s="15">
        <f t="shared" si="3"/>
        <v>0</v>
      </c>
      <c r="K13" s="15">
        <f t="shared" si="4"/>
        <v>46410</v>
      </c>
      <c r="L13" s="4"/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1.0</v>
      </c>
      <c r="B14" s="84" t="s">
        <v>18</v>
      </c>
      <c r="C14" s="85" t="s">
        <v>214</v>
      </c>
      <c r="D14" s="22">
        <v>35000.0</v>
      </c>
      <c r="E14" s="15">
        <f t="shared" si="1"/>
        <v>35000</v>
      </c>
      <c r="F14" s="15">
        <f t="shared" si="6"/>
        <v>38675</v>
      </c>
      <c r="G14" s="86" t="s">
        <v>38</v>
      </c>
      <c r="H14" s="86"/>
      <c r="I14" s="87">
        <v>0.0</v>
      </c>
      <c r="J14" s="15">
        <f t="shared" si="3"/>
        <v>0</v>
      </c>
      <c r="K14" s="15">
        <f t="shared" si="4"/>
        <v>38675</v>
      </c>
      <c r="L14" s="4"/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1.0</v>
      </c>
      <c r="B15" s="84" t="s">
        <v>18</v>
      </c>
      <c r="C15" s="85" t="s">
        <v>295</v>
      </c>
      <c r="D15" s="22">
        <v>35000.0</v>
      </c>
      <c r="E15" s="15">
        <f t="shared" si="1"/>
        <v>35000</v>
      </c>
      <c r="F15" s="15">
        <f t="shared" si="6"/>
        <v>38675</v>
      </c>
      <c r="G15" s="86" t="s">
        <v>38</v>
      </c>
      <c r="H15" s="3"/>
      <c r="I15" s="87">
        <v>0.0</v>
      </c>
      <c r="J15" s="15">
        <f t="shared" si="3"/>
        <v>0</v>
      </c>
      <c r="K15" s="15">
        <f t="shared" si="4"/>
        <v>38675</v>
      </c>
      <c r="L15" s="4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3"/>
      <c r="B16" s="12"/>
      <c r="C16" s="14"/>
      <c r="D16" s="15"/>
      <c r="E16" s="3"/>
      <c r="F16" s="3"/>
      <c r="G16" s="3"/>
      <c r="H16" s="3"/>
      <c r="I16" s="86"/>
      <c r="J16" s="3"/>
      <c r="K16" s="3"/>
      <c r="L16" s="4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3"/>
      <c r="B17" s="12"/>
      <c r="C17" s="14"/>
      <c r="D17" s="15"/>
      <c r="E17" s="15">
        <f t="shared" ref="E17:F17" si="7">SUM(E5:E15)</f>
        <v>1131000</v>
      </c>
      <c r="F17" s="15">
        <f t="shared" si="7"/>
        <v>1258575</v>
      </c>
      <c r="G17" s="3"/>
      <c r="H17" s="3"/>
      <c r="I17" s="3"/>
      <c r="J17" s="3"/>
      <c r="K17" s="15">
        <f>SUM(K5:K15)</f>
        <v>604575</v>
      </c>
      <c r="L17" s="23">
        <f>K17/F17</f>
        <v>0.4803646982</v>
      </c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24"/>
      <c r="B18" s="24"/>
      <c r="C18" s="24"/>
      <c r="D18" s="32"/>
      <c r="E18" s="7"/>
      <c r="F18" s="33"/>
      <c r="G18" s="25"/>
      <c r="H18" s="25"/>
      <c r="I18" s="16"/>
      <c r="J18" s="16"/>
      <c r="K18" s="16"/>
      <c r="L18" s="34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24"/>
      <c r="B19" s="24"/>
      <c r="C19" s="24"/>
      <c r="D19" s="32"/>
      <c r="E19" s="7"/>
      <c r="F19" s="33"/>
      <c r="G19" s="25"/>
      <c r="H19" s="25"/>
      <c r="I19" s="16"/>
      <c r="J19" s="16"/>
      <c r="K19" s="16"/>
      <c r="L19" s="34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24"/>
      <c r="B20" s="24"/>
      <c r="C20" s="24"/>
      <c r="D20" s="32"/>
      <c r="E20" s="82"/>
      <c r="F20" s="33"/>
      <c r="G20" s="25"/>
      <c r="H20" s="25"/>
      <c r="I20" s="16"/>
      <c r="J20" s="16"/>
      <c r="K20" s="16"/>
      <c r="L20" s="34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24"/>
      <c r="B21" s="24"/>
      <c r="C21" s="24"/>
      <c r="D21" s="32"/>
      <c r="E21" s="82"/>
      <c r="F21" s="33"/>
      <c r="G21" s="25"/>
      <c r="H21" s="25"/>
      <c r="I21" s="16"/>
      <c r="J21" s="16"/>
      <c r="K21" s="16"/>
      <c r="L21" s="34"/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9" t="s">
        <v>206</v>
      </c>
      <c r="B22" s="24"/>
      <c r="C22" s="24"/>
      <c r="D22" s="81" t="s">
        <v>296</v>
      </c>
      <c r="E22" s="82">
        <v>46065.0</v>
      </c>
      <c r="F22" s="33" t="s">
        <v>13</v>
      </c>
      <c r="G22" s="25"/>
      <c r="H22" s="25"/>
      <c r="I22" s="16"/>
      <c r="J22" s="16"/>
      <c r="K22" s="16"/>
      <c r="L22" s="34"/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B23" s="25"/>
      <c r="C23" s="35"/>
      <c r="D23" s="25"/>
      <c r="E23" s="25"/>
      <c r="F23" s="25"/>
      <c r="G23" s="25"/>
      <c r="H23" s="25"/>
      <c r="I23" s="16"/>
      <c r="J23" s="16"/>
      <c r="K23" s="16"/>
      <c r="L23" s="34"/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5" t="s">
        <v>4</v>
      </c>
      <c r="B24" s="10" t="s">
        <v>5</v>
      </c>
      <c r="C24" s="11" t="s">
        <v>6</v>
      </c>
      <c r="D24" s="12" t="s">
        <v>7</v>
      </c>
      <c r="E24" s="10" t="s">
        <v>8</v>
      </c>
      <c r="F24" s="12"/>
      <c r="G24" s="25"/>
      <c r="H24" s="25"/>
      <c r="I24" s="12" t="s">
        <v>7</v>
      </c>
      <c r="J24" s="12" t="s">
        <v>8</v>
      </c>
      <c r="K24" s="12" t="s">
        <v>10</v>
      </c>
      <c r="L24" s="34"/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83">
        <v>2.0</v>
      </c>
      <c r="B25" s="84" t="s">
        <v>38</v>
      </c>
      <c r="C25" s="85" t="s">
        <v>45</v>
      </c>
      <c r="D25" s="22">
        <v>13000.0</v>
      </c>
      <c r="E25" s="15">
        <f t="shared" ref="E25:E42" si="8">A25*D25</f>
        <v>26000</v>
      </c>
      <c r="F25" s="16"/>
      <c r="G25" s="25"/>
      <c r="H25" s="37"/>
      <c r="I25" s="87">
        <v>9000.0</v>
      </c>
      <c r="J25" s="16">
        <f t="shared" ref="J25:J42" si="9">I25*A25</f>
        <v>18000</v>
      </c>
      <c r="K25" s="16">
        <f t="shared" ref="K25:K42" si="10">E25-J25</f>
        <v>8000</v>
      </c>
      <c r="L25" s="100" t="s">
        <v>13</v>
      </c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>
        <v>4.0</v>
      </c>
      <c r="B26" s="84" t="s">
        <v>38</v>
      </c>
      <c r="C26" s="85" t="s">
        <v>46</v>
      </c>
      <c r="D26" s="22">
        <v>21000.0</v>
      </c>
      <c r="E26" s="15">
        <f t="shared" si="8"/>
        <v>84000</v>
      </c>
      <c r="F26" s="16"/>
      <c r="G26" s="25"/>
      <c r="H26" s="37"/>
      <c r="I26" s="87">
        <v>18000.0</v>
      </c>
      <c r="J26" s="16">
        <f t="shared" si="9"/>
        <v>72000</v>
      </c>
      <c r="K26" s="16">
        <f t="shared" si="10"/>
        <v>12000</v>
      </c>
      <c r="L26" s="100" t="s">
        <v>13</v>
      </c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3">
        <v>1.0</v>
      </c>
      <c r="B27" s="84" t="s">
        <v>208</v>
      </c>
      <c r="C27" s="85" t="s">
        <v>202</v>
      </c>
      <c r="D27" s="22">
        <v>12500.0</v>
      </c>
      <c r="E27" s="15">
        <f t="shared" si="8"/>
        <v>12500</v>
      </c>
      <c r="F27" s="16"/>
      <c r="G27" s="25"/>
      <c r="H27" s="37"/>
      <c r="I27" s="87">
        <f>1500*5</f>
        <v>7500</v>
      </c>
      <c r="J27" s="16">
        <f t="shared" si="9"/>
        <v>7500</v>
      </c>
      <c r="K27" s="16">
        <f t="shared" si="10"/>
        <v>5000</v>
      </c>
      <c r="L27" s="100" t="s">
        <v>13</v>
      </c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83">
        <v>1.0</v>
      </c>
      <c r="B28" s="84" t="s">
        <v>29</v>
      </c>
      <c r="C28" s="85" t="s">
        <v>297</v>
      </c>
      <c r="D28" s="22">
        <f>64000+8000</f>
        <v>72000</v>
      </c>
      <c r="E28" s="15">
        <f t="shared" si="8"/>
        <v>72000</v>
      </c>
      <c r="F28" s="16"/>
      <c r="G28" s="25"/>
      <c r="H28" s="37"/>
      <c r="I28" s="87">
        <v>64000.0</v>
      </c>
      <c r="J28" s="16">
        <f t="shared" si="9"/>
        <v>64000</v>
      </c>
      <c r="K28" s="16">
        <f t="shared" si="10"/>
        <v>8000</v>
      </c>
      <c r="L28" s="100" t="s">
        <v>13</v>
      </c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83">
        <v>1.0</v>
      </c>
      <c r="B29" s="84" t="s">
        <v>29</v>
      </c>
      <c r="C29" s="85" t="s">
        <v>298</v>
      </c>
      <c r="D29" s="22">
        <v>75000.0</v>
      </c>
      <c r="E29" s="15">
        <f t="shared" si="8"/>
        <v>75000</v>
      </c>
      <c r="F29" s="16"/>
      <c r="G29" s="25"/>
      <c r="H29" s="37"/>
      <c r="I29" s="87">
        <v>63000.0</v>
      </c>
      <c r="J29" s="16">
        <f t="shared" si="9"/>
        <v>63000</v>
      </c>
      <c r="K29" s="16">
        <f t="shared" si="10"/>
        <v>12000</v>
      </c>
      <c r="L29" s="100" t="s">
        <v>13</v>
      </c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83">
        <v>4.0</v>
      </c>
      <c r="B30" s="84" t="s">
        <v>29</v>
      </c>
      <c r="C30" s="85" t="s">
        <v>72</v>
      </c>
      <c r="D30" s="22">
        <v>30000.0</v>
      </c>
      <c r="E30" s="15">
        <f t="shared" si="8"/>
        <v>120000</v>
      </c>
      <c r="F30" s="16"/>
      <c r="G30" s="25"/>
      <c r="H30" s="37"/>
      <c r="I30" s="87">
        <v>25000.0</v>
      </c>
      <c r="J30" s="16">
        <f t="shared" si="9"/>
        <v>100000</v>
      </c>
      <c r="K30" s="16">
        <f t="shared" si="10"/>
        <v>20000</v>
      </c>
      <c r="L30" s="100" t="s">
        <v>13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>
        <v>4.0</v>
      </c>
      <c r="B31" s="84" t="s">
        <v>18</v>
      </c>
      <c r="C31" s="85" t="s">
        <v>32</v>
      </c>
      <c r="D31" s="22">
        <v>20000.0</v>
      </c>
      <c r="E31" s="15">
        <f t="shared" si="8"/>
        <v>80000</v>
      </c>
      <c r="F31" s="16"/>
      <c r="G31" s="25"/>
      <c r="H31" s="37"/>
      <c r="I31" s="87">
        <v>17000.0</v>
      </c>
      <c r="J31" s="16">
        <f t="shared" si="9"/>
        <v>68000</v>
      </c>
      <c r="K31" s="16">
        <f t="shared" si="10"/>
        <v>12000</v>
      </c>
      <c r="L31" s="100" t="s">
        <v>13</v>
      </c>
      <c r="M31" s="2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2.0</v>
      </c>
      <c r="B32" s="84" t="s">
        <v>38</v>
      </c>
      <c r="C32" s="85" t="s">
        <v>117</v>
      </c>
      <c r="D32" s="22">
        <v>27000.0</v>
      </c>
      <c r="E32" s="15">
        <f t="shared" si="8"/>
        <v>54000</v>
      </c>
      <c r="F32" s="16"/>
      <c r="G32" s="25"/>
      <c r="H32" s="37"/>
      <c r="I32" s="87">
        <v>22000.0</v>
      </c>
      <c r="J32" s="16">
        <f t="shared" si="9"/>
        <v>44000</v>
      </c>
      <c r="K32" s="16">
        <f t="shared" si="10"/>
        <v>10000</v>
      </c>
      <c r="L32" s="100" t="s">
        <v>13</v>
      </c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83">
        <v>1.0</v>
      </c>
      <c r="B33" s="84" t="s">
        <v>18</v>
      </c>
      <c r="C33" s="85" t="s">
        <v>19</v>
      </c>
      <c r="D33" s="22">
        <v>20000.0</v>
      </c>
      <c r="E33" s="15">
        <f t="shared" si="8"/>
        <v>20000</v>
      </c>
      <c r="F33" s="16"/>
      <c r="G33" s="25"/>
      <c r="H33" s="37"/>
      <c r="I33" s="87">
        <v>16000.0</v>
      </c>
      <c r="J33" s="16">
        <f t="shared" si="9"/>
        <v>16000</v>
      </c>
      <c r="K33" s="16">
        <f t="shared" si="10"/>
        <v>4000</v>
      </c>
      <c r="L33" s="100" t="s">
        <v>13</v>
      </c>
      <c r="M33" s="2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83">
        <v>1.0</v>
      </c>
      <c r="B34" s="84" t="s">
        <v>18</v>
      </c>
      <c r="C34" s="85" t="s">
        <v>24</v>
      </c>
      <c r="D34" s="22">
        <v>32000.0</v>
      </c>
      <c r="E34" s="15">
        <f t="shared" si="8"/>
        <v>32000</v>
      </c>
      <c r="F34" s="16"/>
      <c r="G34" s="25"/>
      <c r="H34" s="37"/>
      <c r="I34" s="87">
        <v>25000.0</v>
      </c>
      <c r="J34" s="16">
        <f t="shared" si="9"/>
        <v>25000</v>
      </c>
      <c r="K34" s="16">
        <f t="shared" si="10"/>
        <v>7000</v>
      </c>
      <c r="L34" s="100" t="s">
        <v>13</v>
      </c>
      <c r="M34" s="2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83">
        <v>6.0</v>
      </c>
      <c r="B35" s="84" t="s">
        <v>50</v>
      </c>
      <c r="C35" s="85" t="s">
        <v>17</v>
      </c>
      <c r="D35" s="22">
        <v>5000.0</v>
      </c>
      <c r="E35" s="15">
        <f t="shared" si="8"/>
        <v>30000</v>
      </c>
      <c r="F35" s="16"/>
      <c r="G35" s="25"/>
      <c r="H35" s="37"/>
      <c r="I35" s="87">
        <v>4000.0</v>
      </c>
      <c r="J35" s="16">
        <f t="shared" si="9"/>
        <v>24000</v>
      </c>
      <c r="K35" s="16">
        <f t="shared" si="10"/>
        <v>6000</v>
      </c>
      <c r="L35" s="100" t="s">
        <v>13</v>
      </c>
      <c r="M35" s="2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3">
        <v>2.0</v>
      </c>
      <c r="B36" s="84" t="s">
        <v>50</v>
      </c>
      <c r="C36" s="85" t="s">
        <v>68</v>
      </c>
      <c r="D36" s="22">
        <v>3500.0</v>
      </c>
      <c r="E36" s="15">
        <f t="shared" si="8"/>
        <v>7000</v>
      </c>
      <c r="F36" s="16"/>
      <c r="G36" s="25"/>
      <c r="H36" s="37"/>
      <c r="I36" s="87">
        <v>2000.0</v>
      </c>
      <c r="J36" s="16">
        <f t="shared" si="9"/>
        <v>4000</v>
      </c>
      <c r="K36" s="16">
        <f t="shared" si="10"/>
        <v>3000</v>
      </c>
      <c r="L36" s="100" t="s">
        <v>13</v>
      </c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>
        <v>2.0</v>
      </c>
      <c r="B37" s="84" t="s">
        <v>38</v>
      </c>
      <c r="C37" s="85" t="s">
        <v>67</v>
      </c>
      <c r="D37" s="22">
        <v>13000.0</v>
      </c>
      <c r="E37" s="15">
        <f t="shared" si="8"/>
        <v>26000</v>
      </c>
      <c r="F37" s="16"/>
      <c r="G37" s="25"/>
      <c r="H37" s="37"/>
      <c r="I37" s="87">
        <v>9000.0</v>
      </c>
      <c r="J37" s="16">
        <f t="shared" si="9"/>
        <v>18000</v>
      </c>
      <c r="K37" s="16">
        <f t="shared" si="10"/>
        <v>8000</v>
      </c>
      <c r="L37" s="100" t="s">
        <v>13</v>
      </c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1.0</v>
      </c>
      <c r="B38" s="84" t="s">
        <v>38</v>
      </c>
      <c r="C38" s="85" t="s">
        <v>180</v>
      </c>
      <c r="D38" s="22">
        <v>13000.0</v>
      </c>
      <c r="E38" s="15">
        <f t="shared" si="8"/>
        <v>13000</v>
      </c>
      <c r="F38" s="16"/>
      <c r="G38" s="25"/>
      <c r="H38" s="37"/>
      <c r="I38" s="87">
        <v>10000.0</v>
      </c>
      <c r="J38" s="16">
        <f t="shared" si="9"/>
        <v>10000</v>
      </c>
      <c r="K38" s="16">
        <f t="shared" si="10"/>
        <v>3000</v>
      </c>
      <c r="L38" s="100" t="s">
        <v>13</v>
      </c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3.0</v>
      </c>
      <c r="B39" s="84" t="s">
        <v>50</v>
      </c>
      <c r="C39" s="85" t="s">
        <v>205</v>
      </c>
      <c r="D39" s="22">
        <v>3000.0</v>
      </c>
      <c r="E39" s="15">
        <f t="shared" si="8"/>
        <v>9000</v>
      </c>
      <c r="F39" s="16"/>
      <c r="G39" s="25"/>
      <c r="H39" s="37"/>
      <c r="I39" s="87">
        <v>2000.0</v>
      </c>
      <c r="J39" s="16">
        <f t="shared" si="9"/>
        <v>6000</v>
      </c>
      <c r="K39" s="16">
        <f t="shared" si="10"/>
        <v>3000</v>
      </c>
      <c r="L39" s="100" t="s">
        <v>13</v>
      </c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2.0</v>
      </c>
      <c r="B40" s="84" t="s">
        <v>50</v>
      </c>
      <c r="C40" s="85" t="s">
        <v>172</v>
      </c>
      <c r="D40" s="22">
        <v>3500.0</v>
      </c>
      <c r="E40" s="15">
        <f t="shared" si="8"/>
        <v>7000</v>
      </c>
      <c r="F40" s="16"/>
      <c r="G40" s="25"/>
      <c r="H40" s="37"/>
      <c r="I40" s="87">
        <v>2500.0</v>
      </c>
      <c r="J40" s="16">
        <f t="shared" si="9"/>
        <v>5000</v>
      </c>
      <c r="K40" s="16">
        <f t="shared" si="10"/>
        <v>2000</v>
      </c>
      <c r="L40" s="100" t="s">
        <v>13</v>
      </c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1.0</v>
      </c>
      <c r="B41" s="84" t="s">
        <v>50</v>
      </c>
      <c r="C41" s="85" t="s">
        <v>89</v>
      </c>
      <c r="D41" s="22">
        <v>5500.0</v>
      </c>
      <c r="E41" s="15">
        <f t="shared" si="8"/>
        <v>5500</v>
      </c>
      <c r="F41" s="16"/>
      <c r="G41" s="25"/>
      <c r="H41" s="37"/>
      <c r="I41" s="87">
        <v>0.0</v>
      </c>
      <c r="J41" s="16">
        <f t="shared" si="9"/>
        <v>0</v>
      </c>
      <c r="K41" s="16">
        <f t="shared" si="10"/>
        <v>5500</v>
      </c>
      <c r="L41" s="100" t="s">
        <v>13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4.0</v>
      </c>
      <c r="B42" s="84" t="s">
        <v>5</v>
      </c>
      <c r="C42" s="85" t="s">
        <v>118</v>
      </c>
      <c r="D42" s="22">
        <v>2200.0</v>
      </c>
      <c r="E42" s="15">
        <f t="shared" si="8"/>
        <v>8800</v>
      </c>
      <c r="F42" s="16"/>
      <c r="G42" s="25"/>
      <c r="H42" s="37"/>
      <c r="I42" s="87">
        <v>2000.0</v>
      </c>
      <c r="J42" s="16">
        <f t="shared" si="9"/>
        <v>8000</v>
      </c>
      <c r="K42" s="16">
        <f t="shared" si="10"/>
        <v>800</v>
      </c>
      <c r="L42" s="100" t="s">
        <v>13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3"/>
      <c r="B43" s="12"/>
      <c r="C43" s="14"/>
      <c r="D43" s="15"/>
      <c r="E43" s="16"/>
      <c r="F43" s="16"/>
      <c r="H43" s="25"/>
      <c r="I43" s="16"/>
      <c r="J43" s="16"/>
      <c r="K43" s="16"/>
      <c r="L43" s="36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3"/>
      <c r="B44" s="12"/>
      <c r="C44" s="14"/>
      <c r="D44" s="15"/>
      <c r="E44" s="16">
        <f>SUM(E25:E43)</f>
        <v>681800</v>
      </c>
      <c r="F44" s="16"/>
      <c r="G44" s="25"/>
      <c r="H44" s="25"/>
      <c r="I44" s="16"/>
      <c r="J44" s="16"/>
      <c r="K44" s="16">
        <f>SUM(K25:K42)</f>
        <v>129300</v>
      </c>
      <c r="L44" s="36">
        <f>K44/E44</f>
        <v>0.1896450572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24"/>
      <c r="B45" s="24"/>
      <c r="C45" s="24"/>
      <c r="D45" s="32"/>
      <c r="E45" s="82"/>
      <c r="F45" s="33"/>
      <c r="G45" s="25"/>
      <c r="H45" s="25"/>
      <c r="I45" s="16"/>
      <c r="J45" s="16"/>
      <c r="K45" s="16"/>
      <c r="L45" s="3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24"/>
      <c r="B46" s="24"/>
      <c r="C46" s="24"/>
      <c r="D46" s="32"/>
      <c r="E46" s="82"/>
      <c r="F46" s="33"/>
      <c r="G46" s="25"/>
      <c r="H46" s="25"/>
      <c r="I46" s="16"/>
      <c r="J46" s="16"/>
      <c r="K46" s="16"/>
      <c r="L46" s="34"/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8" t="s">
        <v>100</v>
      </c>
      <c r="B47" s="1"/>
      <c r="C47" s="1"/>
      <c r="D47" s="22" t="s">
        <v>198</v>
      </c>
      <c r="E47" s="82">
        <v>46064.0</v>
      </c>
      <c r="F47" s="3"/>
      <c r="G47" s="3"/>
      <c r="H47" s="3"/>
      <c r="I47" s="3"/>
      <c r="J47" s="3"/>
      <c r="K47" s="3"/>
      <c r="L47" s="4"/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1"/>
      <c r="B48" s="3"/>
      <c r="C48" s="2"/>
      <c r="D48" s="3"/>
      <c r="E48" s="3"/>
      <c r="F48" s="3"/>
      <c r="G48" s="3"/>
      <c r="H48" s="3"/>
      <c r="I48" s="3"/>
      <c r="J48" s="3"/>
      <c r="K48" s="3"/>
      <c r="L48" s="4"/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5" t="s">
        <v>4</v>
      </c>
      <c r="B49" s="10" t="s">
        <v>5</v>
      </c>
      <c r="C49" s="11" t="s">
        <v>6</v>
      </c>
      <c r="D49" s="10" t="s">
        <v>7</v>
      </c>
      <c r="E49" s="10" t="s">
        <v>8</v>
      </c>
      <c r="F49" s="3"/>
      <c r="G49" s="3"/>
      <c r="H49" s="3"/>
      <c r="I49" s="10" t="s">
        <v>7</v>
      </c>
      <c r="J49" s="10" t="s">
        <v>8</v>
      </c>
      <c r="K49" s="10" t="s">
        <v>10</v>
      </c>
      <c r="L49" s="4"/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91">
        <v>2.0</v>
      </c>
      <c r="B50" s="92" t="s">
        <v>50</v>
      </c>
      <c r="C50" s="93" t="s">
        <v>103</v>
      </c>
      <c r="D50" s="22">
        <v>1500.0</v>
      </c>
      <c r="E50" s="15">
        <f t="shared" ref="E50:E62" si="11">A50*D50</f>
        <v>3000</v>
      </c>
      <c r="F50" s="3"/>
      <c r="G50" s="3"/>
      <c r="H50" s="3"/>
      <c r="I50" s="22">
        <v>1200.0</v>
      </c>
      <c r="J50" s="15">
        <f t="shared" ref="J50:J62" si="12">I50*A50</f>
        <v>2400</v>
      </c>
      <c r="K50" s="15">
        <f t="shared" ref="K50:K62" si="13">E50-J50</f>
        <v>600</v>
      </c>
      <c r="L50" s="4"/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91">
        <v>4.0</v>
      </c>
      <c r="B51" s="92" t="s">
        <v>5</v>
      </c>
      <c r="C51" s="93" t="s">
        <v>87</v>
      </c>
      <c r="D51" s="22">
        <v>1300.0</v>
      </c>
      <c r="E51" s="15">
        <f t="shared" si="11"/>
        <v>5200</v>
      </c>
      <c r="F51" s="3"/>
      <c r="G51" s="3"/>
      <c r="H51" s="3"/>
      <c r="I51" s="22">
        <v>914.0</v>
      </c>
      <c r="J51" s="15">
        <f t="shared" si="12"/>
        <v>3656</v>
      </c>
      <c r="K51" s="15">
        <f t="shared" si="13"/>
        <v>1544</v>
      </c>
      <c r="L51" s="4"/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91">
        <v>3.0</v>
      </c>
      <c r="B52" s="92" t="s">
        <v>33</v>
      </c>
      <c r="C52" s="93" t="s">
        <v>299</v>
      </c>
      <c r="D52" s="22">
        <v>1500.0</v>
      </c>
      <c r="E52" s="15">
        <f t="shared" si="11"/>
        <v>4500</v>
      </c>
      <c r="F52" s="3"/>
      <c r="G52" s="3"/>
      <c r="H52" s="3"/>
      <c r="I52" s="22">
        <v>722.0</v>
      </c>
      <c r="J52" s="15">
        <f t="shared" si="12"/>
        <v>2166</v>
      </c>
      <c r="K52" s="15">
        <f t="shared" si="13"/>
        <v>2334</v>
      </c>
      <c r="L52" s="4"/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91">
        <v>1.0</v>
      </c>
      <c r="B53" s="92" t="s">
        <v>18</v>
      </c>
      <c r="C53" s="93" t="s">
        <v>65</v>
      </c>
      <c r="D53" s="22">
        <v>10000.0</v>
      </c>
      <c r="E53" s="15">
        <f t="shared" si="11"/>
        <v>10000</v>
      </c>
      <c r="F53" s="3"/>
      <c r="G53" s="3"/>
      <c r="H53" s="3"/>
      <c r="I53" s="22">
        <v>5000.0</v>
      </c>
      <c r="J53" s="15">
        <f t="shared" si="12"/>
        <v>5000</v>
      </c>
      <c r="K53" s="15">
        <f t="shared" si="13"/>
        <v>5000</v>
      </c>
      <c r="L53" s="4"/>
      <c r="M53" s="2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91">
        <v>1.0</v>
      </c>
      <c r="B54" s="92" t="s">
        <v>33</v>
      </c>
      <c r="C54" s="93" t="s">
        <v>47</v>
      </c>
      <c r="D54" s="22">
        <v>1500.0</v>
      </c>
      <c r="E54" s="15">
        <f t="shared" si="11"/>
        <v>1500</v>
      </c>
      <c r="F54" s="3"/>
      <c r="G54" s="3"/>
      <c r="H54" s="3"/>
      <c r="I54" s="22">
        <f>9000/9</f>
        <v>1000</v>
      </c>
      <c r="J54" s="15">
        <f t="shared" si="12"/>
        <v>1000</v>
      </c>
      <c r="K54" s="15">
        <f t="shared" si="13"/>
        <v>500</v>
      </c>
      <c r="L54" s="4"/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91">
        <v>0.5</v>
      </c>
      <c r="B55" s="92" t="s">
        <v>33</v>
      </c>
      <c r="C55" s="93" t="s">
        <v>31</v>
      </c>
      <c r="D55" s="22">
        <v>3000.0</v>
      </c>
      <c r="E55" s="15">
        <f t="shared" si="11"/>
        <v>1500</v>
      </c>
      <c r="F55" s="3"/>
      <c r="G55" s="3"/>
      <c r="H55" s="86" t="s">
        <v>274</v>
      </c>
      <c r="I55" s="22">
        <v>0.0</v>
      </c>
      <c r="J55" s="15">
        <f t="shared" si="12"/>
        <v>0</v>
      </c>
      <c r="K55" s="15">
        <f t="shared" si="13"/>
        <v>1500</v>
      </c>
      <c r="L55" s="4"/>
      <c r="M55" s="2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91">
        <v>0.5</v>
      </c>
      <c r="B56" s="92" t="s">
        <v>33</v>
      </c>
      <c r="C56" s="93" t="s">
        <v>39</v>
      </c>
      <c r="D56" s="22">
        <v>1200.0</v>
      </c>
      <c r="E56" s="15">
        <f t="shared" si="11"/>
        <v>600</v>
      </c>
      <c r="F56" s="3"/>
      <c r="G56" s="3"/>
      <c r="H56" s="86" t="s">
        <v>274</v>
      </c>
      <c r="I56" s="22">
        <v>0.0</v>
      </c>
      <c r="J56" s="15">
        <f t="shared" si="12"/>
        <v>0</v>
      </c>
      <c r="K56" s="15">
        <f t="shared" si="13"/>
        <v>600</v>
      </c>
      <c r="L56" s="4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91">
        <v>0.5</v>
      </c>
      <c r="B57" s="92" t="s">
        <v>33</v>
      </c>
      <c r="C57" s="93" t="s">
        <v>211</v>
      </c>
      <c r="D57" s="22">
        <v>3500.0</v>
      </c>
      <c r="E57" s="15">
        <f t="shared" si="11"/>
        <v>1750</v>
      </c>
      <c r="F57" s="3"/>
      <c r="G57" s="3"/>
      <c r="H57" s="3"/>
      <c r="I57" s="22">
        <f>50000/17</f>
        <v>2941.176471</v>
      </c>
      <c r="J57" s="15">
        <f t="shared" si="12"/>
        <v>1470.588235</v>
      </c>
      <c r="K57" s="15">
        <f t="shared" si="13"/>
        <v>279.4117647</v>
      </c>
      <c r="L57" s="4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91">
        <v>1.0</v>
      </c>
      <c r="B58" s="92" t="s">
        <v>33</v>
      </c>
      <c r="C58" s="93" t="s">
        <v>57</v>
      </c>
      <c r="D58" s="22">
        <v>7500.0</v>
      </c>
      <c r="E58" s="15">
        <f t="shared" si="11"/>
        <v>7500</v>
      </c>
      <c r="F58" s="3"/>
      <c r="G58" s="3"/>
      <c r="H58" s="3"/>
      <c r="I58" s="22">
        <v>6000.0</v>
      </c>
      <c r="J58" s="15">
        <f t="shared" si="12"/>
        <v>6000</v>
      </c>
      <c r="K58" s="15">
        <f t="shared" si="13"/>
        <v>1500</v>
      </c>
      <c r="L58" s="4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91">
        <v>0.5</v>
      </c>
      <c r="B59" s="92" t="s">
        <v>33</v>
      </c>
      <c r="C59" s="93" t="s">
        <v>201</v>
      </c>
      <c r="D59" s="22">
        <v>3500.0</v>
      </c>
      <c r="E59" s="15">
        <f t="shared" si="11"/>
        <v>1750</v>
      </c>
      <c r="F59" s="3"/>
      <c r="G59" s="3"/>
      <c r="H59" s="86" t="s">
        <v>274</v>
      </c>
      <c r="I59" s="22">
        <v>0.0</v>
      </c>
      <c r="J59" s="15">
        <f t="shared" si="12"/>
        <v>0</v>
      </c>
      <c r="K59" s="15">
        <f t="shared" si="13"/>
        <v>1750</v>
      </c>
      <c r="L59" s="4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91">
        <v>0.5</v>
      </c>
      <c r="B60" s="92" t="s">
        <v>33</v>
      </c>
      <c r="C60" s="93" t="s">
        <v>53</v>
      </c>
      <c r="D60" s="22">
        <v>11000.0</v>
      </c>
      <c r="E60" s="15">
        <f t="shared" si="11"/>
        <v>5500</v>
      </c>
      <c r="F60" s="3"/>
      <c r="G60" s="3"/>
      <c r="H60" s="3"/>
      <c r="I60" s="22">
        <v>7500.0</v>
      </c>
      <c r="J60" s="15">
        <f t="shared" si="12"/>
        <v>3750</v>
      </c>
      <c r="K60" s="15">
        <f t="shared" si="13"/>
        <v>1750</v>
      </c>
      <c r="L60" s="4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91">
        <v>3.0</v>
      </c>
      <c r="B61" s="92" t="s">
        <v>84</v>
      </c>
      <c r="C61" s="93" t="s">
        <v>200</v>
      </c>
      <c r="D61" s="22">
        <v>2500.0</v>
      </c>
      <c r="E61" s="15">
        <f t="shared" si="11"/>
        <v>7500</v>
      </c>
      <c r="F61" s="3"/>
      <c r="G61" s="3"/>
      <c r="H61" s="3"/>
      <c r="I61" s="22">
        <f>20000/12</f>
        <v>1666.666667</v>
      </c>
      <c r="J61" s="15">
        <f t="shared" si="12"/>
        <v>5000</v>
      </c>
      <c r="K61" s="15">
        <f t="shared" si="13"/>
        <v>2500</v>
      </c>
      <c r="L61" s="4"/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91">
        <v>0.5</v>
      </c>
      <c r="B62" s="92" t="s">
        <v>33</v>
      </c>
      <c r="C62" s="93" t="s">
        <v>221</v>
      </c>
      <c r="D62" s="22">
        <v>3500.0</v>
      </c>
      <c r="E62" s="15">
        <f t="shared" si="11"/>
        <v>1750</v>
      </c>
      <c r="F62" s="3"/>
      <c r="G62" s="3"/>
      <c r="H62" s="3"/>
      <c r="I62" s="22">
        <v>3000.0</v>
      </c>
      <c r="J62" s="15">
        <f t="shared" si="12"/>
        <v>1500</v>
      </c>
      <c r="K62" s="15">
        <f t="shared" si="13"/>
        <v>250</v>
      </c>
      <c r="L62" s="4"/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1"/>
      <c r="B63" s="3"/>
      <c r="C63" s="2"/>
      <c r="D63" s="3"/>
      <c r="E63" s="3"/>
      <c r="F63" s="3"/>
      <c r="G63" s="2"/>
      <c r="H63" s="3"/>
      <c r="I63" s="3"/>
      <c r="J63" s="3"/>
      <c r="K63" s="3"/>
      <c r="L63" s="4"/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1"/>
      <c r="B64" s="3"/>
      <c r="C64" s="2"/>
      <c r="D64" s="3"/>
      <c r="E64" s="15">
        <f>SUM(E50:E62)</f>
        <v>52050</v>
      </c>
      <c r="F64" s="3"/>
      <c r="G64" s="3"/>
      <c r="H64" s="3"/>
      <c r="I64" s="3"/>
      <c r="J64" s="3"/>
      <c r="K64" s="15">
        <f>SUM(K50:K62)</f>
        <v>20107.41176</v>
      </c>
      <c r="L64" s="23">
        <f>K64/E64</f>
        <v>0.386309544</v>
      </c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30"/>
      <c r="B65" s="31"/>
      <c r="C65" s="2"/>
      <c r="D65" s="3"/>
      <c r="E65" s="3"/>
      <c r="F65" s="3"/>
      <c r="G65" s="2"/>
      <c r="H65" s="2"/>
      <c r="I65" s="2"/>
      <c r="J65" s="2"/>
      <c r="K65" s="3"/>
      <c r="L65" s="4"/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88" t="s">
        <v>300</v>
      </c>
      <c r="B66" s="1"/>
      <c r="C66" s="1"/>
      <c r="D66" s="22" t="s">
        <v>265</v>
      </c>
      <c r="E66" s="82">
        <v>46065.0</v>
      </c>
      <c r="F66" s="3"/>
      <c r="G66" s="3"/>
      <c r="H66" s="3"/>
      <c r="I66" s="3"/>
      <c r="J66" s="3"/>
      <c r="K66" s="3"/>
      <c r="L66" s="4"/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"/>
      <c r="B67" s="3"/>
      <c r="C67" s="2"/>
      <c r="D67" s="3"/>
      <c r="E67" s="3"/>
      <c r="F67" s="3"/>
      <c r="G67" s="3"/>
      <c r="H67" s="3"/>
      <c r="I67" s="3"/>
      <c r="J67" s="3"/>
      <c r="K67" s="3"/>
      <c r="L67" s="4"/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5" t="s">
        <v>4</v>
      </c>
      <c r="B68" s="10" t="s">
        <v>5</v>
      </c>
      <c r="C68" s="11" t="s">
        <v>6</v>
      </c>
      <c r="D68" s="10" t="s">
        <v>7</v>
      </c>
      <c r="E68" s="10" t="s">
        <v>8</v>
      </c>
      <c r="F68" s="3"/>
      <c r="G68" s="3"/>
      <c r="H68" s="3"/>
      <c r="I68" s="10" t="s">
        <v>7</v>
      </c>
      <c r="J68" s="10" t="s">
        <v>8</v>
      </c>
      <c r="K68" s="10" t="s">
        <v>10</v>
      </c>
      <c r="L68" s="4"/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91">
        <v>1.0</v>
      </c>
      <c r="B69" s="92" t="s">
        <v>33</v>
      </c>
      <c r="C69" s="93" t="s">
        <v>202</v>
      </c>
      <c r="D69" s="22">
        <v>3000.0</v>
      </c>
      <c r="E69" s="15">
        <f t="shared" ref="E69:E70" si="14">A69*D69</f>
        <v>3000</v>
      </c>
      <c r="F69" s="3"/>
      <c r="G69" s="3"/>
      <c r="H69" s="3"/>
      <c r="I69" s="22">
        <v>1500.0</v>
      </c>
      <c r="J69" s="15">
        <f t="shared" ref="J69:J70" si="15">I69*A69</f>
        <v>1500</v>
      </c>
      <c r="K69" s="15">
        <f t="shared" ref="K69:K70" si="16">E69-J69</f>
        <v>1500</v>
      </c>
      <c r="L69" s="4"/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91">
        <v>1.0</v>
      </c>
      <c r="B70" s="92" t="s">
        <v>33</v>
      </c>
      <c r="C70" s="93" t="s">
        <v>53</v>
      </c>
      <c r="D70" s="22">
        <v>11000.0</v>
      </c>
      <c r="E70" s="15">
        <f t="shared" si="14"/>
        <v>11000</v>
      </c>
      <c r="F70" s="3"/>
      <c r="G70" s="3"/>
      <c r="H70" s="3"/>
      <c r="I70" s="22">
        <v>7500.0</v>
      </c>
      <c r="J70" s="15">
        <f t="shared" si="15"/>
        <v>7500</v>
      </c>
      <c r="K70" s="15">
        <f t="shared" si="16"/>
        <v>3500</v>
      </c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"/>
      <c r="B71" s="3"/>
      <c r="C71" s="2"/>
      <c r="D71" s="3"/>
      <c r="E71" s="3"/>
      <c r="F71" s="3"/>
      <c r="G71" s="2"/>
      <c r="H71" s="3"/>
      <c r="I71" s="3"/>
      <c r="J71" s="3"/>
      <c r="K71" s="3"/>
      <c r="L71" s="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1"/>
      <c r="B72" s="3"/>
      <c r="C72" s="2"/>
      <c r="D72" s="3"/>
      <c r="E72" s="15">
        <f>SUM(E69:E70)</f>
        <v>14000</v>
      </c>
      <c r="F72" s="3"/>
      <c r="G72" s="3"/>
      <c r="H72" s="3"/>
      <c r="I72" s="3"/>
      <c r="J72" s="3"/>
      <c r="K72" s="15">
        <f>SUM(K69:K70)</f>
        <v>5000</v>
      </c>
      <c r="L72" s="23">
        <f>K72/E72</f>
        <v>0.3571428571</v>
      </c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91"/>
      <c r="B73" s="92"/>
      <c r="C73" s="88"/>
      <c r="D73" s="22"/>
      <c r="E73" s="15"/>
      <c r="F73" s="3"/>
      <c r="G73" s="3"/>
      <c r="H73" s="3"/>
      <c r="I73" s="22"/>
      <c r="J73" s="15"/>
      <c r="K73" s="15"/>
      <c r="L73" s="23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8" t="s">
        <v>301</v>
      </c>
      <c r="B74" s="1"/>
      <c r="C74" s="1"/>
      <c r="D74" s="22" t="s">
        <v>223</v>
      </c>
      <c r="E74" s="82">
        <v>46065.0</v>
      </c>
      <c r="F74" s="3"/>
      <c r="G74" s="3"/>
      <c r="H74" s="3"/>
      <c r="I74" s="3"/>
      <c r="J74" s="3"/>
      <c r="K74" s="3"/>
      <c r="L74" s="4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"/>
      <c r="B75" s="3"/>
      <c r="C75" s="2"/>
      <c r="D75" s="3"/>
      <c r="E75" s="3"/>
      <c r="F75" s="3"/>
      <c r="G75" s="3"/>
      <c r="H75" s="3"/>
      <c r="I75" s="3"/>
      <c r="J75" s="3"/>
      <c r="K75" s="3"/>
      <c r="L75" s="4"/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5" t="s">
        <v>4</v>
      </c>
      <c r="B76" s="10" t="s">
        <v>5</v>
      </c>
      <c r="C76" s="11" t="s">
        <v>6</v>
      </c>
      <c r="D76" s="10" t="s">
        <v>7</v>
      </c>
      <c r="E76" s="10" t="s">
        <v>8</v>
      </c>
      <c r="F76" s="3"/>
      <c r="G76" s="3"/>
      <c r="H76" s="3"/>
      <c r="I76" s="10" t="s">
        <v>7</v>
      </c>
      <c r="J76" s="10" t="s">
        <v>8</v>
      </c>
      <c r="K76" s="10" t="s">
        <v>10</v>
      </c>
      <c r="L76" s="4"/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2.0</v>
      </c>
      <c r="B77" s="84" t="s">
        <v>18</v>
      </c>
      <c r="C77" s="85" t="s">
        <v>302</v>
      </c>
      <c r="D77" s="22">
        <v>23000.0</v>
      </c>
      <c r="E77" s="15">
        <f>A77*D77</f>
        <v>46000</v>
      </c>
      <c r="F77" s="3"/>
      <c r="G77" s="3"/>
      <c r="H77" s="3"/>
      <c r="I77" s="22">
        <v>25000.0</v>
      </c>
      <c r="J77" s="15">
        <f>I77*A77</f>
        <v>50000</v>
      </c>
      <c r="K77" s="15">
        <f>E77-J77</f>
        <v>-4000</v>
      </c>
      <c r="L77" s="4"/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3"/>
      <c r="B78" s="12"/>
      <c r="C78" s="14"/>
      <c r="D78" s="15"/>
      <c r="E78" s="16"/>
      <c r="F78" s="3"/>
      <c r="G78" s="3"/>
      <c r="H78" s="3"/>
      <c r="I78" s="22"/>
      <c r="J78" s="15"/>
      <c r="K78" s="15"/>
      <c r="L78" s="4"/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3"/>
      <c r="B79" s="12"/>
      <c r="C79" s="14"/>
      <c r="D79" s="15"/>
      <c r="E79" s="16">
        <f>SUM(E77)</f>
        <v>46000</v>
      </c>
      <c r="F79" s="3"/>
      <c r="G79" s="2"/>
      <c r="H79" s="3"/>
      <c r="I79" s="3"/>
      <c r="J79" s="3"/>
      <c r="K79" s="15">
        <f>SUM(K77:K78)</f>
        <v>-4000</v>
      </c>
      <c r="L79" s="23" t="str">
        <f>K79/E80</f>
        <v>#DIV/0!</v>
      </c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30"/>
      <c r="B80" s="31"/>
      <c r="C80" s="2"/>
      <c r="D80" s="3"/>
      <c r="E80" s="3"/>
      <c r="F80" s="3"/>
      <c r="G80" s="3"/>
      <c r="H80" s="3"/>
      <c r="I80" s="3"/>
      <c r="J80" s="3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26" t="s">
        <v>60</v>
      </c>
      <c r="B81" s="27">
        <v>0.04</v>
      </c>
      <c r="C81" s="2"/>
      <c r="D81" s="3"/>
      <c r="E81" s="15">
        <f>E79*0.04</f>
        <v>1840</v>
      </c>
      <c r="F81" s="3"/>
      <c r="G81" s="2"/>
      <c r="H81" s="2"/>
      <c r="I81" s="2"/>
      <c r="J81" s="2"/>
      <c r="K81" s="3"/>
      <c r="L81" s="4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30"/>
      <c r="B82" s="31"/>
      <c r="C82" s="2"/>
      <c r="D82" s="3"/>
      <c r="E82" s="3"/>
      <c r="F82" s="3"/>
      <c r="G82" s="2"/>
      <c r="H82" s="2"/>
      <c r="I82" s="2"/>
      <c r="J82" s="2"/>
      <c r="K82" s="3"/>
      <c r="L82" s="4"/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30"/>
      <c r="B83" s="31"/>
      <c r="C83" s="2"/>
      <c r="D83" s="3"/>
      <c r="E83" s="3"/>
      <c r="F83" s="3"/>
      <c r="G83" s="2"/>
      <c r="H83" s="2"/>
      <c r="I83" s="2"/>
      <c r="J83" s="2"/>
      <c r="K83" s="3"/>
      <c r="L83" s="4"/>
      <c r="M83" s="2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30" t="s">
        <v>120</v>
      </c>
      <c r="B84" s="31">
        <f>E72+E64+E44+F17+E79</f>
        <v>2052425</v>
      </c>
      <c r="C84" s="2"/>
      <c r="D84" s="3"/>
      <c r="E84" s="3"/>
      <c r="F84" s="3"/>
      <c r="G84" s="2"/>
      <c r="H84" s="2"/>
      <c r="I84" s="2"/>
      <c r="J84" s="2"/>
      <c r="K84" s="3"/>
      <c r="L84" s="4"/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1"/>
      <c r="B85" s="2"/>
      <c r="C85" s="2"/>
      <c r="D85" s="3"/>
      <c r="E85" s="3"/>
      <c r="F85" s="3"/>
      <c r="G85" s="2"/>
      <c r="H85" s="2"/>
      <c r="I85" s="2"/>
      <c r="J85" s="2"/>
      <c r="K85" s="3"/>
      <c r="L85" s="4"/>
      <c r="M85" s="2"/>
      <c r="N85" s="2"/>
      <c r="O85" s="2"/>
      <c r="P85" s="2"/>
      <c r="Q85" s="3"/>
      <c r="R85" s="9"/>
      <c r="S85" s="3"/>
      <c r="T85" s="3"/>
      <c r="U85" s="1"/>
      <c r="V85" s="3"/>
      <c r="W85" s="3"/>
      <c r="X85" s="3"/>
      <c r="Y85" s="3"/>
      <c r="Z85" s="3"/>
    </row>
    <row r="86">
      <c r="A86" s="30" t="s">
        <v>121</v>
      </c>
      <c r="B86" s="31">
        <f>K72+K64+K44+K17+K79</f>
        <v>754982.4118</v>
      </c>
      <c r="C86" s="2"/>
      <c r="D86" s="3"/>
      <c r="E86" s="3"/>
      <c r="F86" s="3"/>
      <c r="G86" s="2"/>
      <c r="H86" s="2"/>
      <c r="I86" s="2"/>
      <c r="J86" s="2"/>
      <c r="K86" s="3"/>
      <c r="L86" s="4"/>
      <c r="M86" s="2"/>
      <c r="N86" s="2"/>
      <c r="O86" s="2"/>
      <c r="P86" s="2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"/>
      <c r="B87" s="2"/>
      <c r="C87" s="2"/>
      <c r="D87" s="3"/>
      <c r="E87" s="3"/>
      <c r="F87" s="3"/>
      <c r="G87" s="2"/>
      <c r="H87" s="2"/>
      <c r="I87" s="2"/>
      <c r="J87" s="2"/>
      <c r="K87" s="3"/>
      <c r="L87" s="4"/>
      <c r="M87" s="2"/>
      <c r="N87" s="2"/>
      <c r="O87" s="2"/>
      <c r="P87" s="2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39" t="s">
        <v>122</v>
      </c>
      <c r="B88" s="99">
        <f>E81</f>
        <v>1840</v>
      </c>
      <c r="C88" s="2"/>
      <c r="D88" s="3"/>
      <c r="E88" s="3"/>
      <c r="F88" s="3"/>
      <c r="G88" s="2"/>
      <c r="H88" s="2"/>
      <c r="I88" s="2"/>
      <c r="J88" s="2"/>
      <c r="K88" s="3"/>
      <c r="L88" s="4"/>
      <c r="M88" s="2"/>
      <c r="N88" s="2"/>
      <c r="O88" s="2"/>
      <c r="P88" s="2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1"/>
      <c r="B89" s="2"/>
      <c r="C89" s="2"/>
      <c r="D89" s="3"/>
      <c r="E89" s="3"/>
      <c r="F89" s="3"/>
      <c r="G89" s="2"/>
      <c r="H89" s="2"/>
      <c r="I89" s="2"/>
      <c r="J89" s="2"/>
      <c r="K89" s="3"/>
      <c r="L89" s="4"/>
      <c r="M89" s="2"/>
      <c r="N89" s="2"/>
      <c r="O89" s="2"/>
      <c r="P89" s="2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30" t="s">
        <v>123</v>
      </c>
      <c r="B90" s="41">
        <f>B86/B84</f>
        <v>0.3678489649</v>
      </c>
      <c r="C90" s="2"/>
      <c r="D90" s="3"/>
      <c r="E90" s="3"/>
      <c r="F90" s="3"/>
      <c r="G90" s="2"/>
      <c r="H90" s="2"/>
      <c r="I90" s="2"/>
      <c r="J90" s="2"/>
      <c r="K90" s="3"/>
      <c r="L90" s="4"/>
      <c r="M90" s="2"/>
      <c r="N90" s="2"/>
      <c r="O90" s="2"/>
      <c r="P90" s="2"/>
      <c r="Q90" s="2"/>
      <c r="R90" s="2"/>
      <c r="S90" s="3"/>
      <c r="T90" s="3"/>
      <c r="U90" s="1"/>
      <c r="V90" s="3"/>
      <c r="W90" s="3"/>
      <c r="X90" s="2"/>
      <c r="Y90" s="2"/>
      <c r="Z90" s="2"/>
    </row>
    <row r="91">
      <c r="A91" s="1"/>
      <c r="B91" s="2"/>
      <c r="C91" s="2"/>
      <c r="D91" s="3"/>
      <c r="E91" s="3"/>
      <c r="F91" s="3"/>
      <c r="G91" s="2"/>
      <c r="H91" s="2"/>
      <c r="I91" s="2"/>
      <c r="J91" s="2"/>
      <c r="K91" s="3"/>
      <c r="L91" s="4"/>
      <c r="M91" s="2"/>
      <c r="N91" s="2"/>
      <c r="O91" s="2"/>
      <c r="P91" s="2"/>
      <c r="Q91" s="3"/>
      <c r="R91" s="9"/>
      <c r="S91" s="3"/>
      <c r="T91" s="3"/>
      <c r="U91" s="1"/>
      <c r="V91" s="3"/>
      <c r="W91" s="3"/>
      <c r="X91" s="3"/>
      <c r="Y91" s="3"/>
      <c r="Z91" s="3"/>
    </row>
    <row r="92" ht="15.75" customHeight="1">
      <c r="A92" s="42" t="s">
        <v>124</v>
      </c>
      <c r="C92" s="43">
        <v>100.0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9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2"/>
      <c r="M93" s="2"/>
      <c r="N93" s="2"/>
      <c r="O93" s="2"/>
      <c r="P93" s="2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 ht="15.75" customHeight="1">
      <c r="A94" s="1"/>
      <c r="B94" s="2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1"/>
      <c r="B95" s="1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3"/>
      <c r="T96" s="3"/>
      <c r="U96" s="1"/>
      <c r="X96" s="3"/>
      <c r="Y96" s="3"/>
      <c r="Z96" s="3"/>
    </row>
    <row r="97" ht="15.75" customHeight="1">
      <c r="A97" s="45"/>
      <c r="B97" s="46" t="s">
        <v>125</v>
      </c>
      <c r="C97" s="47" t="s">
        <v>126</v>
      </c>
      <c r="D97" s="48" t="s">
        <v>127</v>
      </c>
      <c r="E97" s="48" t="s">
        <v>128</v>
      </c>
      <c r="F97" s="48" t="s">
        <v>129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3"/>
      <c r="T97" s="3"/>
      <c r="U97" s="1"/>
      <c r="V97" s="3"/>
      <c r="W97" s="9"/>
      <c r="X97" s="3"/>
      <c r="Y97" s="3"/>
      <c r="Z97" s="3"/>
    </row>
    <row r="98" ht="15.75" customHeight="1">
      <c r="A98" s="49"/>
      <c r="B98" s="50">
        <v>2528350.0</v>
      </c>
      <c r="C98" s="51">
        <v>308459.29</v>
      </c>
      <c r="D98" s="51">
        <f>2277828.28-500000-1000000+491000</f>
        <v>1268828.28</v>
      </c>
      <c r="E98" s="51"/>
      <c r="F98" s="51">
        <f>8500000+1101582.8</f>
        <v>9601582.8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1"/>
      <c r="B99" s="52"/>
      <c r="C99" s="52"/>
      <c r="D99" s="52"/>
      <c r="E99" s="5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46" t="s">
        <v>130</v>
      </c>
      <c r="B100" s="53"/>
      <c r="C100" s="53"/>
      <c r="D100" s="53"/>
      <c r="E100" s="53"/>
      <c r="F100" s="5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13" t="s">
        <v>131</v>
      </c>
      <c r="B101" s="55">
        <v>319800.0</v>
      </c>
      <c r="C101" s="55">
        <v>0.0</v>
      </c>
      <c r="D101" s="55">
        <v>0.0</v>
      </c>
      <c r="E101" s="55">
        <v>0.0</v>
      </c>
      <c r="F101" s="55">
        <v>0.0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13" t="s">
        <v>132</v>
      </c>
      <c r="B102" s="55">
        <v>0.0</v>
      </c>
      <c r="C102" s="55">
        <v>3625.2</v>
      </c>
      <c r="D102" s="55">
        <v>0.0</v>
      </c>
      <c r="E102" s="55">
        <v>0.0</v>
      </c>
      <c r="F102" s="55">
        <v>0.0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3" t="s">
        <v>133</v>
      </c>
      <c r="B103" s="55">
        <v>0.0</v>
      </c>
      <c r="C103" s="55">
        <v>0.0</v>
      </c>
      <c r="D103" s="55">
        <v>1101582.8</v>
      </c>
      <c r="E103" s="55">
        <v>0.0</v>
      </c>
      <c r="F103" s="55">
        <v>0.0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3" t="s">
        <v>134</v>
      </c>
      <c r="B104" s="55">
        <v>0.0</v>
      </c>
      <c r="C104" s="55">
        <v>0.0</v>
      </c>
      <c r="D104" s="55">
        <v>0.0</v>
      </c>
      <c r="E104" s="55">
        <v>0.0</v>
      </c>
      <c r="F104" s="55">
        <v>0.0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13" t="s">
        <v>135</v>
      </c>
      <c r="B105" s="55">
        <v>0.0</v>
      </c>
      <c r="C105" s="55">
        <v>0.0</v>
      </c>
      <c r="D105" s="55">
        <v>0.0</v>
      </c>
      <c r="E105" s="55">
        <v>0.0</v>
      </c>
      <c r="F105" s="55">
        <v>0.0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13" t="s">
        <v>136</v>
      </c>
      <c r="B106" s="55">
        <v>0.0</v>
      </c>
      <c r="C106" s="56">
        <f>C101*0.6%+C104*0.6%</f>
        <v>0</v>
      </c>
      <c r="D106" s="55">
        <f>SUM(D101:D103)*0.6%</f>
        <v>6609.4968</v>
      </c>
      <c r="E106" s="55">
        <v>0.0</v>
      </c>
      <c r="F106" s="55">
        <v>0.0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1"/>
      <c r="B107" s="52"/>
      <c r="C107" s="52"/>
      <c r="D107" s="52"/>
      <c r="E107" s="5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57" t="s">
        <v>8</v>
      </c>
      <c r="B108" s="58">
        <f>SUM(B98:B106)</f>
        <v>2848150</v>
      </c>
      <c r="C108" s="58">
        <f>C98+C101+C104+C105-C106+C102</f>
        <v>312084.49</v>
      </c>
      <c r="D108" s="59">
        <f>D98+D101+D104+D105-D106+D103</f>
        <v>2363801.583</v>
      </c>
      <c r="E108" s="58">
        <f>E98+E101+E104+E105-E106</f>
        <v>0</v>
      </c>
      <c r="F108" s="60">
        <f>F98+F101+F104+F105-F106-D103</f>
        <v>8500000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1"/>
      <c r="B109" s="1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46" t="s">
        <v>137</v>
      </c>
      <c r="B110" s="53"/>
      <c r="C110" s="53"/>
      <c r="D110" s="53"/>
      <c r="E110" s="53"/>
      <c r="F110" s="5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13" t="s">
        <v>138</v>
      </c>
      <c r="B111" s="61">
        <v>10000.0</v>
      </c>
      <c r="C111" s="61">
        <v>0.0</v>
      </c>
      <c r="D111" s="61">
        <v>0.0</v>
      </c>
      <c r="E111" s="61">
        <v>0.0</v>
      </c>
      <c r="F111" s="3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13" t="s">
        <v>139</v>
      </c>
      <c r="B112" s="55">
        <v>0.0</v>
      </c>
      <c r="C112" s="55">
        <v>0.0</v>
      </c>
      <c r="D112" s="55">
        <v>0.0</v>
      </c>
      <c r="E112" s="55">
        <v>0.0</v>
      </c>
      <c r="F112" s="3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13" t="s">
        <v>140</v>
      </c>
      <c r="B113" s="61">
        <v>0.0</v>
      </c>
      <c r="C113" s="61">
        <v>0.0</v>
      </c>
      <c r="D113" s="55">
        <v>500000.0</v>
      </c>
      <c r="E113" s="61">
        <v>0.0</v>
      </c>
      <c r="F113" s="3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13" t="s">
        <v>141</v>
      </c>
      <c r="B114" s="61">
        <v>0.0</v>
      </c>
      <c r="C114" s="61">
        <v>0.0</v>
      </c>
      <c r="D114" s="61">
        <v>0.0</v>
      </c>
      <c r="E114" s="61">
        <v>0.0</v>
      </c>
      <c r="F114" s="3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 ht="15.75" customHeight="1">
      <c r="A115" s="13" t="s">
        <v>142</v>
      </c>
      <c r="B115" s="61">
        <v>0.0</v>
      </c>
      <c r="C115" s="61">
        <v>395000.0</v>
      </c>
      <c r="D115" s="61">
        <v>0.0</v>
      </c>
      <c r="E115" s="61">
        <v>0.0</v>
      </c>
      <c r="F115" s="3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13" t="s">
        <v>143</v>
      </c>
      <c r="B116" s="61">
        <v>40000.0</v>
      </c>
      <c r="C116" s="61">
        <v>0.0</v>
      </c>
      <c r="D116" s="61">
        <v>0.0</v>
      </c>
      <c r="E116" s="61">
        <v>0.0</v>
      </c>
      <c r="F116" s="35"/>
      <c r="G116" s="2"/>
      <c r="H116" s="6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13" t="s">
        <v>144</v>
      </c>
      <c r="B117" s="55">
        <v>0.0</v>
      </c>
      <c r="C117" s="55">
        <v>0.0</v>
      </c>
      <c r="D117" s="55">
        <v>0.0</v>
      </c>
      <c r="E117" s="55">
        <v>0.0</v>
      </c>
      <c r="F117" s="3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 ht="15.75" customHeight="1">
      <c r="A118" s="13" t="s">
        <v>145</v>
      </c>
      <c r="B118" s="55">
        <v>0.0</v>
      </c>
      <c r="C118" s="55">
        <v>0.0</v>
      </c>
      <c r="D118" s="55">
        <v>0.0</v>
      </c>
      <c r="E118" s="55">
        <v>0.0</v>
      </c>
      <c r="F118" s="35"/>
      <c r="G118" s="2"/>
      <c r="H118" s="6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 ht="15.75" customHeight="1">
      <c r="A119" s="13" t="s">
        <v>146</v>
      </c>
      <c r="B119" s="55">
        <v>0.0</v>
      </c>
      <c r="C119" s="55">
        <v>0.0</v>
      </c>
      <c r="D119" s="55">
        <v>0.0</v>
      </c>
      <c r="E119" s="55">
        <v>0.0</v>
      </c>
      <c r="F119" s="35"/>
      <c r="G119" s="2"/>
      <c r="H119" s="62"/>
      <c r="I119" s="2"/>
      <c r="J119" s="2"/>
      <c r="K119" s="2"/>
      <c r="L119" s="2"/>
      <c r="M119" s="2"/>
      <c r="N119" s="2"/>
      <c r="O119" s="2"/>
      <c r="P119" s="2"/>
      <c r="Q119" s="3"/>
      <c r="R119" s="9"/>
      <c r="S119" s="3"/>
      <c r="T119" s="3"/>
      <c r="U119" s="1"/>
      <c r="V119" s="3"/>
      <c r="W119" s="3"/>
      <c r="X119" s="3"/>
      <c r="Y119" s="3"/>
      <c r="Z119" s="3"/>
    </row>
    <row r="120" ht="15.75" customHeight="1">
      <c r="A120" s="13" t="s">
        <v>147</v>
      </c>
      <c r="B120" s="61">
        <v>0.0</v>
      </c>
      <c r="C120" s="61">
        <v>0.0</v>
      </c>
      <c r="D120" s="61">
        <v>0.0</v>
      </c>
      <c r="E120" s="61">
        <v>0.0</v>
      </c>
      <c r="F120" s="35"/>
      <c r="G120" s="2"/>
      <c r="H120" s="62"/>
      <c r="I120" s="2"/>
      <c r="J120" s="2"/>
      <c r="K120" s="2"/>
      <c r="L120" s="2"/>
      <c r="M120" s="2"/>
      <c r="N120" s="2"/>
      <c r="O120" s="2"/>
      <c r="P120" s="2"/>
      <c r="Q120" s="3"/>
      <c r="R120" s="9"/>
      <c r="S120" s="3"/>
      <c r="T120" s="3"/>
      <c r="U120" s="1"/>
      <c r="V120" s="3"/>
      <c r="W120" s="3"/>
      <c r="X120" s="3"/>
      <c r="Y120" s="3"/>
      <c r="Z120" s="3"/>
    </row>
    <row r="121" ht="15.75" customHeight="1">
      <c r="A121" s="13" t="s">
        <v>148</v>
      </c>
      <c r="B121" s="61">
        <v>0.0</v>
      </c>
      <c r="C121" s="61">
        <v>50000.0</v>
      </c>
      <c r="D121" s="61">
        <v>0.0</v>
      </c>
      <c r="E121" s="61">
        <v>0.0</v>
      </c>
      <c r="F121" s="35"/>
      <c r="G121" s="2"/>
      <c r="H121" s="62"/>
      <c r="I121" s="2"/>
      <c r="J121" s="2"/>
      <c r="K121" s="2"/>
      <c r="L121" s="2"/>
      <c r="M121" s="2"/>
      <c r="N121" s="2"/>
      <c r="O121" s="2"/>
      <c r="P121" s="2"/>
      <c r="Q121" s="3"/>
      <c r="R121" s="9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13" t="s">
        <v>149</v>
      </c>
      <c r="B122" s="56">
        <v>0.0</v>
      </c>
      <c r="C122" s="56">
        <v>50000.0</v>
      </c>
      <c r="D122" s="55">
        <v>0.0</v>
      </c>
      <c r="E122" s="55">
        <v>0.0</v>
      </c>
      <c r="F122" s="3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3" t="s">
        <v>150</v>
      </c>
      <c r="B123" s="56">
        <v>0.0</v>
      </c>
      <c r="C123" s="56">
        <v>0.0</v>
      </c>
      <c r="D123" s="55">
        <v>0.0</v>
      </c>
      <c r="E123" s="55">
        <v>0.0</v>
      </c>
      <c r="F123" s="35"/>
      <c r="G123" s="2"/>
      <c r="H123" s="6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13" t="s">
        <v>151</v>
      </c>
      <c r="B124" s="56">
        <v>0.0</v>
      </c>
      <c r="C124" s="56">
        <v>0.0</v>
      </c>
      <c r="D124" s="55">
        <v>0.0</v>
      </c>
      <c r="E124" s="55">
        <v>0.0</v>
      </c>
      <c r="F124" s="3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 ht="15.75" customHeight="1">
      <c r="A125" s="13" t="s">
        <v>152</v>
      </c>
      <c r="B125" s="56">
        <v>0.0</v>
      </c>
      <c r="C125" s="56">
        <v>0.0</v>
      </c>
      <c r="D125" s="55">
        <v>0.0</v>
      </c>
      <c r="E125" s="55">
        <v>0.0</v>
      </c>
      <c r="F125" s="3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9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13" t="s">
        <v>153</v>
      </c>
      <c r="B126" s="56">
        <v>0.0</v>
      </c>
      <c r="C126" s="56">
        <v>0.0</v>
      </c>
      <c r="D126" s="55">
        <v>0.0</v>
      </c>
      <c r="E126" s="55">
        <v>0.0</v>
      </c>
      <c r="F126" s="3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9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13" t="s">
        <v>154</v>
      </c>
      <c r="B127" s="56">
        <v>0.0</v>
      </c>
      <c r="C127" s="56">
        <v>0.0</v>
      </c>
      <c r="D127" s="55">
        <v>0.0</v>
      </c>
      <c r="E127" s="55">
        <v>0.0</v>
      </c>
      <c r="F127" s="3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13" t="s">
        <v>155</v>
      </c>
      <c r="B128" s="55">
        <v>20000.0</v>
      </c>
      <c r="C128" s="55">
        <v>0.0</v>
      </c>
      <c r="D128" s="55">
        <v>0.0</v>
      </c>
      <c r="E128" s="55">
        <v>0.0</v>
      </c>
      <c r="F128" s="3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13" t="s">
        <v>156</v>
      </c>
      <c r="B129" s="55">
        <v>0.0</v>
      </c>
      <c r="C129" s="55">
        <v>0.0</v>
      </c>
      <c r="D129" s="55">
        <v>12167.06</v>
      </c>
      <c r="E129" s="55">
        <v>0.0</v>
      </c>
      <c r="F129" s="3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13" t="s">
        <v>157</v>
      </c>
      <c r="B130" s="55">
        <v>0.0</v>
      </c>
      <c r="C130" s="55">
        <v>0.0</v>
      </c>
      <c r="D130" s="55">
        <v>0.0</v>
      </c>
      <c r="E130" s="55">
        <v>0.0</v>
      </c>
      <c r="F130" s="3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13" t="s">
        <v>158</v>
      </c>
      <c r="B131" s="56">
        <v>0.0</v>
      </c>
      <c r="C131" s="56">
        <v>0.0</v>
      </c>
      <c r="D131" s="55">
        <f>SUM(D101:D103)*2%</f>
        <v>22031.656</v>
      </c>
      <c r="E131" s="55">
        <v>0.0</v>
      </c>
      <c r="F131" s="3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13" t="s">
        <v>159</v>
      </c>
      <c r="B132" s="55">
        <v>0.0</v>
      </c>
      <c r="C132" s="55">
        <v>0.0</v>
      </c>
      <c r="D132" s="55">
        <v>0.0</v>
      </c>
      <c r="E132" s="55">
        <v>0.0</v>
      </c>
      <c r="F132" s="3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13" t="s">
        <v>160</v>
      </c>
      <c r="B133" s="55">
        <v>0.0</v>
      </c>
      <c r="C133" s="55">
        <v>0.0</v>
      </c>
      <c r="D133" s="55">
        <v>0.0</v>
      </c>
      <c r="E133" s="55">
        <v>0.0</v>
      </c>
      <c r="F133" s="3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13" t="s">
        <v>161</v>
      </c>
      <c r="B134" s="55">
        <v>0.0</v>
      </c>
      <c r="C134" s="55">
        <v>0.0</v>
      </c>
      <c r="D134" s="55">
        <v>0.0</v>
      </c>
      <c r="E134" s="55">
        <v>0.0</v>
      </c>
      <c r="F134" s="3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13" t="s">
        <v>162</v>
      </c>
      <c r="B135" s="55">
        <v>0.0</v>
      </c>
      <c r="C135" s="55">
        <v>0.0</v>
      </c>
      <c r="D135" s="55">
        <v>0.0</v>
      </c>
      <c r="E135" s="55">
        <v>0.0</v>
      </c>
      <c r="F135" s="3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63"/>
      <c r="B136" s="55"/>
      <c r="C136" s="55"/>
      <c r="D136" s="55"/>
      <c r="E136" s="55"/>
      <c r="F136" s="3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13" t="s">
        <v>163</v>
      </c>
      <c r="B137" s="56">
        <v>0.0</v>
      </c>
      <c r="C137" s="56">
        <f>SUM(C111:C134)*0.6%</f>
        <v>2970</v>
      </c>
      <c r="D137" s="56">
        <f>SUM(D111:D134)*0.6%+(D138*0.6%)</f>
        <v>5737.192296</v>
      </c>
      <c r="E137" s="56">
        <f>(E115*0.6%)+(E116*0.6%)+(E117*0.6%)+(E120*0.6%)+(E121*0.6%)</f>
        <v>0</v>
      </c>
      <c r="F137" s="3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13" t="s">
        <v>164</v>
      </c>
      <c r="B138" s="56">
        <v>0.0</v>
      </c>
      <c r="C138" s="56">
        <f t="shared" ref="C138:D138" si="17">272000+150000</f>
        <v>422000</v>
      </c>
      <c r="D138" s="56">
        <f t="shared" si="17"/>
        <v>422000</v>
      </c>
      <c r="E138" s="56">
        <f>SUM(E112:E136)*0.6%+(E139*0.6%)</f>
        <v>0</v>
      </c>
      <c r="F138" s="6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63"/>
      <c r="B139" s="63"/>
      <c r="C139" s="35"/>
      <c r="D139" s="2"/>
      <c r="E139" s="35"/>
      <c r="F139" s="3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65" t="s">
        <v>165</v>
      </c>
      <c r="B140" s="66">
        <f>SUM(B111:B139)</f>
        <v>70000</v>
      </c>
      <c r="C140" s="66">
        <f>SUM(C111:C137)</f>
        <v>497970</v>
      </c>
      <c r="D140" s="66">
        <f>SUM(D111:D138)</f>
        <v>961935.9083</v>
      </c>
      <c r="E140" s="66">
        <f>E122+E126+E137-E138</f>
        <v>0</v>
      </c>
      <c r="F140" s="67" t="str">
        <f>F115</f>
        <v/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63"/>
      <c r="B141" s="63"/>
      <c r="C141" s="35"/>
      <c r="D141" s="35"/>
      <c r="E141" s="35"/>
      <c r="F141" s="3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65" t="s">
        <v>166</v>
      </c>
      <c r="B142" s="68">
        <f>B108-B140</f>
        <v>2778150</v>
      </c>
      <c r="C142" s="69">
        <f>C108-C140+C138</f>
        <v>236114.49</v>
      </c>
      <c r="D142" s="69">
        <f t="shared" ref="D142:F142" si="18">D108-D140</f>
        <v>1401865.675</v>
      </c>
      <c r="E142" s="70">
        <f t="shared" si="18"/>
        <v>0</v>
      </c>
      <c r="F142" s="70">
        <f t="shared" si="18"/>
        <v>8500000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71" t="s">
        <v>167</v>
      </c>
      <c r="B144" s="72">
        <v>249800.0</v>
      </c>
      <c r="C144" s="52"/>
      <c r="D144" s="52"/>
      <c r="E144" s="52"/>
      <c r="F144" s="5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9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71" t="s">
        <v>168</v>
      </c>
      <c r="B145" s="72">
        <v>2528350.0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2"/>
      <c r="B146" s="52" t="s">
        <v>13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52">
        <f>SUM(B144:B145)</f>
        <v>2778150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9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9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1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3"/>
      <c r="T151" s="3"/>
      <c r="U151" s="1"/>
      <c r="V151" s="3"/>
      <c r="W151" s="9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1"/>
      <c r="V152" s="3"/>
      <c r="W152" s="9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9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9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1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1"/>
      <c r="V186" s="3"/>
      <c r="W186" s="9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1"/>
      <c r="V187" s="3"/>
      <c r="W187" s="9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9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9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9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9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9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9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9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3"/>
      <c r="T221" s="3"/>
      <c r="U221" s="9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9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9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9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9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2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9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9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9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9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9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3"/>
      <c r="T263" s="3"/>
      <c r="U263" s="9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9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9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9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2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5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5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5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5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5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5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5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5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2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5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5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5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5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5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5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5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5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9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5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5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52"/>
      <c r="R308" s="52"/>
      <c r="S308" s="3"/>
      <c r="T308" s="3"/>
      <c r="U308" s="9"/>
      <c r="V308" s="3"/>
      <c r="W308" s="3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9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9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5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5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52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5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  <c r="R316" s="52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52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5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2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  <c r="R330" s="2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2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2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2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2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3"/>
      <c r="R342" s="2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2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9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9"/>
      <c r="T354" s="3"/>
      <c r="U354" s="2"/>
      <c r="V354" s="3"/>
      <c r="W354" s="3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9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3"/>
      <c r="R356" s="9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3"/>
      <c r="R357" s="2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3"/>
      <c r="R358" s="2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3"/>
      <c r="R362" s="2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3"/>
      <c r="R363" s="2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3"/>
      <c r="R364" s="2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3"/>
      <c r="R365" s="2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3"/>
      <c r="R366" s="9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3"/>
      <c r="R367" s="2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3"/>
      <c r="R368" s="2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2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9"/>
      <c r="T371" s="3"/>
      <c r="U371" s="2"/>
      <c r="V371" s="3"/>
      <c r="W371" s="3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9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9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9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9"/>
      <c r="T382" s="3"/>
      <c r="U382" s="2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9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2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9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3"/>
      <c r="R397" s="2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3"/>
      <c r="T398" s="3"/>
      <c r="U398" s="9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2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9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3"/>
      <c r="T412" s="9"/>
      <c r="U412" s="2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3"/>
      <c r="R414" s="9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2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2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2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9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9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3"/>
      <c r="R423" s="9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3"/>
      <c r="T424" s="9"/>
      <c r="U424" s="2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3"/>
      <c r="R425" s="2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9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2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9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3"/>
      <c r="R439" s="2"/>
      <c r="S439" s="2"/>
      <c r="T439" s="3"/>
      <c r="U439" s="2"/>
      <c r="V439" s="2"/>
      <c r="W439" s="2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3"/>
      <c r="T440" s="3"/>
      <c r="U440" s="3"/>
      <c r="V440" s="2"/>
      <c r="W440" s="2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44"/>
      <c r="R442" s="44"/>
      <c r="S442" s="44"/>
      <c r="T442" s="44"/>
      <c r="U442" s="44"/>
      <c r="V442" s="44"/>
      <c r="W442" s="44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3"/>
      <c r="T443" s="3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"/>
      <c r="R444" s="2"/>
      <c r="S444" s="3"/>
      <c r="T444" s="3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4"/>
      <c r="R446" s="75"/>
      <c r="S446" s="76"/>
      <c r="T446" s="76"/>
      <c r="U446" s="76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7"/>
      <c r="R447" s="77"/>
      <c r="S447" s="77"/>
      <c r="T447" s="77"/>
      <c r="U447" s="77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52"/>
      <c r="R448" s="52"/>
      <c r="S448" s="52"/>
      <c r="T448" s="5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52"/>
      <c r="R450" s="52"/>
      <c r="S450" s="52"/>
      <c r="T450" s="52"/>
      <c r="U450" s="5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52"/>
      <c r="R451" s="52"/>
      <c r="S451" s="52"/>
      <c r="T451" s="5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52"/>
      <c r="R452" s="52"/>
      <c r="S452" s="52"/>
      <c r="T452" s="5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52"/>
      <c r="R453" s="52"/>
      <c r="S453" s="52"/>
      <c r="T453" s="5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52"/>
      <c r="R454" s="52"/>
      <c r="S454" s="52"/>
      <c r="T454" s="5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8"/>
      <c r="R455" s="78"/>
      <c r="S455" s="78"/>
      <c r="T455" s="78"/>
      <c r="U455" s="79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2"/>
      <c r="S456" s="3"/>
      <c r="T456" s="3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62"/>
      <c r="R458" s="62"/>
      <c r="S458" s="62"/>
      <c r="T458" s="6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62"/>
      <c r="R459" s="62"/>
      <c r="S459" s="62"/>
      <c r="T459" s="6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62"/>
      <c r="R460" s="62"/>
      <c r="S460" s="62"/>
      <c r="T460" s="6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62"/>
      <c r="R461" s="62"/>
      <c r="S461" s="62"/>
      <c r="T461" s="6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62"/>
      <c r="R462" s="62"/>
      <c r="S462" s="62"/>
      <c r="T462" s="62"/>
      <c r="U462" s="2"/>
      <c r="V462" s="2"/>
      <c r="W462" s="6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62"/>
      <c r="R463" s="62"/>
      <c r="S463" s="62"/>
      <c r="T463" s="6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62"/>
      <c r="R464" s="62"/>
      <c r="S464" s="62"/>
      <c r="T464" s="62"/>
      <c r="U464" s="2"/>
      <c r="V464" s="2"/>
      <c r="W464" s="6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62"/>
      <c r="R465" s="62"/>
      <c r="S465" s="62"/>
      <c r="T465" s="62"/>
      <c r="U465" s="2"/>
      <c r="V465" s="2"/>
      <c r="W465" s="6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52"/>
      <c r="R466" s="52"/>
      <c r="S466" s="52"/>
      <c r="T466" s="5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52"/>
      <c r="R467" s="52"/>
      <c r="S467" s="52"/>
      <c r="T467" s="52"/>
      <c r="U467" s="2"/>
      <c r="V467" s="2"/>
      <c r="W467" s="6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52"/>
      <c r="R468" s="52"/>
      <c r="S468" s="52"/>
      <c r="T468" s="5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52"/>
      <c r="R469" s="52"/>
      <c r="S469" s="52"/>
      <c r="T469" s="5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52"/>
      <c r="R470" s="52"/>
      <c r="S470" s="52"/>
      <c r="T470" s="5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52"/>
      <c r="R471" s="52"/>
      <c r="S471" s="52"/>
      <c r="T471" s="5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52"/>
      <c r="R472" s="52"/>
      <c r="S472" s="52"/>
      <c r="T472" s="5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52"/>
      <c r="R473" s="52"/>
      <c r="S473" s="52"/>
      <c r="T473" s="5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52"/>
      <c r="R474" s="52"/>
      <c r="S474" s="52"/>
      <c r="T474" s="5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"/>
      <c r="R475" s="52"/>
      <c r="S475" s="52"/>
      <c r="T475" s="5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8"/>
      <c r="R477" s="78"/>
      <c r="S477" s="78"/>
      <c r="T477" s="78"/>
      <c r="U477" s="79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7"/>
      <c r="R479" s="78"/>
      <c r="S479" s="78"/>
      <c r="T479" s="80"/>
      <c r="U479" s="80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52"/>
      <c r="R481" s="52"/>
      <c r="S481" s="52"/>
      <c r="T481" s="52"/>
      <c r="U481" s="5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5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</sheetData>
  <mergeCells count="8">
    <mergeCell ref="I2:K2"/>
    <mergeCell ref="A92:B92"/>
    <mergeCell ref="U96:W96"/>
    <mergeCell ref="A97:A98"/>
    <mergeCell ref="A100:F100"/>
    <mergeCell ref="A110:F110"/>
    <mergeCell ref="U150:W150"/>
    <mergeCell ref="U185:W185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4.25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5" t="s">
        <v>230</v>
      </c>
      <c r="E2" s="86" t="s">
        <v>170</v>
      </c>
      <c r="F2" s="82">
        <v>46066.0</v>
      </c>
      <c r="G2" s="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102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0.5</v>
      </c>
      <c r="B5" s="84" t="s">
        <v>18</v>
      </c>
      <c r="C5" s="85" t="s">
        <v>277</v>
      </c>
      <c r="D5" s="22">
        <v>52000.0</v>
      </c>
      <c r="E5" s="15">
        <f t="shared" ref="E5:E32" si="1">A5*D5</f>
        <v>26000</v>
      </c>
      <c r="F5" s="15">
        <f>E5*1.21</f>
        <v>31460</v>
      </c>
      <c r="G5" s="101"/>
      <c r="H5" s="101"/>
      <c r="I5" s="22">
        <v>50000.0</v>
      </c>
      <c r="J5" s="15">
        <f t="shared" ref="J5:J32" si="2">I5*A5</f>
        <v>25000</v>
      </c>
      <c r="K5" s="15">
        <f t="shared" ref="K5:K32" si="3">F5-J5</f>
        <v>6460</v>
      </c>
      <c r="L5" s="102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1.0</v>
      </c>
      <c r="B6" s="84" t="s">
        <v>5</v>
      </c>
      <c r="C6" s="85" t="s">
        <v>176</v>
      </c>
      <c r="D6" s="22">
        <v>900.0</v>
      </c>
      <c r="E6" s="15">
        <f t="shared" si="1"/>
        <v>900</v>
      </c>
      <c r="F6" s="15">
        <f t="shared" ref="F6:F32" si="4">E6*1.105</f>
        <v>994.5</v>
      </c>
      <c r="G6" s="101"/>
      <c r="H6" s="101"/>
      <c r="I6" s="87">
        <f>23000/50</f>
        <v>460</v>
      </c>
      <c r="J6" s="15">
        <f t="shared" si="2"/>
        <v>460</v>
      </c>
      <c r="K6" s="15">
        <f t="shared" si="3"/>
        <v>534.5</v>
      </c>
      <c r="L6" s="102"/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1.0</v>
      </c>
      <c r="B7" s="84" t="s">
        <v>5</v>
      </c>
      <c r="C7" s="85" t="s">
        <v>104</v>
      </c>
      <c r="D7" s="22">
        <v>2500.0</v>
      </c>
      <c r="E7" s="15">
        <f t="shared" si="1"/>
        <v>2500</v>
      </c>
      <c r="F7" s="15">
        <f t="shared" si="4"/>
        <v>2762.5</v>
      </c>
      <c r="G7" s="101"/>
      <c r="H7" s="101"/>
      <c r="I7" s="22">
        <v>1200.0</v>
      </c>
      <c r="J7" s="15">
        <f t="shared" si="2"/>
        <v>1200</v>
      </c>
      <c r="K7" s="15">
        <f t="shared" si="3"/>
        <v>1562.5</v>
      </c>
      <c r="L7" s="102"/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1.0</v>
      </c>
      <c r="B8" s="84" t="s">
        <v>38</v>
      </c>
      <c r="C8" s="85" t="s">
        <v>180</v>
      </c>
      <c r="D8" s="22">
        <v>16000.0</v>
      </c>
      <c r="E8" s="15">
        <f t="shared" si="1"/>
        <v>16000</v>
      </c>
      <c r="F8" s="15">
        <f t="shared" si="4"/>
        <v>17680</v>
      </c>
      <c r="G8" s="101"/>
      <c r="H8" s="101"/>
      <c r="I8" s="22">
        <v>13000.0</v>
      </c>
      <c r="J8" s="15">
        <f t="shared" si="2"/>
        <v>13000</v>
      </c>
      <c r="K8" s="15">
        <f t="shared" si="3"/>
        <v>4680</v>
      </c>
      <c r="L8" s="102"/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2.0</v>
      </c>
      <c r="B9" s="84" t="s">
        <v>5</v>
      </c>
      <c r="C9" s="85" t="s">
        <v>95</v>
      </c>
      <c r="D9" s="22">
        <v>2500.0</v>
      </c>
      <c r="E9" s="15">
        <f t="shared" si="1"/>
        <v>5000</v>
      </c>
      <c r="F9" s="15">
        <f t="shared" si="4"/>
        <v>5525</v>
      </c>
      <c r="G9" s="101"/>
      <c r="H9" s="101"/>
      <c r="I9" s="22">
        <v>1500.0</v>
      </c>
      <c r="J9" s="15">
        <f t="shared" si="2"/>
        <v>3000</v>
      </c>
      <c r="K9" s="15">
        <f t="shared" si="3"/>
        <v>2525</v>
      </c>
      <c r="L9" s="102"/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38</v>
      </c>
      <c r="C10" s="85" t="s">
        <v>45</v>
      </c>
      <c r="D10" s="22">
        <v>13000.0</v>
      </c>
      <c r="E10" s="15">
        <f t="shared" si="1"/>
        <v>13000</v>
      </c>
      <c r="F10" s="15">
        <f t="shared" si="4"/>
        <v>14365</v>
      </c>
      <c r="G10" s="101"/>
      <c r="H10" s="101"/>
      <c r="I10" s="22">
        <v>8000.0</v>
      </c>
      <c r="J10" s="15">
        <f t="shared" si="2"/>
        <v>8000</v>
      </c>
      <c r="K10" s="15">
        <f t="shared" si="3"/>
        <v>6365</v>
      </c>
      <c r="L10" s="102"/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1.5</v>
      </c>
      <c r="B11" s="84" t="s">
        <v>33</v>
      </c>
      <c r="C11" s="85" t="s">
        <v>45</v>
      </c>
      <c r="D11" s="22">
        <v>1200.0</v>
      </c>
      <c r="E11" s="15">
        <f t="shared" si="1"/>
        <v>1800</v>
      </c>
      <c r="F11" s="15">
        <f t="shared" si="4"/>
        <v>1989</v>
      </c>
      <c r="G11" s="101"/>
      <c r="H11" s="101"/>
      <c r="I11" s="22">
        <f>8000/15</f>
        <v>533.3333333</v>
      </c>
      <c r="J11" s="15">
        <f t="shared" si="2"/>
        <v>800</v>
      </c>
      <c r="K11" s="15">
        <f t="shared" si="3"/>
        <v>1189</v>
      </c>
      <c r="L11" s="102"/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3.0</v>
      </c>
      <c r="B12" s="84" t="s">
        <v>33</v>
      </c>
      <c r="C12" s="85" t="s">
        <v>174</v>
      </c>
      <c r="D12" s="22">
        <v>1600.0</v>
      </c>
      <c r="E12" s="15">
        <f t="shared" si="1"/>
        <v>4800</v>
      </c>
      <c r="F12" s="15">
        <f t="shared" si="4"/>
        <v>5304</v>
      </c>
      <c r="G12" s="101"/>
      <c r="H12" s="101"/>
      <c r="I12" s="22">
        <v>1000.0</v>
      </c>
      <c r="J12" s="15">
        <f t="shared" si="2"/>
        <v>3000</v>
      </c>
      <c r="K12" s="15">
        <f t="shared" si="3"/>
        <v>2304</v>
      </c>
      <c r="L12" s="102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1.0</v>
      </c>
      <c r="B13" s="84" t="s">
        <v>33</v>
      </c>
      <c r="C13" s="85" t="s">
        <v>303</v>
      </c>
      <c r="D13" s="22">
        <v>800.0</v>
      </c>
      <c r="E13" s="15">
        <f t="shared" si="1"/>
        <v>800</v>
      </c>
      <c r="F13" s="15">
        <f t="shared" si="4"/>
        <v>884</v>
      </c>
      <c r="G13" s="101"/>
      <c r="H13" s="101"/>
      <c r="I13" s="22">
        <f>9000/16</f>
        <v>562.5</v>
      </c>
      <c r="J13" s="15">
        <f t="shared" si="2"/>
        <v>562.5</v>
      </c>
      <c r="K13" s="15">
        <f t="shared" si="3"/>
        <v>321.5</v>
      </c>
      <c r="L13" s="102"/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0.5</v>
      </c>
      <c r="B14" s="84" t="s">
        <v>18</v>
      </c>
      <c r="C14" s="85" t="s">
        <v>276</v>
      </c>
      <c r="D14" s="22">
        <v>80000.0</v>
      </c>
      <c r="E14" s="15">
        <f t="shared" si="1"/>
        <v>40000</v>
      </c>
      <c r="F14" s="15">
        <f t="shared" si="4"/>
        <v>44200</v>
      </c>
      <c r="G14" s="101"/>
      <c r="H14" s="101"/>
      <c r="I14" s="22">
        <v>65000.0</v>
      </c>
      <c r="J14" s="15">
        <f t="shared" si="2"/>
        <v>32500</v>
      </c>
      <c r="K14" s="15">
        <f t="shared" si="3"/>
        <v>11700</v>
      </c>
      <c r="L14" s="102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0.5</v>
      </c>
      <c r="B15" s="84" t="s">
        <v>18</v>
      </c>
      <c r="C15" s="85" t="s">
        <v>304</v>
      </c>
      <c r="D15" s="22">
        <v>65000.0</v>
      </c>
      <c r="E15" s="15">
        <f t="shared" si="1"/>
        <v>32500</v>
      </c>
      <c r="F15" s="15">
        <f t="shared" si="4"/>
        <v>35912.5</v>
      </c>
      <c r="G15" s="101"/>
      <c r="H15" s="101"/>
      <c r="I15" s="22">
        <v>55000.0</v>
      </c>
      <c r="J15" s="15">
        <f t="shared" si="2"/>
        <v>27500</v>
      </c>
      <c r="K15" s="15">
        <f t="shared" si="3"/>
        <v>8412.5</v>
      </c>
      <c r="L15" s="102"/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1.0</v>
      </c>
      <c r="B16" s="84" t="s">
        <v>18</v>
      </c>
      <c r="C16" s="85" t="s">
        <v>283</v>
      </c>
      <c r="D16" s="22">
        <v>22000.0</v>
      </c>
      <c r="E16" s="15">
        <f t="shared" si="1"/>
        <v>22000</v>
      </c>
      <c r="F16" s="15">
        <f t="shared" si="4"/>
        <v>24310</v>
      </c>
      <c r="G16" s="101"/>
      <c r="H16" s="101"/>
      <c r="I16" s="22">
        <v>17000.0</v>
      </c>
      <c r="J16" s="15">
        <f t="shared" si="2"/>
        <v>17000</v>
      </c>
      <c r="K16" s="15">
        <f t="shared" si="3"/>
        <v>7310</v>
      </c>
      <c r="L16" s="102"/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3.0</v>
      </c>
      <c r="B17" s="84" t="s">
        <v>38</v>
      </c>
      <c r="C17" s="85" t="s">
        <v>305</v>
      </c>
      <c r="D17" s="22">
        <v>21000.0</v>
      </c>
      <c r="E17" s="15">
        <f t="shared" si="1"/>
        <v>63000</v>
      </c>
      <c r="F17" s="15">
        <f t="shared" si="4"/>
        <v>69615</v>
      </c>
      <c r="G17" s="101"/>
      <c r="H17" s="101"/>
      <c r="I17" s="22">
        <v>18000.0</v>
      </c>
      <c r="J17" s="15">
        <f t="shared" si="2"/>
        <v>54000</v>
      </c>
      <c r="K17" s="15">
        <f t="shared" si="3"/>
        <v>15615</v>
      </c>
      <c r="L17" s="102"/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3.0</v>
      </c>
      <c r="B18" s="84" t="s">
        <v>33</v>
      </c>
      <c r="C18" s="85" t="s">
        <v>261</v>
      </c>
      <c r="D18" s="22">
        <v>4000.0</v>
      </c>
      <c r="E18" s="15">
        <f t="shared" si="1"/>
        <v>12000</v>
      </c>
      <c r="F18" s="15">
        <f t="shared" si="4"/>
        <v>13260</v>
      </c>
      <c r="G18" s="101"/>
      <c r="H18" s="101"/>
      <c r="I18" s="22">
        <f>27000/8</f>
        <v>3375</v>
      </c>
      <c r="J18" s="15">
        <f t="shared" si="2"/>
        <v>10125</v>
      </c>
      <c r="K18" s="15">
        <f t="shared" si="3"/>
        <v>3135</v>
      </c>
      <c r="L18" s="102"/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2.5</v>
      </c>
      <c r="B19" s="84" t="s">
        <v>33</v>
      </c>
      <c r="C19" s="85" t="s">
        <v>262</v>
      </c>
      <c r="D19" s="22">
        <v>3100.0</v>
      </c>
      <c r="E19" s="15">
        <f t="shared" si="1"/>
        <v>7750</v>
      </c>
      <c r="F19" s="15">
        <f t="shared" si="4"/>
        <v>8563.75</v>
      </c>
      <c r="G19" s="101"/>
      <c r="H19" s="101"/>
      <c r="I19" s="22">
        <f>12000/8</f>
        <v>1500</v>
      </c>
      <c r="J19" s="15">
        <f t="shared" si="2"/>
        <v>3750</v>
      </c>
      <c r="K19" s="15">
        <f t="shared" si="3"/>
        <v>4813.75</v>
      </c>
      <c r="L19" s="102"/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2.0</v>
      </c>
      <c r="B20" s="84" t="s">
        <v>33</v>
      </c>
      <c r="C20" s="85" t="s">
        <v>306</v>
      </c>
      <c r="D20" s="22">
        <v>4000.0</v>
      </c>
      <c r="E20" s="15">
        <f t="shared" si="1"/>
        <v>8000</v>
      </c>
      <c r="F20" s="15">
        <f t="shared" si="4"/>
        <v>8840</v>
      </c>
      <c r="G20" s="101"/>
      <c r="H20" s="101"/>
      <c r="I20" s="22">
        <f>25000/8</f>
        <v>3125</v>
      </c>
      <c r="J20" s="15">
        <f t="shared" si="2"/>
        <v>6250</v>
      </c>
      <c r="K20" s="15">
        <f t="shared" si="3"/>
        <v>2590</v>
      </c>
      <c r="L20" s="102"/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0.5</v>
      </c>
      <c r="B21" s="84" t="s">
        <v>50</v>
      </c>
      <c r="C21" s="85" t="s">
        <v>89</v>
      </c>
      <c r="D21" s="22">
        <v>6000.0</v>
      </c>
      <c r="E21" s="15">
        <f t="shared" si="1"/>
        <v>3000</v>
      </c>
      <c r="F21" s="15">
        <f t="shared" si="4"/>
        <v>3315</v>
      </c>
      <c r="G21" s="101"/>
      <c r="H21" s="101"/>
      <c r="I21" s="22">
        <v>5000.0</v>
      </c>
      <c r="J21" s="15">
        <f t="shared" si="2"/>
        <v>2500</v>
      </c>
      <c r="K21" s="15">
        <f t="shared" si="3"/>
        <v>815</v>
      </c>
      <c r="L21" s="102"/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3.0</v>
      </c>
      <c r="B22" s="84" t="s">
        <v>33</v>
      </c>
      <c r="C22" s="85" t="s">
        <v>119</v>
      </c>
      <c r="D22" s="22">
        <v>4500.0</v>
      </c>
      <c r="E22" s="15">
        <f t="shared" si="1"/>
        <v>13500</v>
      </c>
      <c r="F22" s="15">
        <f t="shared" si="4"/>
        <v>14917.5</v>
      </c>
      <c r="G22" s="101"/>
      <c r="H22" s="101"/>
      <c r="I22" s="22">
        <f>50000/14</f>
        <v>3571.428571</v>
      </c>
      <c r="J22" s="15">
        <f t="shared" si="2"/>
        <v>10714.28571</v>
      </c>
      <c r="K22" s="15">
        <f t="shared" si="3"/>
        <v>4203.214286</v>
      </c>
      <c r="L22" s="102"/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1.0</v>
      </c>
      <c r="B23" s="84" t="s">
        <v>5</v>
      </c>
      <c r="C23" s="85" t="s">
        <v>69</v>
      </c>
      <c r="D23" s="22">
        <v>1600.0</v>
      </c>
      <c r="E23" s="15">
        <f t="shared" si="1"/>
        <v>1600</v>
      </c>
      <c r="F23" s="15">
        <f t="shared" si="4"/>
        <v>1768</v>
      </c>
      <c r="G23" s="101"/>
      <c r="H23" s="101"/>
      <c r="I23" s="22">
        <f>10000/9</f>
        <v>1111.111111</v>
      </c>
      <c r="J23" s="15">
        <f t="shared" si="2"/>
        <v>1111.111111</v>
      </c>
      <c r="K23" s="15">
        <f t="shared" si="3"/>
        <v>656.8888889</v>
      </c>
      <c r="L23" s="102"/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0.7</v>
      </c>
      <c r="B24" s="84" t="s">
        <v>33</v>
      </c>
      <c r="C24" s="85" t="s">
        <v>99</v>
      </c>
      <c r="D24" s="22">
        <v>1500.0</v>
      </c>
      <c r="E24" s="15">
        <f t="shared" si="1"/>
        <v>1050</v>
      </c>
      <c r="F24" s="15">
        <f t="shared" si="4"/>
        <v>1160.25</v>
      </c>
      <c r="G24" s="101"/>
      <c r="H24" s="101"/>
      <c r="I24" s="22">
        <v>882.0</v>
      </c>
      <c r="J24" s="15">
        <f t="shared" si="2"/>
        <v>617.4</v>
      </c>
      <c r="K24" s="15">
        <f t="shared" si="3"/>
        <v>542.85</v>
      </c>
      <c r="L24" s="102"/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83">
        <v>9.0</v>
      </c>
      <c r="B25" s="84" t="s">
        <v>33</v>
      </c>
      <c r="C25" s="85" t="s">
        <v>64</v>
      </c>
      <c r="D25" s="22">
        <v>1600.0</v>
      </c>
      <c r="E25" s="15">
        <f t="shared" si="1"/>
        <v>14400</v>
      </c>
      <c r="F25" s="15">
        <f t="shared" si="4"/>
        <v>15912</v>
      </c>
      <c r="G25" s="101"/>
      <c r="H25" s="101"/>
      <c r="I25" s="22">
        <v>1000.0</v>
      </c>
      <c r="J25" s="15">
        <f t="shared" si="2"/>
        <v>9000</v>
      </c>
      <c r="K25" s="15">
        <f t="shared" si="3"/>
        <v>6912</v>
      </c>
      <c r="L25" s="102"/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>
        <v>1.0</v>
      </c>
      <c r="B26" s="84" t="s">
        <v>38</v>
      </c>
      <c r="C26" s="85" t="s">
        <v>307</v>
      </c>
      <c r="D26" s="22">
        <v>12000.0</v>
      </c>
      <c r="E26" s="15">
        <f t="shared" si="1"/>
        <v>12000</v>
      </c>
      <c r="F26" s="15">
        <f t="shared" si="4"/>
        <v>13260</v>
      </c>
      <c r="G26" s="101"/>
      <c r="H26" s="101"/>
      <c r="I26" s="22">
        <v>8000.0</v>
      </c>
      <c r="J26" s="15">
        <f t="shared" si="2"/>
        <v>8000</v>
      </c>
      <c r="K26" s="15">
        <f t="shared" si="3"/>
        <v>5260</v>
      </c>
      <c r="L26" s="102"/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3">
        <v>5.0</v>
      </c>
      <c r="B27" s="84" t="s">
        <v>33</v>
      </c>
      <c r="C27" s="85" t="s">
        <v>307</v>
      </c>
      <c r="D27" s="22">
        <v>1500.0</v>
      </c>
      <c r="E27" s="15">
        <f t="shared" si="1"/>
        <v>7500</v>
      </c>
      <c r="F27" s="15">
        <f t="shared" si="4"/>
        <v>8287.5</v>
      </c>
      <c r="G27" s="101"/>
      <c r="H27" s="101"/>
      <c r="I27" s="22">
        <f>8000/9</f>
        <v>888.8888889</v>
      </c>
      <c r="J27" s="15">
        <f t="shared" si="2"/>
        <v>4444.444444</v>
      </c>
      <c r="K27" s="15">
        <f t="shared" si="3"/>
        <v>3843.055556</v>
      </c>
      <c r="L27" s="102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83">
        <v>3.0</v>
      </c>
      <c r="B28" s="84" t="s">
        <v>33</v>
      </c>
      <c r="C28" s="85" t="s">
        <v>192</v>
      </c>
      <c r="D28" s="22">
        <v>1200.0</v>
      </c>
      <c r="E28" s="15">
        <f t="shared" si="1"/>
        <v>3600</v>
      </c>
      <c r="F28" s="15">
        <f t="shared" si="4"/>
        <v>3978</v>
      </c>
      <c r="G28" s="101"/>
      <c r="H28" s="101"/>
      <c r="I28" s="22">
        <f>10000/15</f>
        <v>666.6666667</v>
      </c>
      <c r="J28" s="15">
        <f t="shared" si="2"/>
        <v>2000</v>
      </c>
      <c r="K28" s="15">
        <f t="shared" si="3"/>
        <v>1978</v>
      </c>
      <c r="L28" s="102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83">
        <v>6.0</v>
      </c>
      <c r="B29" s="84" t="s">
        <v>5</v>
      </c>
      <c r="C29" s="85" t="s">
        <v>87</v>
      </c>
      <c r="D29" s="22">
        <v>1300.0</v>
      </c>
      <c r="E29" s="15">
        <f t="shared" si="1"/>
        <v>7800</v>
      </c>
      <c r="F29" s="15">
        <f t="shared" si="4"/>
        <v>8619</v>
      </c>
      <c r="G29" s="101"/>
      <c r="H29" s="101"/>
      <c r="I29" s="22">
        <v>914.0</v>
      </c>
      <c r="J29" s="15">
        <f t="shared" si="2"/>
        <v>5484</v>
      </c>
      <c r="K29" s="15">
        <f t="shared" si="3"/>
        <v>3135</v>
      </c>
      <c r="L29" s="102"/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83">
        <v>1.0</v>
      </c>
      <c r="B30" s="84" t="s">
        <v>5</v>
      </c>
      <c r="C30" s="85" t="s">
        <v>308</v>
      </c>
      <c r="D30" s="22">
        <v>2000.0</v>
      </c>
      <c r="E30" s="15">
        <f t="shared" si="1"/>
        <v>2000</v>
      </c>
      <c r="F30" s="15">
        <f t="shared" si="4"/>
        <v>2210</v>
      </c>
      <c r="G30" s="101"/>
      <c r="H30" s="101"/>
      <c r="I30" s="22">
        <v>1000.0</v>
      </c>
      <c r="J30" s="15">
        <f t="shared" si="2"/>
        <v>1000</v>
      </c>
      <c r="K30" s="15">
        <f t="shared" si="3"/>
        <v>1210</v>
      </c>
      <c r="L30" s="102"/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>
        <v>1.0</v>
      </c>
      <c r="B31" s="84" t="s">
        <v>33</v>
      </c>
      <c r="C31" s="85" t="s">
        <v>23</v>
      </c>
      <c r="D31" s="22">
        <v>1600.0</v>
      </c>
      <c r="E31" s="15">
        <f t="shared" si="1"/>
        <v>1600</v>
      </c>
      <c r="F31" s="15">
        <f t="shared" si="4"/>
        <v>1768</v>
      </c>
      <c r="G31" s="101"/>
      <c r="H31" s="101"/>
      <c r="I31" s="22">
        <v>1000.0</v>
      </c>
      <c r="J31" s="15">
        <f t="shared" si="2"/>
        <v>1000</v>
      </c>
      <c r="K31" s="15">
        <f t="shared" si="3"/>
        <v>768</v>
      </c>
      <c r="L31" s="102"/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0.3</v>
      </c>
      <c r="B32" s="84" t="s">
        <v>33</v>
      </c>
      <c r="C32" s="85" t="s">
        <v>20</v>
      </c>
      <c r="D32" s="22">
        <v>3500.0</v>
      </c>
      <c r="E32" s="15">
        <f t="shared" si="1"/>
        <v>1050</v>
      </c>
      <c r="F32" s="15">
        <f t="shared" si="4"/>
        <v>1160.25</v>
      </c>
      <c r="G32" s="101"/>
      <c r="H32" s="101"/>
      <c r="I32" s="22">
        <v>3000.0</v>
      </c>
      <c r="J32" s="15">
        <f t="shared" si="2"/>
        <v>900</v>
      </c>
      <c r="K32" s="15">
        <f t="shared" si="3"/>
        <v>260.25</v>
      </c>
      <c r="L32" s="102"/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103"/>
      <c r="B33" s="101"/>
      <c r="C33" s="104"/>
      <c r="D33" s="101"/>
      <c r="E33" s="101"/>
      <c r="F33" s="101"/>
      <c r="G33" s="101"/>
      <c r="H33" s="101"/>
      <c r="I33" s="101"/>
      <c r="J33" s="101"/>
      <c r="K33" s="101"/>
      <c r="L33" s="102"/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103"/>
      <c r="B34" s="101"/>
      <c r="C34" s="104"/>
      <c r="D34" s="101"/>
      <c r="E34" s="15">
        <f t="shared" ref="E34:F34" si="5">SUM(E5:E32)</f>
        <v>325150</v>
      </c>
      <c r="F34" s="15">
        <f t="shared" si="5"/>
        <v>362020.75</v>
      </c>
      <c r="G34" s="101"/>
      <c r="H34" s="101"/>
      <c r="I34" s="101"/>
      <c r="J34" s="101"/>
      <c r="K34" s="15">
        <f>SUM(K5:K32)</f>
        <v>109102.0087</v>
      </c>
      <c r="L34" s="105">
        <f>IFERROR(K34/E34, 0)</f>
        <v>0.3355436221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03"/>
      <c r="B35" s="101"/>
      <c r="C35" s="104"/>
      <c r="D35" s="101"/>
      <c r="E35" s="15"/>
      <c r="F35" s="15"/>
      <c r="G35" s="101"/>
      <c r="H35" s="101"/>
      <c r="I35" s="101"/>
      <c r="J35" s="101"/>
      <c r="K35" s="15"/>
      <c r="L35" s="105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5" t="s">
        <v>309</v>
      </c>
      <c r="D36" s="22"/>
      <c r="E36" s="86" t="s">
        <v>44</v>
      </c>
      <c r="F36" s="82">
        <v>46066.0</v>
      </c>
      <c r="G36" s="6"/>
      <c r="H36" s="3"/>
      <c r="I36" s="8" t="s">
        <v>3</v>
      </c>
      <c r="L36" s="4"/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103"/>
      <c r="B37" s="101"/>
      <c r="C37" s="104"/>
      <c r="D37" s="101"/>
      <c r="E37" s="101"/>
      <c r="F37" s="101"/>
      <c r="G37" s="101"/>
      <c r="H37" s="101"/>
      <c r="I37" s="101"/>
      <c r="J37" s="101"/>
      <c r="K37" s="101"/>
      <c r="L37" s="4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5" t="s">
        <v>4</v>
      </c>
      <c r="B38" s="10" t="s">
        <v>5</v>
      </c>
      <c r="C38" s="96" t="s">
        <v>6</v>
      </c>
      <c r="D38" s="10" t="s">
        <v>7</v>
      </c>
      <c r="E38" s="10" t="s">
        <v>8</v>
      </c>
      <c r="F38" s="10" t="s">
        <v>9</v>
      </c>
      <c r="G38" s="101"/>
      <c r="H38" s="101"/>
      <c r="I38" s="10" t="s">
        <v>260</v>
      </c>
      <c r="J38" s="10" t="s">
        <v>8</v>
      </c>
      <c r="K38" s="10" t="s">
        <v>10</v>
      </c>
      <c r="L38" s="4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3.0</v>
      </c>
      <c r="B39" s="84" t="s">
        <v>38</v>
      </c>
      <c r="C39" s="85" t="s">
        <v>305</v>
      </c>
      <c r="D39" s="22">
        <v>21000.0</v>
      </c>
      <c r="E39" s="15">
        <f t="shared" ref="E39:E61" si="6">A39*D39</f>
        <v>63000</v>
      </c>
      <c r="F39" s="22">
        <f t="shared" ref="F39:F60" si="7">E39*1.105</f>
        <v>69615</v>
      </c>
      <c r="G39" s="101"/>
      <c r="H39" s="101"/>
      <c r="I39" s="22">
        <v>18000.0</v>
      </c>
      <c r="J39" s="15">
        <f t="shared" ref="J39:J61" si="8">I39*A39</f>
        <v>54000</v>
      </c>
      <c r="K39" s="15">
        <f t="shared" ref="K39:K61" si="9">F39-J39</f>
        <v>15615</v>
      </c>
      <c r="L39" s="4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1.0</v>
      </c>
      <c r="B40" s="84" t="s">
        <v>38</v>
      </c>
      <c r="C40" s="85" t="s">
        <v>45</v>
      </c>
      <c r="D40" s="22">
        <v>13000.0</v>
      </c>
      <c r="E40" s="15">
        <f t="shared" si="6"/>
        <v>13000</v>
      </c>
      <c r="F40" s="22">
        <f t="shared" si="7"/>
        <v>14365</v>
      </c>
      <c r="G40" s="101"/>
      <c r="H40" s="101"/>
      <c r="I40" s="22">
        <v>8000.0</v>
      </c>
      <c r="J40" s="15">
        <f t="shared" si="8"/>
        <v>8000</v>
      </c>
      <c r="K40" s="15">
        <f t="shared" si="9"/>
        <v>6365</v>
      </c>
      <c r="L40" s="4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1.0</v>
      </c>
      <c r="B41" s="84" t="s">
        <v>38</v>
      </c>
      <c r="C41" s="85" t="s">
        <v>307</v>
      </c>
      <c r="D41" s="22">
        <v>12000.0</v>
      </c>
      <c r="E41" s="15">
        <f t="shared" si="6"/>
        <v>12000</v>
      </c>
      <c r="F41" s="22">
        <f t="shared" si="7"/>
        <v>13260</v>
      </c>
      <c r="G41" s="101"/>
      <c r="H41" s="101"/>
      <c r="I41" s="22">
        <v>8000.0</v>
      </c>
      <c r="J41" s="15">
        <f t="shared" si="8"/>
        <v>8000</v>
      </c>
      <c r="K41" s="15">
        <f t="shared" si="9"/>
        <v>5260</v>
      </c>
      <c r="L41" s="4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8.0</v>
      </c>
      <c r="B42" s="84" t="s">
        <v>33</v>
      </c>
      <c r="C42" s="85" t="s">
        <v>64</v>
      </c>
      <c r="D42" s="22">
        <v>1600.0</v>
      </c>
      <c r="E42" s="15">
        <f t="shared" si="6"/>
        <v>12800</v>
      </c>
      <c r="F42" s="22">
        <f t="shared" si="7"/>
        <v>14144</v>
      </c>
      <c r="G42" s="101"/>
      <c r="H42" s="101"/>
      <c r="I42" s="22">
        <v>1000.0</v>
      </c>
      <c r="J42" s="15">
        <f t="shared" si="8"/>
        <v>8000</v>
      </c>
      <c r="K42" s="15">
        <f t="shared" si="9"/>
        <v>6144</v>
      </c>
      <c r="L42" s="4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3.0</v>
      </c>
      <c r="B43" s="84" t="s">
        <v>33</v>
      </c>
      <c r="C43" s="85" t="s">
        <v>180</v>
      </c>
      <c r="D43" s="22">
        <v>1800.0</v>
      </c>
      <c r="E43" s="15">
        <f t="shared" si="6"/>
        <v>5400</v>
      </c>
      <c r="F43" s="22">
        <f t="shared" si="7"/>
        <v>5967</v>
      </c>
      <c r="G43" s="101"/>
      <c r="H43" s="101"/>
      <c r="I43" s="22">
        <f>13000/10</f>
        <v>1300</v>
      </c>
      <c r="J43" s="15">
        <f t="shared" si="8"/>
        <v>3900</v>
      </c>
      <c r="K43" s="15">
        <f t="shared" si="9"/>
        <v>2067</v>
      </c>
      <c r="L43" s="4"/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2.0</v>
      </c>
      <c r="B44" s="84" t="s">
        <v>33</v>
      </c>
      <c r="C44" s="85" t="s">
        <v>192</v>
      </c>
      <c r="D44" s="22">
        <v>1200.0</v>
      </c>
      <c r="E44" s="15">
        <f t="shared" si="6"/>
        <v>2400</v>
      </c>
      <c r="F44" s="22">
        <f t="shared" si="7"/>
        <v>2652</v>
      </c>
      <c r="G44" s="101"/>
      <c r="H44" s="101"/>
      <c r="I44" s="22">
        <f>10000/15</f>
        <v>666.6666667</v>
      </c>
      <c r="J44" s="15">
        <f t="shared" si="8"/>
        <v>1333.333333</v>
      </c>
      <c r="K44" s="15">
        <f t="shared" si="9"/>
        <v>1318.666667</v>
      </c>
      <c r="L44" s="4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3.0</v>
      </c>
      <c r="B45" s="84" t="s">
        <v>33</v>
      </c>
      <c r="C45" s="85" t="s">
        <v>174</v>
      </c>
      <c r="D45" s="22">
        <v>1600.0</v>
      </c>
      <c r="E45" s="15">
        <f t="shared" si="6"/>
        <v>4800</v>
      </c>
      <c r="F45" s="22">
        <f t="shared" si="7"/>
        <v>5304</v>
      </c>
      <c r="G45" s="101"/>
      <c r="H45" s="101"/>
      <c r="I45" s="22">
        <v>1000.0</v>
      </c>
      <c r="J45" s="15">
        <f t="shared" si="8"/>
        <v>3000</v>
      </c>
      <c r="K45" s="15">
        <f t="shared" si="9"/>
        <v>2304</v>
      </c>
      <c r="L45" s="4"/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2.0</v>
      </c>
      <c r="B46" s="84" t="s">
        <v>33</v>
      </c>
      <c r="C46" s="85" t="s">
        <v>67</v>
      </c>
      <c r="D46" s="22">
        <v>800.0</v>
      </c>
      <c r="E46" s="15">
        <f t="shared" si="6"/>
        <v>1600</v>
      </c>
      <c r="F46" s="22">
        <f t="shared" si="7"/>
        <v>1768</v>
      </c>
      <c r="G46" s="101"/>
      <c r="H46" s="101"/>
      <c r="I46" s="22">
        <f>9000/16</f>
        <v>562.5</v>
      </c>
      <c r="J46" s="15">
        <f t="shared" si="8"/>
        <v>1125</v>
      </c>
      <c r="K46" s="15">
        <f t="shared" si="9"/>
        <v>643</v>
      </c>
      <c r="L46" s="4"/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3.0</v>
      </c>
      <c r="B47" s="84" t="s">
        <v>33</v>
      </c>
      <c r="C47" s="85" t="s">
        <v>261</v>
      </c>
      <c r="D47" s="22">
        <v>4000.0</v>
      </c>
      <c r="E47" s="15">
        <f t="shared" si="6"/>
        <v>12000</v>
      </c>
      <c r="F47" s="22">
        <f t="shared" si="7"/>
        <v>13260</v>
      </c>
      <c r="G47" s="101"/>
      <c r="H47" s="101"/>
      <c r="I47" s="22">
        <f>27000/8</f>
        <v>3375</v>
      </c>
      <c r="J47" s="15">
        <f t="shared" si="8"/>
        <v>10125</v>
      </c>
      <c r="K47" s="15">
        <f t="shared" si="9"/>
        <v>3135</v>
      </c>
      <c r="L47" s="4"/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2.5</v>
      </c>
      <c r="B48" s="84" t="s">
        <v>33</v>
      </c>
      <c r="C48" s="85" t="s">
        <v>262</v>
      </c>
      <c r="D48" s="22">
        <v>3100.0</v>
      </c>
      <c r="E48" s="15">
        <f t="shared" si="6"/>
        <v>7750</v>
      </c>
      <c r="F48" s="22">
        <f t="shared" si="7"/>
        <v>8563.75</v>
      </c>
      <c r="G48" s="101"/>
      <c r="H48" s="101"/>
      <c r="I48" s="22">
        <f>12000/8</f>
        <v>1500</v>
      </c>
      <c r="J48" s="15">
        <f t="shared" si="8"/>
        <v>3750</v>
      </c>
      <c r="K48" s="15">
        <f t="shared" si="9"/>
        <v>4813.75</v>
      </c>
      <c r="L48" s="4"/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2.5</v>
      </c>
      <c r="B49" s="84" t="s">
        <v>33</v>
      </c>
      <c r="C49" s="85" t="s">
        <v>306</v>
      </c>
      <c r="D49" s="22">
        <v>4000.0</v>
      </c>
      <c r="E49" s="15">
        <f t="shared" si="6"/>
        <v>10000</v>
      </c>
      <c r="F49" s="22">
        <f t="shared" si="7"/>
        <v>11050</v>
      </c>
      <c r="G49" s="101"/>
      <c r="H49" s="101"/>
      <c r="I49" s="22">
        <f>25000/8</f>
        <v>3125</v>
      </c>
      <c r="J49" s="15">
        <f t="shared" si="8"/>
        <v>7812.5</v>
      </c>
      <c r="K49" s="15">
        <f t="shared" si="9"/>
        <v>3237.5</v>
      </c>
      <c r="L49" s="4"/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2.0</v>
      </c>
      <c r="B50" s="84" t="s">
        <v>33</v>
      </c>
      <c r="C50" s="85" t="s">
        <v>99</v>
      </c>
      <c r="D50" s="22">
        <v>1500.0</v>
      </c>
      <c r="E50" s="15">
        <f t="shared" si="6"/>
        <v>3000</v>
      </c>
      <c r="F50" s="22">
        <f t="shared" si="7"/>
        <v>3315</v>
      </c>
      <c r="G50" s="101"/>
      <c r="H50" s="101"/>
      <c r="I50" s="22">
        <v>882.0</v>
      </c>
      <c r="J50" s="15">
        <f t="shared" si="8"/>
        <v>1764</v>
      </c>
      <c r="K50" s="15">
        <f t="shared" si="9"/>
        <v>1551</v>
      </c>
      <c r="L50" s="4"/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84" t="s">
        <v>33</v>
      </c>
      <c r="C51" s="85" t="s">
        <v>22</v>
      </c>
      <c r="D51" s="22">
        <v>1500.0</v>
      </c>
      <c r="E51" s="15">
        <f t="shared" si="6"/>
        <v>1500</v>
      </c>
      <c r="F51" s="22">
        <f t="shared" si="7"/>
        <v>1657.5</v>
      </c>
      <c r="G51" s="101"/>
      <c r="H51" s="101"/>
      <c r="I51" s="22">
        <f>8000/15</f>
        <v>533.3333333</v>
      </c>
      <c r="J51" s="15">
        <f t="shared" si="8"/>
        <v>533.3333333</v>
      </c>
      <c r="K51" s="15">
        <f t="shared" si="9"/>
        <v>1124.166667</v>
      </c>
      <c r="L51" s="4"/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2.0</v>
      </c>
      <c r="B52" s="84" t="s">
        <v>5</v>
      </c>
      <c r="C52" s="85" t="s">
        <v>310</v>
      </c>
      <c r="D52" s="22">
        <v>2500.0</v>
      </c>
      <c r="E52" s="15">
        <f t="shared" si="6"/>
        <v>5000</v>
      </c>
      <c r="F52" s="22">
        <f t="shared" si="7"/>
        <v>5525</v>
      </c>
      <c r="G52" s="101"/>
      <c r="H52" s="101"/>
      <c r="I52" s="22">
        <v>1500.0</v>
      </c>
      <c r="J52" s="15">
        <f t="shared" si="8"/>
        <v>3000</v>
      </c>
      <c r="K52" s="15">
        <f t="shared" si="9"/>
        <v>2525</v>
      </c>
      <c r="L52" s="4"/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0.7</v>
      </c>
      <c r="B53" s="84" t="s">
        <v>33</v>
      </c>
      <c r="C53" s="85" t="s">
        <v>20</v>
      </c>
      <c r="D53" s="22">
        <v>3500.0</v>
      </c>
      <c r="E53" s="15">
        <f t="shared" si="6"/>
        <v>2450</v>
      </c>
      <c r="F53" s="22">
        <f t="shared" si="7"/>
        <v>2707.25</v>
      </c>
      <c r="G53" s="101"/>
      <c r="H53" s="101"/>
      <c r="I53" s="22">
        <v>3000.0</v>
      </c>
      <c r="J53" s="15">
        <f t="shared" si="8"/>
        <v>2100</v>
      </c>
      <c r="K53" s="15">
        <f t="shared" si="9"/>
        <v>607.25</v>
      </c>
      <c r="L53" s="4"/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0.6</v>
      </c>
      <c r="B54" s="84" t="s">
        <v>33</v>
      </c>
      <c r="C54" s="85" t="s">
        <v>69</v>
      </c>
      <c r="D54" s="22">
        <v>1600.0</v>
      </c>
      <c r="E54" s="15">
        <f t="shared" si="6"/>
        <v>960</v>
      </c>
      <c r="F54" s="22">
        <f t="shared" si="7"/>
        <v>1060.8</v>
      </c>
      <c r="G54" s="101"/>
      <c r="H54" s="101"/>
      <c r="I54" s="22">
        <f>10000/9</f>
        <v>1111.111111</v>
      </c>
      <c r="J54" s="15">
        <f t="shared" si="8"/>
        <v>666.6666667</v>
      </c>
      <c r="K54" s="15">
        <f t="shared" si="9"/>
        <v>394.1333333</v>
      </c>
      <c r="L54" s="23"/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1.0</v>
      </c>
      <c r="B55" s="84" t="s">
        <v>5</v>
      </c>
      <c r="C55" s="85" t="s">
        <v>104</v>
      </c>
      <c r="D55" s="22">
        <v>2500.0</v>
      </c>
      <c r="E55" s="15">
        <f t="shared" si="6"/>
        <v>2500</v>
      </c>
      <c r="F55" s="22">
        <f t="shared" si="7"/>
        <v>2762.5</v>
      </c>
      <c r="G55" s="101"/>
      <c r="H55" s="101"/>
      <c r="I55" s="22">
        <v>1200.0</v>
      </c>
      <c r="J55" s="15">
        <f t="shared" si="8"/>
        <v>1200</v>
      </c>
      <c r="K55" s="15">
        <f t="shared" si="9"/>
        <v>1562.5</v>
      </c>
      <c r="L55" s="4"/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83">
        <v>1.0</v>
      </c>
      <c r="B56" s="84" t="s">
        <v>18</v>
      </c>
      <c r="C56" s="85" t="s">
        <v>283</v>
      </c>
      <c r="D56" s="22">
        <v>22000.0</v>
      </c>
      <c r="E56" s="15">
        <f t="shared" si="6"/>
        <v>22000</v>
      </c>
      <c r="F56" s="22">
        <f t="shared" si="7"/>
        <v>24310</v>
      </c>
      <c r="G56" s="101"/>
      <c r="H56" s="101"/>
      <c r="I56" s="22">
        <v>17000.0</v>
      </c>
      <c r="J56" s="15">
        <f t="shared" si="8"/>
        <v>17000</v>
      </c>
      <c r="K56" s="15">
        <f t="shared" si="9"/>
        <v>7310</v>
      </c>
      <c r="L56" s="4"/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3">
        <v>4.0</v>
      </c>
      <c r="B57" s="84" t="s">
        <v>33</v>
      </c>
      <c r="C57" s="85" t="s">
        <v>119</v>
      </c>
      <c r="D57" s="22">
        <v>4500.0</v>
      </c>
      <c r="E57" s="15">
        <f t="shared" si="6"/>
        <v>18000</v>
      </c>
      <c r="F57" s="22">
        <f t="shared" si="7"/>
        <v>19890</v>
      </c>
      <c r="G57" s="101"/>
      <c r="H57" s="101"/>
      <c r="I57" s="22">
        <f>50000/14</f>
        <v>3571.428571</v>
      </c>
      <c r="J57" s="15">
        <f t="shared" si="8"/>
        <v>14285.71429</v>
      </c>
      <c r="K57" s="15">
        <f t="shared" si="9"/>
        <v>5604.285714</v>
      </c>
      <c r="L57" s="4"/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83">
        <v>3.0</v>
      </c>
      <c r="B58" s="84" t="s">
        <v>33</v>
      </c>
      <c r="C58" s="85" t="s">
        <v>276</v>
      </c>
      <c r="D58" s="22">
        <v>4500.0</v>
      </c>
      <c r="E58" s="15">
        <f t="shared" si="6"/>
        <v>13500</v>
      </c>
      <c r="F58" s="22">
        <f t="shared" si="7"/>
        <v>14917.5</v>
      </c>
      <c r="G58" s="101"/>
      <c r="H58" s="101"/>
      <c r="I58" s="22">
        <f>65000/19</f>
        <v>3421.052632</v>
      </c>
      <c r="J58" s="15">
        <f t="shared" si="8"/>
        <v>10263.15789</v>
      </c>
      <c r="K58" s="15">
        <f t="shared" si="9"/>
        <v>4654.342105</v>
      </c>
      <c r="L58" s="4"/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83">
        <v>3.0</v>
      </c>
      <c r="B59" s="84" t="s">
        <v>33</v>
      </c>
      <c r="C59" s="85" t="s">
        <v>304</v>
      </c>
      <c r="D59" s="22">
        <v>4000.0</v>
      </c>
      <c r="E59" s="15">
        <f t="shared" si="6"/>
        <v>12000</v>
      </c>
      <c r="F59" s="22">
        <f t="shared" si="7"/>
        <v>13260</v>
      </c>
      <c r="G59" s="101"/>
      <c r="H59" s="101"/>
      <c r="I59" s="22">
        <f>55000/18</f>
        <v>3055.555556</v>
      </c>
      <c r="J59" s="15">
        <f t="shared" si="8"/>
        <v>9166.666667</v>
      </c>
      <c r="K59" s="15">
        <f t="shared" si="9"/>
        <v>4093.333333</v>
      </c>
      <c r="L59" s="4"/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83">
        <v>2.0</v>
      </c>
      <c r="B60" s="84" t="s">
        <v>33</v>
      </c>
      <c r="C60" s="85" t="s">
        <v>56</v>
      </c>
      <c r="D60" s="22">
        <v>2500.0</v>
      </c>
      <c r="E60" s="15">
        <f t="shared" si="6"/>
        <v>5000</v>
      </c>
      <c r="F60" s="22">
        <f t="shared" si="7"/>
        <v>5525</v>
      </c>
      <c r="G60" s="101"/>
      <c r="H60" s="101"/>
      <c r="I60" s="22">
        <f>25000/18</f>
        <v>1388.888889</v>
      </c>
      <c r="J60" s="15">
        <f t="shared" si="8"/>
        <v>2777.777778</v>
      </c>
      <c r="K60" s="15">
        <f t="shared" si="9"/>
        <v>2747.222222</v>
      </c>
      <c r="L60" s="4"/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83">
        <v>0.5</v>
      </c>
      <c r="B61" s="84" t="s">
        <v>18</v>
      </c>
      <c r="C61" s="85" t="s">
        <v>277</v>
      </c>
      <c r="D61" s="22">
        <v>52000.0</v>
      </c>
      <c r="E61" s="15">
        <f t="shared" si="6"/>
        <v>26000</v>
      </c>
      <c r="F61" s="22">
        <f>E61*1.21</f>
        <v>31460</v>
      </c>
      <c r="G61" s="101"/>
      <c r="H61" s="101"/>
      <c r="I61" s="22">
        <v>50000.0</v>
      </c>
      <c r="J61" s="15">
        <f t="shared" si="8"/>
        <v>25000</v>
      </c>
      <c r="K61" s="15">
        <f t="shared" si="9"/>
        <v>6460</v>
      </c>
      <c r="L61" s="4"/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5"/>
      <c r="B62" s="10"/>
      <c r="C62" s="11"/>
      <c r="D62" s="12"/>
      <c r="E62" s="10"/>
      <c r="F62" s="10"/>
      <c r="G62" s="3"/>
      <c r="H62" s="3"/>
      <c r="I62" s="10"/>
      <c r="J62" s="10"/>
      <c r="K62" s="10"/>
      <c r="L62" s="4"/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5"/>
      <c r="B63" s="10"/>
      <c r="C63" s="11"/>
      <c r="D63" s="12"/>
      <c r="E63" s="15">
        <f t="shared" ref="E63:F63" si="10">SUM(E39:E61)</f>
        <v>256660</v>
      </c>
      <c r="F63" s="15">
        <f t="shared" si="10"/>
        <v>286339.3</v>
      </c>
      <c r="G63" s="101"/>
      <c r="H63" s="101"/>
      <c r="I63" s="101"/>
      <c r="J63" s="101"/>
      <c r="K63" s="15">
        <f>SUM(K39:K61)</f>
        <v>89536.15004</v>
      </c>
      <c r="L63" s="105">
        <f>IFERROR(K63/E63, 0)</f>
        <v>0.3488512041</v>
      </c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5"/>
      <c r="B64" s="10"/>
      <c r="C64" s="11"/>
      <c r="D64" s="12"/>
      <c r="E64" s="10"/>
      <c r="F64" s="10"/>
      <c r="G64" s="3"/>
      <c r="H64" s="3"/>
      <c r="I64" s="10"/>
      <c r="J64" s="10"/>
      <c r="K64" s="10"/>
      <c r="L64" s="4"/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5"/>
      <c r="B65" s="10"/>
      <c r="C65" s="11"/>
      <c r="D65" s="12"/>
      <c r="E65" s="10"/>
      <c r="F65" s="10"/>
      <c r="G65" s="3"/>
      <c r="H65" s="3"/>
      <c r="I65" s="10"/>
      <c r="J65" s="10"/>
      <c r="K65" s="10"/>
      <c r="L65" s="4"/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5" t="s">
        <v>311</v>
      </c>
      <c r="D66" s="22"/>
      <c r="E66" s="86" t="s">
        <v>44</v>
      </c>
      <c r="F66" s="82">
        <v>46066.0</v>
      </c>
      <c r="G66" s="6"/>
      <c r="H66" s="3"/>
      <c r="I66" s="8" t="s">
        <v>3</v>
      </c>
      <c r="L66" s="4"/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03"/>
      <c r="B67" s="101"/>
      <c r="C67" s="104"/>
      <c r="D67" s="101"/>
      <c r="E67" s="101"/>
      <c r="F67" s="101"/>
      <c r="G67" s="101"/>
      <c r="H67" s="101"/>
      <c r="I67" s="101"/>
      <c r="J67" s="101"/>
      <c r="K67" s="101"/>
      <c r="L67" s="4"/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5" t="s">
        <v>4</v>
      </c>
      <c r="B68" s="10" t="s">
        <v>5</v>
      </c>
      <c r="C68" s="96" t="s">
        <v>6</v>
      </c>
      <c r="D68" s="10" t="s">
        <v>7</v>
      </c>
      <c r="E68" s="10" t="s">
        <v>8</v>
      </c>
      <c r="F68" s="10" t="s">
        <v>9</v>
      </c>
      <c r="G68" s="101"/>
      <c r="H68" s="101"/>
      <c r="I68" s="10" t="s">
        <v>260</v>
      </c>
      <c r="J68" s="10" t="s">
        <v>8</v>
      </c>
      <c r="K68" s="10" t="s">
        <v>10</v>
      </c>
      <c r="L68" s="4"/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2.0</v>
      </c>
      <c r="B69" s="84" t="s">
        <v>38</v>
      </c>
      <c r="C69" s="85" t="s">
        <v>305</v>
      </c>
      <c r="D69" s="22">
        <v>21000.0</v>
      </c>
      <c r="E69" s="15">
        <f t="shared" ref="E69:E89" si="11">A69*D69</f>
        <v>42000</v>
      </c>
      <c r="F69" s="22">
        <f t="shared" ref="F69:F88" si="12">E69*1.105</f>
        <v>46410</v>
      </c>
      <c r="G69" s="101"/>
      <c r="H69" s="101"/>
      <c r="I69" s="22">
        <v>18000.0</v>
      </c>
      <c r="J69" s="15">
        <f t="shared" ref="J69:J89" si="13">I69*A69</f>
        <v>36000</v>
      </c>
      <c r="K69" s="15">
        <f t="shared" ref="K69:K89" si="14">F69-J69</f>
        <v>10410</v>
      </c>
      <c r="L69" s="4"/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3">
        <v>1.0</v>
      </c>
      <c r="B70" s="84" t="s">
        <v>38</v>
      </c>
      <c r="C70" s="85" t="s">
        <v>307</v>
      </c>
      <c r="D70" s="22">
        <v>12000.0</v>
      </c>
      <c r="E70" s="15">
        <f t="shared" si="11"/>
        <v>12000</v>
      </c>
      <c r="F70" s="22">
        <f t="shared" si="12"/>
        <v>13260</v>
      </c>
      <c r="G70" s="101"/>
      <c r="H70" s="101"/>
      <c r="I70" s="22">
        <v>8000.0</v>
      </c>
      <c r="J70" s="15">
        <f t="shared" si="13"/>
        <v>8000</v>
      </c>
      <c r="K70" s="15">
        <f t="shared" si="14"/>
        <v>5260</v>
      </c>
      <c r="L70" s="4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83">
        <v>1.0</v>
      </c>
      <c r="B71" s="84" t="s">
        <v>38</v>
      </c>
      <c r="C71" s="85" t="s">
        <v>180</v>
      </c>
      <c r="D71" s="22">
        <v>16000.0</v>
      </c>
      <c r="E71" s="15">
        <f t="shared" si="11"/>
        <v>16000</v>
      </c>
      <c r="F71" s="22">
        <f t="shared" si="12"/>
        <v>17680</v>
      </c>
      <c r="G71" s="101"/>
      <c r="H71" s="101"/>
      <c r="I71" s="22">
        <v>13000.0</v>
      </c>
      <c r="J71" s="15">
        <f t="shared" si="13"/>
        <v>13000</v>
      </c>
      <c r="K71" s="15">
        <f t="shared" si="14"/>
        <v>4680</v>
      </c>
      <c r="L71" s="4"/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83">
        <v>3.96</v>
      </c>
      <c r="B72" s="84" t="s">
        <v>33</v>
      </c>
      <c r="C72" s="85" t="s">
        <v>45</v>
      </c>
      <c r="D72" s="22">
        <v>1200.0</v>
      </c>
      <c r="E72" s="15">
        <f t="shared" si="11"/>
        <v>4752</v>
      </c>
      <c r="F72" s="22">
        <f t="shared" si="12"/>
        <v>5250.96</v>
      </c>
      <c r="G72" s="101"/>
      <c r="H72" s="101"/>
      <c r="I72" s="22">
        <f>8000/15</f>
        <v>533.3333333</v>
      </c>
      <c r="J72" s="15">
        <f t="shared" si="13"/>
        <v>2112</v>
      </c>
      <c r="K72" s="15">
        <f t="shared" si="14"/>
        <v>3138.96</v>
      </c>
      <c r="L72" s="4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3">
        <v>12.0</v>
      </c>
      <c r="B73" s="84" t="s">
        <v>50</v>
      </c>
      <c r="C73" s="85" t="s">
        <v>65</v>
      </c>
      <c r="D73" s="22">
        <v>500.0</v>
      </c>
      <c r="E73" s="15">
        <f t="shared" si="11"/>
        <v>6000</v>
      </c>
      <c r="F73" s="22">
        <f t="shared" si="12"/>
        <v>6630</v>
      </c>
      <c r="G73" s="101"/>
      <c r="H73" s="101"/>
      <c r="I73" s="22">
        <f>4000/24</f>
        <v>166.6666667</v>
      </c>
      <c r="J73" s="15">
        <f t="shared" si="13"/>
        <v>2000</v>
      </c>
      <c r="K73" s="15">
        <f t="shared" si="14"/>
        <v>4630</v>
      </c>
      <c r="L73" s="4"/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2.0</v>
      </c>
      <c r="B74" s="84" t="s">
        <v>33</v>
      </c>
      <c r="C74" s="85" t="s">
        <v>194</v>
      </c>
      <c r="D74" s="22">
        <v>3500.0</v>
      </c>
      <c r="E74" s="15">
        <f t="shared" si="11"/>
        <v>7000</v>
      </c>
      <c r="F74" s="22">
        <f t="shared" si="12"/>
        <v>7735</v>
      </c>
      <c r="G74" s="101"/>
      <c r="H74" s="101"/>
      <c r="I74" s="22">
        <f>10000/6</f>
        <v>1666.666667</v>
      </c>
      <c r="J74" s="15">
        <f t="shared" si="13"/>
        <v>3333.333333</v>
      </c>
      <c r="K74" s="15">
        <f t="shared" si="14"/>
        <v>4401.666667</v>
      </c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8.0</v>
      </c>
      <c r="B75" s="84" t="s">
        <v>33</v>
      </c>
      <c r="C75" s="85" t="s">
        <v>64</v>
      </c>
      <c r="D75" s="22">
        <v>1600.0</v>
      </c>
      <c r="E75" s="15">
        <f t="shared" si="11"/>
        <v>12800</v>
      </c>
      <c r="F75" s="22">
        <f t="shared" si="12"/>
        <v>14144</v>
      </c>
      <c r="G75" s="101"/>
      <c r="H75" s="101"/>
      <c r="I75" s="22">
        <v>1000.0</v>
      </c>
      <c r="J75" s="15">
        <f t="shared" si="13"/>
        <v>8000</v>
      </c>
      <c r="K75" s="15">
        <f t="shared" si="14"/>
        <v>6144</v>
      </c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2.0</v>
      </c>
      <c r="B76" s="84" t="s">
        <v>33</v>
      </c>
      <c r="C76" s="85" t="s">
        <v>24</v>
      </c>
      <c r="D76" s="22">
        <v>4000.0</v>
      </c>
      <c r="E76" s="15">
        <f t="shared" si="11"/>
        <v>8000</v>
      </c>
      <c r="F76" s="22">
        <f t="shared" si="12"/>
        <v>8840</v>
      </c>
      <c r="G76" s="101"/>
      <c r="H76" s="101"/>
      <c r="I76" s="22">
        <f>27000/8</f>
        <v>3375</v>
      </c>
      <c r="J76" s="15">
        <f t="shared" si="13"/>
        <v>6750</v>
      </c>
      <c r="K76" s="15">
        <f t="shared" si="14"/>
        <v>2090</v>
      </c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2.0</v>
      </c>
      <c r="B77" s="84" t="s">
        <v>33</v>
      </c>
      <c r="C77" s="85" t="s">
        <v>25</v>
      </c>
      <c r="D77" s="22">
        <v>3100.0</v>
      </c>
      <c r="E77" s="15">
        <f t="shared" si="11"/>
        <v>6200</v>
      </c>
      <c r="F77" s="22">
        <f t="shared" si="12"/>
        <v>6851</v>
      </c>
      <c r="G77" s="101"/>
      <c r="H77" s="101"/>
      <c r="I77" s="22">
        <f>12000/8</f>
        <v>1500</v>
      </c>
      <c r="J77" s="15">
        <f t="shared" si="13"/>
        <v>3000</v>
      </c>
      <c r="K77" s="15">
        <f t="shared" si="14"/>
        <v>3851</v>
      </c>
      <c r="L77" s="4"/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2.0</v>
      </c>
      <c r="B78" s="84" t="s">
        <v>33</v>
      </c>
      <c r="C78" s="85" t="s">
        <v>26</v>
      </c>
      <c r="D78" s="22">
        <v>4000.0</v>
      </c>
      <c r="E78" s="15">
        <f t="shared" si="11"/>
        <v>8000</v>
      </c>
      <c r="F78" s="22">
        <f t="shared" si="12"/>
        <v>8840</v>
      </c>
      <c r="G78" s="101"/>
      <c r="H78" s="101"/>
      <c r="I78" s="22">
        <f>25000/8</f>
        <v>3125</v>
      </c>
      <c r="J78" s="15">
        <f t="shared" si="13"/>
        <v>6250</v>
      </c>
      <c r="K78" s="15">
        <f t="shared" si="14"/>
        <v>2590</v>
      </c>
      <c r="L78" s="4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2.0</v>
      </c>
      <c r="B79" s="84" t="s">
        <v>33</v>
      </c>
      <c r="C79" s="85" t="s">
        <v>279</v>
      </c>
      <c r="D79" s="22">
        <v>4000.0</v>
      </c>
      <c r="E79" s="15">
        <f t="shared" si="11"/>
        <v>8000</v>
      </c>
      <c r="F79" s="22">
        <f t="shared" si="12"/>
        <v>8840</v>
      </c>
      <c r="G79" s="101"/>
      <c r="H79" s="101"/>
      <c r="I79" s="87">
        <f>15000/7</f>
        <v>2142.857143</v>
      </c>
      <c r="J79" s="15">
        <f t="shared" si="13"/>
        <v>4285.714286</v>
      </c>
      <c r="K79" s="15">
        <f t="shared" si="14"/>
        <v>4554.285714</v>
      </c>
      <c r="L79" s="4"/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2.0</v>
      </c>
      <c r="B80" s="84" t="s">
        <v>33</v>
      </c>
      <c r="C80" s="85" t="s">
        <v>67</v>
      </c>
      <c r="D80" s="22">
        <v>800.0</v>
      </c>
      <c r="E80" s="15">
        <f t="shared" si="11"/>
        <v>1600</v>
      </c>
      <c r="F80" s="22">
        <f t="shared" si="12"/>
        <v>1768</v>
      </c>
      <c r="G80" s="101"/>
      <c r="H80" s="101"/>
      <c r="I80" s="22">
        <f>9000/16</f>
        <v>562.5</v>
      </c>
      <c r="J80" s="15">
        <f t="shared" si="13"/>
        <v>1125</v>
      </c>
      <c r="K80" s="15">
        <f t="shared" si="14"/>
        <v>643</v>
      </c>
      <c r="L80" s="4"/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1.0</v>
      </c>
      <c r="B81" s="84" t="s">
        <v>33</v>
      </c>
      <c r="C81" s="85" t="s">
        <v>236</v>
      </c>
      <c r="D81" s="22">
        <v>5000.0</v>
      </c>
      <c r="E81" s="15">
        <f t="shared" si="11"/>
        <v>5000</v>
      </c>
      <c r="F81" s="22">
        <f t="shared" si="12"/>
        <v>5525</v>
      </c>
      <c r="G81" s="101"/>
      <c r="H81" s="101"/>
      <c r="I81" s="22">
        <v>4000.0</v>
      </c>
      <c r="J81" s="15">
        <f t="shared" si="13"/>
        <v>4000</v>
      </c>
      <c r="K81" s="15">
        <f t="shared" si="14"/>
        <v>1525</v>
      </c>
      <c r="L81" s="4"/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1.0</v>
      </c>
      <c r="B82" s="84" t="s">
        <v>5</v>
      </c>
      <c r="C82" s="85" t="s">
        <v>176</v>
      </c>
      <c r="D82" s="22">
        <v>900.0</v>
      </c>
      <c r="E82" s="15">
        <f t="shared" si="11"/>
        <v>900</v>
      </c>
      <c r="F82" s="22">
        <f t="shared" si="12"/>
        <v>994.5</v>
      </c>
      <c r="G82" s="101"/>
      <c r="H82" s="101"/>
      <c r="I82" s="87">
        <f>23000/50</f>
        <v>460</v>
      </c>
      <c r="J82" s="15">
        <f t="shared" si="13"/>
        <v>460</v>
      </c>
      <c r="K82" s="15">
        <f t="shared" si="14"/>
        <v>534.5</v>
      </c>
      <c r="L82" s="4"/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>
        <v>2.0</v>
      </c>
      <c r="B83" s="84" t="s">
        <v>33</v>
      </c>
      <c r="C83" s="85" t="s">
        <v>174</v>
      </c>
      <c r="D83" s="22">
        <v>1600.0</v>
      </c>
      <c r="E83" s="15">
        <f t="shared" si="11"/>
        <v>3200</v>
      </c>
      <c r="F83" s="22">
        <f t="shared" si="12"/>
        <v>3536</v>
      </c>
      <c r="G83" s="101"/>
      <c r="H83" s="101"/>
      <c r="I83" s="22">
        <v>1000.0</v>
      </c>
      <c r="J83" s="15">
        <f t="shared" si="13"/>
        <v>2000</v>
      </c>
      <c r="K83" s="15">
        <f t="shared" si="14"/>
        <v>1536</v>
      </c>
      <c r="L83" s="4"/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83">
        <v>1.0</v>
      </c>
      <c r="B84" s="84" t="s">
        <v>18</v>
      </c>
      <c r="C84" s="85" t="s">
        <v>283</v>
      </c>
      <c r="D84" s="22">
        <v>22000.0</v>
      </c>
      <c r="E84" s="15">
        <f t="shared" si="11"/>
        <v>22000</v>
      </c>
      <c r="F84" s="22">
        <f t="shared" si="12"/>
        <v>24310</v>
      </c>
      <c r="G84" s="101"/>
      <c r="H84" s="101"/>
      <c r="I84" s="22">
        <v>17000.0</v>
      </c>
      <c r="J84" s="15">
        <f t="shared" si="13"/>
        <v>17000</v>
      </c>
      <c r="K84" s="15">
        <f t="shared" si="14"/>
        <v>7310</v>
      </c>
      <c r="L84" s="4"/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1.0</v>
      </c>
      <c r="B85" s="84" t="s">
        <v>18</v>
      </c>
      <c r="C85" s="85" t="s">
        <v>304</v>
      </c>
      <c r="D85" s="22">
        <v>65000.0</v>
      </c>
      <c r="E85" s="15">
        <f t="shared" si="11"/>
        <v>65000</v>
      </c>
      <c r="F85" s="22">
        <f t="shared" si="12"/>
        <v>71825</v>
      </c>
      <c r="G85" s="101"/>
      <c r="H85" s="101"/>
      <c r="I85" s="22">
        <v>55000.0</v>
      </c>
      <c r="J85" s="15">
        <f t="shared" si="13"/>
        <v>55000</v>
      </c>
      <c r="K85" s="15">
        <f t="shared" si="14"/>
        <v>16825</v>
      </c>
      <c r="L85" s="23"/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83">
        <v>1.0</v>
      </c>
      <c r="B86" s="84" t="s">
        <v>18</v>
      </c>
      <c r="C86" s="85" t="s">
        <v>276</v>
      </c>
      <c r="D86" s="22">
        <v>80000.0</v>
      </c>
      <c r="E86" s="15">
        <f t="shared" si="11"/>
        <v>80000</v>
      </c>
      <c r="F86" s="22">
        <f t="shared" si="12"/>
        <v>88400</v>
      </c>
      <c r="G86" s="101"/>
      <c r="H86" s="101"/>
      <c r="I86" s="22">
        <v>65000.0</v>
      </c>
      <c r="J86" s="15">
        <f t="shared" si="13"/>
        <v>65000</v>
      </c>
      <c r="K86" s="15">
        <f t="shared" si="14"/>
        <v>23400</v>
      </c>
      <c r="L86" s="4"/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83">
        <v>3.0</v>
      </c>
      <c r="B87" s="84" t="s">
        <v>33</v>
      </c>
      <c r="C87" s="85" t="s">
        <v>55</v>
      </c>
      <c r="D87" s="22">
        <v>2500.0</v>
      </c>
      <c r="E87" s="15">
        <f t="shared" si="11"/>
        <v>7500</v>
      </c>
      <c r="F87" s="22">
        <f t="shared" si="12"/>
        <v>8287.5</v>
      </c>
      <c r="G87" s="101"/>
      <c r="H87" s="101"/>
      <c r="I87" s="22">
        <f>28000/17</f>
        <v>1647.058824</v>
      </c>
      <c r="J87" s="15">
        <f t="shared" si="13"/>
        <v>4941.176471</v>
      </c>
      <c r="K87" s="15">
        <f t="shared" si="14"/>
        <v>3346.323529</v>
      </c>
      <c r="L87" s="4"/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83">
        <v>2.0</v>
      </c>
      <c r="B88" s="84" t="s">
        <v>33</v>
      </c>
      <c r="C88" s="85" t="s">
        <v>56</v>
      </c>
      <c r="D88" s="22">
        <v>2500.0</v>
      </c>
      <c r="E88" s="15">
        <f t="shared" si="11"/>
        <v>5000</v>
      </c>
      <c r="F88" s="22">
        <f t="shared" si="12"/>
        <v>5525</v>
      </c>
      <c r="G88" s="101"/>
      <c r="H88" s="101"/>
      <c r="I88" s="22">
        <f>25000/18</f>
        <v>1388.888889</v>
      </c>
      <c r="J88" s="15">
        <f t="shared" si="13"/>
        <v>2777.777778</v>
      </c>
      <c r="K88" s="15">
        <f t="shared" si="14"/>
        <v>2747.222222</v>
      </c>
      <c r="L88" s="4"/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83">
        <v>2.0</v>
      </c>
      <c r="B89" s="84" t="s">
        <v>231</v>
      </c>
      <c r="C89" s="85" t="s">
        <v>277</v>
      </c>
      <c r="D89" s="22">
        <v>4500.0</v>
      </c>
      <c r="E89" s="15">
        <f t="shared" si="11"/>
        <v>9000</v>
      </c>
      <c r="F89" s="22">
        <f>E89*1.21</f>
        <v>10890</v>
      </c>
      <c r="G89" s="101"/>
      <c r="H89" s="101"/>
      <c r="I89" s="92">
        <f>50000/12</f>
        <v>4166.666667</v>
      </c>
      <c r="J89" s="15">
        <f t="shared" si="13"/>
        <v>8333.333333</v>
      </c>
      <c r="K89" s="15">
        <f t="shared" si="14"/>
        <v>2556.666667</v>
      </c>
      <c r="L89" s="4"/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5"/>
      <c r="B90" s="10"/>
      <c r="C90" s="11"/>
      <c r="D90" s="12"/>
      <c r="E90" s="10"/>
      <c r="F90" s="10"/>
      <c r="G90" s="3"/>
      <c r="H90" s="3"/>
      <c r="I90" s="10"/>
      <c r="J90" s="10"/>
      <c r="K90" s="10"/>
      <c r="L90" s="4"/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5"/>
      <c r="B91" s="10"/>
      <c r="C91" s="11"/>
      <c r="D91" s="12"/>
      <c r="E91" s="15">
        <f t="shared" ref="E91:F91" si="15">SUM(E69:E89)</f>
        <v>329952</v>
      </c>
      <c r="F91" s="15">
        <f t="shared" si="15"/>
        <v>365541.96</v>
      </c>
      <c r="G91" s="101"/>
      <c r="H91" s="101"/>
      <c r="I91" s="101"/>
      <c r="J91" s="101"/>
      <c r="K91" s="15">
        <f>SUM(K69:K89)</f>
        <v>112173.6248</v>
      </c>
      <c r="L91" s="105">
        <f>IFERROR(K91/F91, 0)</f>
        <v>0.3068693531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88"/>
      <c r="B92" s="5"/>
      <c r="C92" s="5"/>
      <c r="D92" s="6"/>
      <c r="E92" s="86"/>
      <c r="F92" s="82"/>
      <c r="G92" s="86"/>
      <c r="H92" s="3"/>
      <c r="I92" s="8"/>
      <c r="J92" s="8"/>
      <c r="K92" s="8"/>
      <c r="L92" s="4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8"/>
      <c r="B93" s="5"/>
      <c r="C93" s="5"/>
      <c r="D93" s="6"/>
      <c r="E93" s="86"/>
      <c r="F93" s="82"/>
      <c r="G93" s="86"/>
      <c r="H93" s="3"/>
      <c r="I93" s="8"/>
      <c r="L93" s="4"/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5" t="s">
        <v>238</v>
      </c>
      <c r="D94" s="22"/>
      <c r="E94" s="86" t="s">
        <v>170</v>
      </c>
      <c r="F94" s="82">
        <v>46066.0</v>
      </c>
      <c r="G94" s="6"/>
      <c r="H94" s="3"/>
      <c r="I94" s="8" t="s">
        <v>3</v>
      </c>
      <c r="L94" s="4"/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103"/>
      <c r="B95" s="101"/>
      <c r="C95" s="104"/>
      <c r="D95" s="101"/>
      <c r="E95" s="101"/>
      <c r="F95" s="101"/>
      <c r="G95" s="101"/>
      <c r="H95" s="101"/>
      <c r="I95" s="101"/>
      <c r="J95" s="101"/>
      <c r="K95" s="101"/>
      <c r="L95" s="4"/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5" t="s">
        <v>4</v>
      </c>
      <c r="B96" s="10" t="s">
        <v>5</v>
      </c>
      <c r="C96" s="96" t="s">
        <v>6</v>
      </c>
      <c r="D96" s="10" t="s">
        <v>7</v>
      </c>
      <c r="E96" s="10" t="s">
        <v>8</v>
      </c>
      <c r="F96" s="10" t="s">
        <v>9</v>
      </c>
      <c r="G96" s="101"/>
      <c r="H96" s="101"/>
      <c r="I96" s="10" t="s">
        <v>260</v>
      </c>
      <c r="J96" s="10" t="s">
        <v>8</v>
      </c>
      <c r="K96" s="10" t="s">
        <v>10</v>
      </c>
      <c r="L96" s="4"/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4.0</v>
      </c>
      <c r="B97" s="84" t="s">
        <v>33</v>
      </c>
      <c r="C97" s="85" t="s">
        <v>24</v>
      </c>
      <c r="D97" s="22">
        <v>4000.0</v>
      </c>
      <c r="E97" s="15">
        <f t="shared" ref="E97:E126" si="16">A97*D97</f>
        <v>16000</v>
      </c>
      <c r="F97" s="22">
        <f t="shared" ref="F97:F126" si="17">E97*1.105</f>
        <v>17680</v>
      </c>
      <c r="G97" s="101"/>
      <c r="H97" s="101"/>
      <c r="I97" s="22">
        <f>27000/8</f>
        <v>3375</v>
      </c>
      <c r="J97" s="15">
        <f t="shared" ref="J97:J126" si="18">I97*A97</f>
        <v>13500</v>
      </c>
      <c r="K97" s="15">
        <f t="shared" ref="K97:K126" si="19">F97-J97</f>
        <v>4180</v>
      </c>
      <c r="L97" s="4"/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4.0</v>
      </c>
      <c r="B98" s="84" t="s">
        <v>33</v>
      </c>
      <c r="C98" s="85" t="s">
        <v>25</v>
      </c>
      <c r="D98" s="22">
        <v>3100.0</v>
      </c>
      <c r="E98" s="15">
        <f t="shared" si="16"/>
        <v>12400</v>
      </c>
      <c r="F98" s="22">
        <f t="shared" si="17"/>
        <v>13702</v>
      </c>
      <c r="G98" s="101"/>
      <c r="H98" s="101"/>
      <c r="I98" s="22">
        <f>12000/8</f>
        <v>1500</v>
      </c>
      <c r="J98" s="15">
        <f t="shared" si="18"/>
        <v>6000</v>
      </c>
      <c r="K98" s="15">
        <f t="shared" si="19"/>
        <v>7702</v>
      </c>
      <c r="L98" s="4"/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4.0</v>
      </c>
      <c r="B99" s="84" t="s">
        <v>33</v>
      </c>
      <c r="C99" s="85" t="s">
        <v>26</v>
      </c>
      <c r="D99" s="22">
        <v>4000.0</v>
      </c>
      <c r="E99" s="15">
        <f t="shared" si="16"/>
        <v>16000</v>
      </c>
      <c r="F99" s="22">
        <f t="shared" si="17"/>
        <v>17680</v>
      </c>
      <c r="G99" s="101"/>
      <c r="H99" s="101"/>
      <c r="I99" s="22">
        <f>25000/8</f>
        <v>3125</v>
      </c>
      <c r="J99" s="15">
        <f t="shared" si="18"/>
        <v>12500</v>
      </c>
      <c r="K99" s="15">
        <f t="shared" si="19"/>
        <v>5180</v>
      </c>
      <c r="L99" s="4"/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2.0</v>
      </c>
      <c r="B100" s="84" t="s">
        <v>33</v>
      </c>
      <c r="C100" s="85" t="s">
        <v>23</v>
      </c>
      <c r="D100" s="22">
        <v>1600.0</v>
      </c>
      <c r="E100" s="15">
        <f t="shared" si="16"/>
        <v>3200</v>
      </c>
      <c r="F100" s="22">
        <f t="shared" si="17"/>
        <v>3536</v>
      </c>
      <c r="G100" s="101"/>
      <c r="H100" s="101"/>
      <c r="I100" s="22">
        <v>1000.0</v>
      </c>
      <c r="J100" s="15">
        <f t="shared" si="18"/>
        <v>2000</v>
      </c>
      <c r="K100" s="15">
        <f t="shared" si="19"/>
        <v>1536</v>
      </c>
      <c r="L100" s="4"/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3.0</v>
      </c>
      <c r="B101" s="84" t="s">
        <v>33</v>
      </c>
      <c r="C101" s="85" t="s">
        <v>22</v>
      </c>
      <c r="D101" s="22">
        <v>1500.0</v>
      </c>
      <c r="E101" s="15">
        <f t="shared" si="16"/>
        <v>4500</v>
      </c>
      <c r="F101" s="22">
        <f t="shared" si="17"/>
        <v>4972.5</v>
      </c>
      <c r="G101" s="101"/>
      <c r="H101" s="101"/>
      <c r="I101" s="22">
        <f>8000/15</f>
        <v>533.3333333</v>
      </c>
      <c r="J101" s="15">
        <f t="shared" si="18"/>
        <v>1600</v>
      </c>
      <c r="K101" s="15">
        <f t="shared" si="19"/>
        <v>3372.5</v>
      </c>
      <c r="L101" s="4"/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2.0</v>
      </c>
      <c r="B102" s="84" t="s">
        <v>50</v>
      </c>
      <c r="C102" s="85" t="s">
        <v>235</v>
      </c>
      <c r="D102" s="22">
        <v>3000.0</v>
      </c>
      <c r="E102" s="15">
        <f t="shared" si="16"/>
        <v>6000</v>
      </c>
      <c r="F102" s="22">
        <f t="shared" si="17"/>
        <v>6630</v>
      </c>
      <c r="G102" s="101"/>
      <c r="H102" s="101"/>
      <c r="I102" s="22">
        <v>2000.0</v>
      </c>
      <c r="J102" s="15">
        <f t="shared" si="18"/>
        <v>4000</v>
      </c>
      <c r="K102" s="15">
        <f t="shared" si="19"/>
        <v>2630</v>
      </c>
      <c r="L102" s="4"/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2.0</v>
      </c>
      <c r="B103" s="84" t="s">
        <v>50</v>
      </c>
      <c r="C103" s="85" t="s">
        <v>171</v>
      </c>
      <c r="D103" s="22">
        <v>3000.0</v>
      </c>
      <c r="E103" s="15">
        <f t="shared" si="16"/>
        <v>6000</v>
      </c>
      <c r="F103" s="22">
        <f t="shared" si="17"/>
        <v>6630</v>
      </c>
      <c r="G103" s="101"/>
      <c r="H103" s="101"/>
      <c r="I103" s="22">
        <v>2000.0</v>
      </c>
      <c r="J103" s="15">
        <f t="shared" si="18"/>
        <v>4000</v>
      </c>
      <c r="K103" s="15">
        <f t="shared" si="19"/>
        <v>2630</v>
      </c>
      <c r="L103" s="4"/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1.0</v>
      </c>
      <c r="B104" s="84" t="s">
        <v>50</v>
      </c>
      <c r="C104" s="85" t="s">
        <v>68</v>
      </c>
      <c r="D104" s="22">
        <v>3500.0</v>
      </c>
      <c r="E104" s="15">
        <f t="shared" si="16"/>
        <v>3500</v>
      </c>
      <c r="F104" s="22">
        <f t="shared" si="17"/>
        <v>3867.5</v>
      </c>
      <c r="G104" s="101"/>
      <c r="H104" s="101"/>
      <c r="I104" s="22">
        <v>1500.0</v>
      </c>
      <c r="J104" s="15">
        <f t="shared" si="18"/>
        <v>1500</v>
      </c>
      <c r="K104" s="15">
        <f t="shared" si="19"/>
        <v>2367.5</v>
      </c>
      <c r="L104" s="4"/>
      <c r="M104" s="1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1.2</v>
      </c>
      <c r="B105" s="84" t="s">
        <v>33</v>
      </c>
      <c r="C105" s="85" t="s">
        <v>236</v>
      </c>
      <c r="D105" s="22">
        <v>5000.0</v>
      </c>
      <c r="E105" s="15">
        <f t="shared" si="16"/>
        <v>6000</v>
      </c>
      <c r="F105" s="22">
        <f t="shared" si="17"/>
        <v>6630</v>
      </c>
      <c r="G105" s="101"/>
      <c r="H105" s="101"/>
      <c r="I105" s="22">
        <v>4000.0</v>
      </c>
      <c r="J105" s="15">
        <f t="shared" si="18"/>
        <v>4800</v>
      </c>
      <c r="K105" s="15">
        <f t="shared" si="19"/>
        <v>1830</v>
      </c>
      <c r="L105" s="4"/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83">
        <v>1.0</v>
      </c>
      <c r="B106" s="84" t="s">
        <v>50</v>
      </c>
      <c r="C106" s="85" t="s">
        <v>104</v>
      </c>
      <c r="D106" s="22">
        <v>2500.0</v>
      </c>
      <c r="E106" s="15">
        <f t="shared" si="16"/>
        <v>2500</v>
      </c>
      <c r="F106" s="22">
        <f t="shared" si="17"/>
        <v>2762.5</v>
      </c>
      <c r="G106" s="101"/>
      <c r="H106" s="101"/>
      <c r="I106" s="22">
        <v>1200.0</v>
      </c>
      <c r="J106" s="15">
        <f t="shared" si="18"/>
        <v>1200</v>
      </c>
      <c r="K106" s="15">
        <f t="shared" si="19"/>
        <v>1562.5</v>
      </c>
      <c r="L106" s="4"/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83">
        <v>1.0</v>
      </c>
      <c r="B107" s="84" t="s">
        <v>38</v>
      </c>
      <c r="C107" s="85" t="s">
        <v>45</v>
      </c>
      <c r="D107" s="22">
        <v>13000.0</v>
      </c>
      <c r="E107" s="15">
        <f t="shared" si="16"/>
        <v>13000</v>
      </c>
      <c r="F107" s="22">
        <f t="shared" si="17"/>
        <v>14365</v>
      </c>
      <c r="G107" s="101"/>
      <c r="H107" s="101"/>
      <c r="I107" s="22">
        <v>8000.0</v>
      </c>
      <c r="J107" s="15">
        <f t="shared" si="18"/>
        <v>8000</v>
      </c>
      <c r="K107" s="15">
        <f t="shared" si="19"/>
        <v>6365</v>
      </c>
      <c r="L107" s="4"/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83">
        <v>2.0</v>
      </c>
      <c r="B108" s="84" t="s">
        <v>33</v>
      </c>
      <c r="C108" s="85" t="s">
        <v>95</v>
      </c>
      <c r="D108" s="22">
        <v>2500.0</v>
      </c>
      <c r="E108" s="15">
        <f t="shared" si="16"/>
        <v>5000</v>
      </c>
      <c r="F108" s="22">
        <f t="shared" si="17"/>
        <v>5525</v>
      </c>
      <c r="G108" s="101"/>
      <c r="H108" s="101"/>
      <c r="I108" s="22">
        <v>1500.0</v>
      </c>
      <c r="J108" s="15">
        <f t="shared" si="18"/>
        <v>3000</v>
      </c>
      <c r="K108" s="15">
        <f t="shared" si="19"/>
        <v>2525</v>
      </c>
      <c r="L108" s="4"/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83">
        <v>4.0</v>
      </c>
      <c r="B109" s="84" t="s">
        <v>33</v>
      </c>
      <c r="C109" s="85" t="s">
        <v>192</v>
      </c>
      <c r="D109" s="22">
        <v>1200.0</v>
      </c>
      <c r="E109" s="15">
        <f t="shared" si="16"/>
        <v>4800</v>
      </c>
      <c r="F109" s="22">
        <f t="shared" si="17"/>
        <v>5304</v>
      </c>
      <c r="G109" s="101"/>
      <c r="H109" s="101"/>
      <c r="I109" s="22">
        <f>10000/15</f>
        <v>666.6666667</v>
      </c>
      <c r="J109" s="15">
        <f t="shared" si="18"/>
        <v>2666.666667</v>
      </c>
      <c r="K109" s="15">
        <f t="shared" si="19"/>
        <v>2637.333333</v>
      </c>
      <c r="L109" s="4"/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83">
        <v>11.0</v>
      </c>
      <c r="B110" s="84" t="s">
        <v>33</v>
      </c>
      <c r="C110" s="85" t="s">
        <v>64</v>
      </c>
      <c r="D110" s="22">
        <v>1600.0</v>
      </c>
      <c r="E110" s="15">
        <f t="shared" si="16"/>
        <v>17600</v>
      </c>
      <c r="F110" s="22">
        <f t="shared" si="17"/>
        <v>19448</v>
      </c>
      <c r="G110" s="101"/>
      <c r="H110" s="101"/>
      <c r="I110" s="22">
        <v>1000.0</v>
      </c>
      <c r="J110" s="15">
        <f t="shared" si="18"/>
        <v>11000</v>
      </c>
      <c r="K110" s="15">
        <f t="shared" si="19"/>
        <v>8448</v>
      </c>
      <c r="L110" s="4"/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83">
        <v>0.8</v>
      </c>
      <c r="B111" s="84" t="s">
        <v>33</v>
      </c>
      <c r="C111" s="85" t="s">
        <v>20</v>
      </c>
      <c r="D111" s="22">
        <v>3500.0</v>
      </c>
      <c r="E111" s="15">
        <f t="shared" si="16"/>
        <v>2800</v>
      </c>
      <c r="F111" s="22">
        <f t="shared" si="17"/>
        <v>3094</v>
      </c>
      <c r="G111" s="101"/>
      <c r="H111" s="101"/>
      <c r="I111" s="22">
        <v>3000.0</v>
      </c>
      <c r="J111" s="15">
        <f t="shared" si="18"/>
        <v>2400</v>
      </c>
      <c r="K111" s="15">
        <f t="shared" si="19"/>
        <v>694</v>
      </c>
      <c r="L111" s="4"/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83">
        <v>1.0</v>
      </c>
      <c r="B112" s="84" t="s">
        <v>33</v>
      </c>
      <c r="C112" s="85" t="s">
        <v>69</v>
      </c>
      <c r="D112" s="22">
        <v>1600.0</v>
      </c>
      <c r="E112" s="15">
        <f t="shared" si="16"/>
        <v>1600</v>
      </c>
      <c r="F112" s="22">
        <f t="shared" si="17"/>
        <v>1768</v>
      </c>
      <c r="G112" s="101"/>
      <c r="H112" s="101"/>
      <c r="I112" s="22">
        <f>10000/9</f>
        <v>1111.111111</v>
      </c>
      <c r="J112" s="15">
        <f t="shared" si="18"/>
        <v>1111.111111</v>
      </c>
      <c r="K112" s="15">
        <f t="shared" si="19"/>
        <v>656.8888889</v>
      </c>
      <c r="L112" s="4"/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83">
        <v>0.5</v>
      </c>
      <c r="B113" s="84" t="s">
        <v>50</v>
      </c>
      <c r="C113" s="85" t="s">
        <v>89</v>
      </c>
      <c r="D113" s="22">
        <v>6000.0</v>
      </c>
      <c r="E113" s="15">
        <f t="shared" si="16"/>
        <v>3000</v>
      </c>
      <c r="F113" s="22">
        <f t="shared" si="17"/>
        <v>3315</v>
      </c>
      <c r="G113" s="101"/>
      <c r="H113" s="101"/>
      <c r="I113" s="22">
        <v>5000.0</v>
      </c>
      <c r="J113" s="15">
        <f t="shared" si="18"/>
        <v>2500</v>
      </c>
      <c r="K113" s="15">
        <f t="shared" si="19"/>
        <v>815</v>
      </c>
      <c r="L113" s="23"/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83">
        <v>2.0</v>
      </c>
      <c r="B114" s="84" t="s">
        <v>33</v>
      </c>
      <c r="C114" s="85" t="s">
        <v>99</v>
      </c>
      <c r="D114" s="22">
        <v>1500.0</v>
      </c>
      <c r="E114" s="15">
        <f t="shared" si="16"/>
        <v>3000</v>
      </c>
      <c r="F114" s="22">
        <f t="shared" si="17"/>
        <v>3315</v>
      </c>
      <c r="G114" s="101"/>
      <c r="H114" s="101"/>
      <c r="I114" s="22">
        <v>882.0</v>
      </c>
      <c r="J114" s="15">
        <f t="shared" si="18"/>
        <v>1764</v>
      </c>
      <c r="K114" s="15">
        <f t="shared" si="19"/>
        <v>1551</v>
      </c>
      <c r="L114" s="4"/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83">
        <v>4.0</v>
      </c>
      <c r="B115" s="84" t="s">
        <v>33</v>
      </c>
      <c r="C115" s="85" t="s">
        <v>174</v>
      </c>
      <c r="D115" s="22">
        <v>1600.0</v>
      </c>
      <c r="E115" s="15">
        <f t="shared" si="16"/>
        <v>6400</v>
      </c>
      <c r="F115" s="22">
        <f t="shared" si="17"/>
        <v>7072</v>
      </c>
      <c r="G115" s="101"/>
      <c r="H115" s="101"/>
      <c r="I115" s="22">
        <v>1000.0</v>
      </c>
      <c r="J115" s="15">
        <f t="shared" si="18"/>
        <v>4000</v>
      </c>
      <c r="K115" s="15">
        <f t="shared" si="19"/>
        <v>3072</v>
      </c>
      <c r="L115" s="4"/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83">
        <v>2.0</v>
      </c>
      <c r="B116" s="84" t="s">
        <v>33</v>
      </c>
      <c r="C116" s="85" t="s">
        <v>67</v>
      </c>
      <c r="D116" s="22">
        <v>800.0</v>
      </c>
      <c r="E116" s="15">
        <f t="shared" si="16"/>
        <v>1600</v>
      </c>
      <c r="F116" s="22">
        <f t="shared" si="17"/>
        <v>1768</v>
      </c>
      <c r="G116" s="101"/>
      <c r="H116" s="101"/>
      <c r="I116" s="22">
        <f>9000/16</f>
        <v>562.5</v>
      </c>
      <c r="J116" s="15">
        <f t="shared" si="18"/>
        <v>1125</v>
      </c>
      <c r="K116" s="15">
        <f t="shared" si="19"/>
        <v>643</v>
      </c>
      <c r="L116" s="4"/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>
        <v>2.0</v>
      </c>
      <c r="B117" s="84" t="s">
        <v>38</v>
      </c>
      <c r="C117" s="85" t="s">
        <v>307</v>
      </c>
      <c r="D117" s="22">
        <v>12000.0</v>
      </c>
      <c r="E117" s="15">
        <f t="shared" si="16"/>
        <v>24000</v>
      </c>
      <c r="F117" s="22">
        <f t="shared" si="17"/>
        <v>26520</v>
      </c>
      <c r="G117" s="101"/>
      <c r="H117" s="101"/>
      <c r="I117" s="22">
        <v>8000.0</v>
      </c>
      <c r="J117" s="15">
        <f t="shared" si="18"/>
        <v>16000</v>
      </c>
      <c r="K117" s="15">
        <f t="shared" si="19"/>
        <v>10520</v>
      </c>
      <c r="L117" s="4"/>
      <c r="M117" s="1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83">
        <v>3.0</v>
      </c>
      <c r="B118" s="84" t="s">
        <v>5</v>
      </c>
      <c r="C118" s="85" t="s">
        <v>87</v>
      </c>
      <c r="D118" s="22">
        <v>1300.0</v>
      </c>
      <c r="E118" s="15">
        <f t="shared" si="16"/>
        <v>3900</v>
      </c>
      <c r="F118" s="22">
        <f t="shared" si="17"/>
        <v>4309.5</v>
      </c>
      <c r="G118" s="101"/>
      <c r="H118" s="101"/>
      <c r="I118" s="22">
        <v>914.0</v>
      </c>
      <c r="J118" s="15">
        <f t="shared" si="18"/>
        <v>2742</v>
      </c>
      <c r="K118" s="15">
        <f t="shared" si="19"/>
        <v>1567.5</v>
      </c>
      <c r="L118" s="4"/>
      <c r="M118" s="1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1.0</v>
      </c>
      <c r="B119" s="84" t="s">
        <v>50</v>
      </c>
      <c r="C119" s="85" t="s">
        <v>16</v>
      </c>
      <c r="D119" s="22">
        <v>1000.0</v>
      </c>
      <c r="E119" s="15">
        <f t="shared" si="16"/>
        <v>1000</v>
      </c>
      <c r="F119" s="22">
        <f t="shared" si="17"/>
        <v>1105</v>
      </c>
      <c r="G119" s="101"/>
      <c r="H119" s="101"/>
      <c r="I119" s="22">
        <v>500.0</v>
      </c>
      <c r="J119" s="15">
        <f t="shared" si="18"/>
        <v>500</v>
      </c>
      <c r="K119" s="15">
        <f t="shared" si="19"/>
        <v>605</v>
      </c>
      <c r="L119" s="4"/>
      <c r="M119" s="1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83">
        <v>8.0</v>
      </c>
      <c r="B120" s="84" t="s">
        <v>33</v>
      </c>
      <c r="C120" s="85" t="s">
        <v>180</v>
      </c>
      <c r="D120" s="22">
        <v>1800.0</v>
      </c>
      <c r="E120" s="15">
        <f t="shared" si="16"/>
        <v>14400</v>
      </c>
      <c r="F120" s="22">
        <f t="shared" si="17"/>
        <v>15912</v>
      </c>
      <c r="G120" s="101"/>
      <c r="H120" s="101"/>
      <c r="I120" s="22">
        <f>13000/10</f>
        <v>1300</v>
      </c>
      <c r="J120" s="15">
        <f t="shared" si="18"/>
        <v>10400</v>
      </c>
      <c r="K120" s="15">
        <f t="shared" si="19"/>
        <v>5512</v>
      </c>
      <c r="L120" s="4"/>
      <c r="M120" s="1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83">
        <v>4.0</v>
      </c>
      <c r="B121" s="84" t="s">
        <v>38</v>
      </c>
      <c r="C121" s="85" t="s">
        <v>179</v>
      </c>
      <c r="D121" s="22">
        <v>21000.0</v>
      </c>
      <c r="E121" s="15">
        <f t="shared" si="16"/>
        <v>84000</v>
      </c>
      <c r="F121" s="22">
        <f t="shared" si="17"/>
        <v>92820</v>
      </c>
      <c r="G121" s="101"/>
      <c r="H121" s="101"/>
      <c r="I121" s="22">
        <v>18000.0</v>
      </c>
      <c r="J121" s="15">
        <f t="shared" si="18"/>
        <v>72000</v>
      </c>
      <c r="K121" s="15">
        <f t="shared" si="19"/>
        <v>20820</v>
      </c>
      <c r="L121" s="4"/>
      <c r="M121" s="1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83">
        <v>1.0</v>
      </c>
      <c r="B122" s="84" t="s">
        <v>18</v>
      </c>
      <c r="C122" s="85" t="s">
        <v>276</v>
      </c>
      <c r="D122" s="22">
        <v>80000.0</v>
      </c>
      <c r="E122" s="15">
        <f t="shared" si="16"/>
        <v>80000</v>
      </c>
      <c r="F122" s="22">
        <f t="shared" si="17"/>
        <v>88400</v>
      </c>
      <c r="G122" s="101"/>
      <c r="H122" s="101"/>
      <c r="I122" s="22">
        <v>65000.0</v>
      </c>
      <c r="J122" s="15">
        <f t="shared" si="18"/>
        <v>65000</v>
      </c>
      <c r="K122" s="15">
        <f t="shared" si="19"/>
        <v>23400</v>
      </c>
      <c r="L122" s="4"/>
      <c r="M122" s="1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83">
        <v>1.0</v>
      </c>
      <c r="B123" s="84" t="s">
        <v>18</v>
      </c>
      <c r="C123" s="85" t="s">
        <v>283</v>
      </c>
      <c r="D123" s="22">
        <v>22000.0</v>
      </c>
      <c r="E123" s="15">
        <f t="shared" si="16"/>
        <v>22000</v>
      </c>
      <c r="F123" s="22">
        <f t="shared" si="17"/>
        <v>24310</v>
      </c>
      <c r="G123" s="101"/>
      <c r="H123" s="101"/>
      <c r="I123" s="22">
        <v>17000.0</v>
      </c>
      <c r="J123" s="15">
        <f t="shared" si="18"/>
        <v>17000</v>
      </c>
      <c r="K123" s="15">
        <f t="shared" si="19"/>
        <v>7310</v>
      </c>
      <c r="L123" s="4"/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83">
        <v>10.0</v>
      </c>
      <c r="B124" s="84" t="s">
        <v>33</v>
      </c>
      <c r="C124" s="85" t="s">
        <v>304</v>
      </c>
      <c r="D124" s="22">
        <v>4000.0</v>
      </c>
      <c r="E124" s="15">
        <f t="shared" si="16"/>
        <v>40000</v>
      </c>
      <c r="F124" s="22">
        <f t="shared" si="17"/>
        <v>44200</v>
      </c>
      <c r="G124" s="101"/>
      <c r="H124" s="101"/>
      <c r="I124" s="22">
        <f>55000/18</f>
        <v>3055.555556</v>
      </c>
      <c r="J124" s="15">
        <f t="shared" si="18"/>
        <v>30555.55556</v>
      </c>
      <c r="K124" s="15">
        <f t="shared" si="19"/>
        <v>13644.44444</v>
      </c>
      <c r="L124" s="4"/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3">
        <v>3.0</v>
      </c>
      <c r="B125" s="84" t="s">
        <v>33</v>
      </c>
      <c r="C125" s="85" t="s">
        <v>55</v>
      </c>
      <c r="D125" s="22">
        <v>2500.0</v>
      </c>
      <c r="E125" s="15">
        <f t="shared" si="16"/>
        <v>7500</v>
      </c>
      <c r="F125" s="22">
        <f t="shared" si="17"/>
        <v>8287.5</v>
      </c>
      <c r="G125" s="101"/>
      <c r="H125" s="101"/>
      <c r="I125" s="22">
        <f>28000/17</f>
        <v>1647.058824</v>
      </c>
      <c r="J125" s="15">
        <f t="shared" si="18"/>
        <v>4941.176471</v>
      </c>
      <c r="K125" s="15">
        <f t="shared" si="19"/>
        <v>3346.323529</v>
      </c>
      <c r="L125" s="4"/>
      <c r="M125" s="1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3">
        <v>11.5</v>
      </c>
      <c r="B126" s="84" t="s">
        <v>33</v>
      </c>
      <c r="C126" s="85" t="s">
        <v>119</v>
      </c>
      <c r="D126" s="22">
        <v>4500.0</v>
      </c>
      <c r="E126" s="15">
        <f t="shared" si="16"/>
        <v>51750</v>
      </c>
      <c r="F126" s="22">
        <f t="shared" si="17"/>
        <v>57183.75</v>
      </c>
      <c r="G126" s="101"/>
      <c r="H126" s="101"/>
      <c r="I126" s="22">
        <f>50000/14</f>
        <v>3571.428571</v>
      </c>
      <c r="J126" s="15">
        <f t="shared" si="18"/>
        <v>41071.42857</v>
      </c>
      <c r="K126" s="15">
        <f t="shared" si="19"/>
        <v>16112.32143</v>
      </c>
      <c r="L126" s="4"/>
      <c r="M126" s="1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5"/>
      <c r="B127" s="10"/>
      <c r="C127" s="11"/>
      <c r="D127" s="12"/>
      <c r="E127" s="10"/>
      <c r="F127" s="10"/>
      <c r="G127" s="3"/>
      <c r="H127" s="3"/>
      <c r="I127" s="10"/>
      <c r="J127" s="10"/>
      <c r="K127" s="10"/>
      <c r="L127" s="4"/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5"/>
      <c r="B128" s="10"/>
      <c r="C128" s="11"/>
      <c r="D128" s="12"/>
      <c r="E128" s="15">
        <f t="shared" ref="E128:F128" si="20">SUM(E97:E126)</f>
        <v>463450</v>
      </c>
      <c r="F128" s="15">
        <f t="shared" si="20"/>
        <v>512112.25</v>
      </c>
      <c r="G128" s="101"/>
      <c r="H128" s="101"/>
      <c r="I128" s="101"/>
      <c r="J128" s="101"/>
      <c r="K128" s="15">
        <f>SUM(K97:K126)</f>
        <v>163235.3116</v>
      </c>
      <c r="L128" s="105">
        <f>IFERROR(K128/E128, 0)</f>
        <v>0.35221774</v>
      </c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24"/>
      <c r="B129" s="24"/>
      <c r="C129" s="24"/>
      <c r="D129" s="81"/>
      <c r="E129" s="82"/>
      <c r="F129" s="33"/>
      <c r="G129" s="25"/>
      <c r="H129" s="25"/>
      <c r="I129" s="16"/>
      <c r="J129" s="16"/>
      <c r="K129" s="16"/>
      <c r="L129" s="34"/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B130" s="25"/>
      <c r="C130" s="35"/>
      <c r="D130" s="25"/>
      <c r="E130" s="25"/>
      <c r="F130" s="25"/>
      <c r="G130" s="25"/>
      <c r="H130" s="25"/>
      <c r="I130" s="16"/>
      <c r="J130" s="16"/>
      <c r="K130" s="16"/>
      <c r="L130" s="34"/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5" t="s">
        <v>234</v>
      </c>
      <c r="D131" s="22"/>
      <c r="E131" s="86" t="s">
        <v>170</v>
      </c>
      <c r="F131" s="82">
        <v>46066.0</v>
      </c>
      <c r="G131" s="6"/>
      <c r="H131" s="3"/>
      <c r="I131" s="8" t="s">
        <v>3</v>
      </c>
      <c r="L131" s="4"/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103"/>
      <c r="B132" s="101"/>
      <c r="C132" s="104"/>
      <c r="D132" s="101"/>
      <c r="E132" s="101"/>
      <c r="F132" s="101"/>
      <c r="G132" s="101"/>
      <c r="H132" s="101"/>
      <c r="I132" s="101"/>
      <c r="J132" s="101"/>
      <c r="K132" s="101"/>
      <c r="L132" s="4"/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5" t="s">
        <v>4</v>
      </c>
      <c r="B133" s="10" t="s">
        <v>5</v>
      </c>
      <c r="C133" s="96" t="s">
        <v>6</v>
      </c>
      <c r="D133" s="10" t="s">
        <v>7</v>
      </c>
      <c r="E133" s="10" t="s">
        <v>8</v>
      </c>
      <c r="F133" s="10" t="s">
        <v>9</v>
      </c>
      <c r="G133" s="101"/>
      <c r="H133" s="101"/>
      <c r="I133" s="10" t="s">
        <v>260</v>
      </c>
      <c r="J133" s="10" t="s">
        <v>8</v>
      </c>
      <c r="K133" s="10" t="s">
        <v>10</v>
      </c>
      <c r="L133" s="4"/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83">
        <v>2.0</v>
      </c>
      <c r="B134" s="84" t="s">
        <v>5</v>
      </c>
      <c r="C134" s="85" t="s">
        <v>176</v>
      </c>
      <c r="D134" s="22">
        <v>900.0</v>
      </c>
      <c r="E134" s="15">
        <f t="shared" ref="E134:E155" si="21">A134*D134</f>
        <v>1800</v>
      </c>
      <c r="F134" s="22">
        <f t="shared" ref="F134:F154" si="22">E134*1.105</f>
        <v>1989</v>
      </c>
      <c r="G134" s="101"/>
      <c r="H134" s="101"/>
      <c r="I134" s="87">
        <f>23000/50</f>
        <v>460</v>
      </c>
      <c r="J134" s="15">
        <f t="shared" ref="J134:J155" si="23">I134*A134</f>
        <v>920</v>
      </c>
      <c r="K134" s="15">
        <f t="shared" ref="K134:K155" si="24">F134-J134</f>
        <v>1069</v>
      </c>
      <c r="L134" s="4"/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3">
        <v>1.0</v>
      </c>
      <c r="B135" s="84" t="s">
        <v>38</v>
      </c>
      <c r="C135" s="85" t="s">
        <v>180</v>
      </c>
      <c r="D135" s="22">
        <v>16000.0</v>
      </c>
      <c r="E135" s="15">
        <f t="shared" si="21"/>
        <v>16000</v>
      </c>
      <c r="F135" s="22">
        <f t="shared" si="22"/>
        <v>17680</v>
      </c>
      <c r="G135" s="101"/>
      <c r="H135" s="101"/>
      <c r="I135" s="22">
        <v>13000.0</v>
      </c>
      <c r="J135" s="15">
        <f t="shared" si="23"/>
        <v>13000</v>
      </c>
      <c r="K135" s="15">
        <f t="shared" si="24"/>
        <v>4680</v>
      </c>
      <c r="L135" s="4"/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83">
        <v>3.0</v>
      </c>
      <c r="B136" s="84" t="s">
        <v>33</v>
      </c>
      <c r="C136" s="85" t="s">
        <v>67</v>
      </c>
      <c r="D136" s="22">
        <v>800.0</v>
      </c>
      <c r="E136" s="15">
        <f t="shared" si="21"/>
        <v>2400</v>
      </c>
      <c r="F136" s="22">
        <f t="shared" si="22"/>
        <v>2652</v>
      </c>
      <c r="G136" s="101"/>
      <c r="H136" s="101"/>
      <c r="I136" s="22">
        <f>9000/16</f>
        <v>562.5</v>
      </c>
      <c r="J136" s="15">
        <f t="shared" si="23"/>
        <v>1687.5</v>
      </c>
      <c r="K136" s="15">
        <f t="shared" si="24"/>
        <v>964.5</v>
      </c>
      <c r="L136" s="4"/>
      <c r="M136" s="1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83">
        <v>4.0</v>
      </c>
      <c r="B137" s="84" t="s">
        <v>33</v>
      </c>
      <c r="C137" s="85" t="s">
        <v>174</v>
      </c>
      <c r="D137" s="22">
        <v>1600.0</v>
      </c>
      <c r="E137" s="15">
        <f t="shared" si="21"/>
        <v>6400</v>
      </c>
      <c r="F137" s="22">
        <f t="shared" si="22"/>
        <v>7072</v>
      </c>
      <c r="G137" s="101"/>
      <c r="H137" s="101"/>
      <c r="I137" s="22">
        <v>1000.0</v>
      </c>
      <c r="J137" s="15">
        <f t="shared" si="23"/>
        <v>4000</v>
      </c>
      <c r="K137" s="15">
        <f t="shared" si="24"/>
        <v>3072</v>
      </c>
      <c r="L137" s="4"/>
      <c r="M137" s="1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83">
        <v>1.0</v>
      </c>
      <c r="B138" s="84" t="s">
        <v>50</v>
      </c>
      <c r="C138" s="85" t="s">
        <v>171</v>
      </c>
      <c r="D138" s="22">
        <v>3000.0</v>
      </c>
      <c r="E138" s="15">
        <f t="shared" si="21"/>
        <v>3000</v>
      </c>
      <c r="F138" s="22">
        <f t="shared" si="22"/>
        <v>3315</v>
      </c>
      <c r="G138" s="101"/>
      <c r="H138" s="101"/>
      <c r="I138" s="22">
        <v>2000.0</v>
      </c>
      <c r="J138" s="15">
        <f t="shared" si="23"/>
        <v>2000</v>
      </c>
      <c r="K138" s="15">
        <f t="shared" si="24"/>
        <v>1315</v>
      </c>
      <c r="L138" s="4"/>
      <c r="M138" s="1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83">
        <v>1.0</v>
      </c>
      <c r="B139" s="84" t="s">
        <v>50</v>
      </c>
      <c r="C139" s="85" t="s">
        <v>235</v>
      </c>
      <c r="D139" s="22">
        <v>3000.0</v>
      </c>
      <c r="E139" s="15">
        <f t="shared" si="21"/>
        <v>3000</v>
      </c>
      <c r="F139" s="22">
        <f t="shared" si="22"/>
        <v>3315</v>
      </c>
      <c r="G139" s="101"/>
      <c r="H139" s="101"/>
      <c r="I139" s="22">
        <v>2000.0</v>
      </c>
      <c r="J139" s="15">
        <f t="shared" si="23"/>
        <v>2000</v>
      </c>
      <c r="K139" s="15">
        <f t="shared" si="24"/>
        <v>1315</v>
      </c>
      <c r="L139" s="4"/>
      <c r="M139" s="1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83">
        <v>0.5</v>
      </c>
      <c r="B140" s="84" t="s">
        <v>50</v>
      </c>
      <c r="C140" s="85" t="s">
        <v>312</v>
      </c>
      <c r="D140" s="22">
        <v>5000.0</v>
      </c>
      <c r="E140" s="15">
        <f t="shared" si="21"/>
        <v>2500</v>
      </c>
      <c r="F140" s="22">
        <f t="shared" si="22"/>
        <v>2762.5</v>
      </c>
      <c r="G140" s="101"/>
      <c r="H140" s="101"/>
      <c r="I140" s="22">
        <v>4000.0</v>
      </c>
      <c r="J140" s="15">
        <f t="shared" si="23"/>
        <v>2000</v>
      </c>
      <c r="K140" s="15">
        <f t="shared" si="24"/>
        <v>762.5</v>
      </c>
      <c r="L140" s="4"/>
      <c r="M140" s="1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83">
        <v>1.5</v>
      </c>
      <c r="B141" s="84" t="s">
        <v>18</v>
      </c>
      <c r="C141" s="85" t="s">
        <v>276</v>
      </c>
      <c r="D141" s="22">
        <v>80000.0</v>
      </c>
      <c r="E141" s="15">
        <f t="shared" si="21"/>
        <v>120000</v>
      </c>
      <c r="F141" s="22">
        <f t="shared" si="22"/>
        <v>132600</v>
      </c>
      <c r="G141" s="101"/>
      <c r="H141" s="101"/>
      <c r="I141" s="22">
        <v>65000.0</v>
      </c>
      <c r="J141" s="15">
        <f t="shared" si="23"/>
        <v>97500</v>
      </c>
      <c r="K141" s="15">
        <f t="shared" si="24"/>
        <v>35100</v>
      </c>
      <c r="L141" s="4"/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83">
        <v>1.5</v>
      </c>
      <c r="B142" s="84" t="s">
        <v>18</v>
      </c>
      <c r="C142" s="85" t="s">
        <v>304</v>
      </c>
      <c r="D142" s="22">
        <v>65000.0</v>
      </c>
      <c r="E142" s="15">
        <f t="shared" si="21"/>
        <v>97500</v>
      </c>
      <c r="F142" s="22">
        <f t="shared" si="22"/>
        <v>107737.5</v>
      </c>
      <c r="G142" s="101"/>
      <c r="H142" s="101"/>
      <c r="I142" s="22">
        <v>55000.0</v>
      </c>
      <c r="J142" s="15">
        <f t="shared" si="23"/>
        <v>82500</v>
      </c>
      <c r="K142" s="15">
        <f t="shared" si="24"/>
        <v>25237.5</v>
      </c>
      <c r="L142" s="4"/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83">
        <v>4.0</v>
      </c>
      <c r="B143" s="84" t="s">
        <v>38</v>
      </c>
      <c r="C143" s="85" t="s">
        <v>179</v>
      </c>
      <c r="D143" s="22">
        <v>21000.0</v>
      </c>
      <c r="E143" s="15">
        <f t="shared" si="21"/>
        <v>84000</v>
      </c>
      <c r="F143" s="22">
        <f t="shared" si="22"/>
        <v>92820</v>
      </c>
      <c r="G143" s="101"/>
      <c r="H143" s="101"/>
      <c r="I143" s="22">
        <v>18000.0</v>
      </c>
      <c r="J143" s="15">
        <f t="shared" si="23"/>
        <v>72000</v>
      </c>
      <c r="K143" s="15">
        <f t="shared" si="24"/>
        <v>20820</v>
      </c>
      <c r="L143" s="4"/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83">
        <v>1.0</v>
      </c>
      <c r="B144" s="84" t="s">
        <v>50</v>
      </c>
      <c r="C144" s="85" t="s">
        <v>68</v>
      </c>
      <c r="D144" s="22">
        <v>3500.0</v>
      </c>
      <c r="E144" s="15">
        <f t="shared" si="21"/>
        <v>3500</v>
      </c>
      <c r="F144" s="22">
        <f t="shared" si="22"/>
        <v>3867.5</v>
      </c>
      <c r="G144" s="101"/>
      <c r="H144" s="101"/>
      <c r="I144" s="22">
        <v>1500.0</v>
      </c>
      <c r="J144" s="15">
        <f t="shared" si="23"/>
        <v>1500</v>
      </c>
      <c r="K144" s="15">
        <f t="shared" si="24"/>
        <v>2367.5</v>
      </c>
      <c r="L144" s="4"/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83">
        <v>5.0</v>
      </c>
      <c r="B145" s="84" t="s">
        <v>33</v>
      </c>
      <c r="C145" s="85" t="s">
        <v>24</v>
      </c>
      <c r="D145" s="22">
        <v>4000.0</v>
      </c>
      <c r="E145" s="15">
        <f t="shared" si="21"/>
        <v>20000</v>
      </c>
      <c r="F145" s="22">
        <f t="shared" si="22"/>
        <v>22100</v>
      </c>
      <c r="G145" s="101"/>
      <c r="H145" s="101"/>
      <c r="I145" s="22">
        <f>27000/8</f>
        <v>3375</v>
      </c>
      <c r="J145" s="15">
        <f t="shared" si="23"/>
        <v>16875</v>
      </c>
      <c r="K145" s="15">
        <f t="shared" si="24"/>
        <v>5225</v>
      </c>
      <c r="L145" s="4"/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83">
        <v>4.0</v>
      </c>
      <c r="B146" s="84" t="s">
        <v>33</v>
      </c>
      <c r="C146" s="85" t="s">
        <v>25</v>
      </c>
      <c r="D146" s="22">
        <v>3100.0</v>
      </c>
      <c r="E146" s="15">
        <f t="shared" si="21"/>
        <v>12400</v>
      </c>
      <c r="F146" s="22">
        <f t="shared" si="22"/>
        <v>13702</v>
      </c>
      <c r="G146" s="101"/>
      <c r="H146" s="101"/>
      <c r="I146" s="22">
        <f>12000/8</f>
        <v>1500</v>
      </c>
      <c r="J146" s="15">
        <f t="shared" si="23"/>
        <v>6000</v>
      </c>
      <c r="K146" s="15">
        <f t="shared" si="24"/>
        <v>7702</v>
      </c>
      <c r="L146" s="4"/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83">
        <v>6.0</v>
      </c>
      <c r="B147" s="84" t="s">
        <v>33</v>
      </c>
      <c r="C147" s="85" t="s">
        <v>99</v>
      </c>
      <c r="D147" s="22">
        <v>1500.0</v>
      </c>
      <c r="E147" s="15">
        <f t="shared" si="21"/>
        <v>9000</v>
      </c>
      <c r="F147" s="22">
        <f t="shared" si="22"/>
        <v>9945</v>
      </c>
      <c r="G147" s="101"/>
      <c r="H147" s="101"/>
      <c r="I147" s="22">
        <v>882.0</v>
      </c>
      <c r="J147" s="15">
        <f t="shared" si="23"/>
        <v>5292</v>
      </c>
      <c r="K147" s="15">
        <f t="shared" si="24"/>
        <v>4653</v>
      </c>
      <c r="L147" s="4"/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83">
        <v>4.0</v>
      </c>
      <c r="B148" s="84" t="s">
        <v>33</v>
      </c>
      <c r="C148" s="85" t="s">
        <v>98</v>
      </c>
      <c r="D148" s="22">
        <v>1500.0</v>
      </c>
      <c r="E148" s="15">
        <f t="shared" si="21"/>
        <v>6000</v>
      </c>
      <c r="F148" s="22">
        <f t="shared" si="22"/>
        <v>6630</v>
      </c>
      <c r="G148" s="101"/>
      <c r="H148" s="101"/>
      <c r="I148" s="22">
        <v>882.0</v>
      </c>
      <c r="J148" s="15">
        <f t="shared" si="23"/>
        <v>3528</v>
      </c>
      <c r="K148" s="15">
        <f t="shared" si="24"/>
        <v>3102</v>
      </c>
      <c r="L148" s="4"/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83">
        <v>25.0</v>
      </c>
      <c r="B149" s="84" t="s">
        <v>33</v>
      </c>
      <c r="C149" s="85" t="s">
        <v>64</v>
      </c>
      <c r="D149" s="22">
        <v>1600.0</v>
      </c>
      <c r="E149" s="15">
        <f t="shared" si="21"/>
        <v>40000</v>
      </c>
      <c r="F149" s="22">
        <f t="shared" si="22"/>
        <v>44200</v>
      </c>
      <c r="G149" s="101"/>
      <c r="H149" s="101"/>
      <c r="I149" s="22">
        <v>1000.0</v>
      </c>
      <c r="J149" s="15">
        <f t="shared" si="23"/>
        <v>25000</v>
      </c>
      <c r="K149" s="15">
        <f t="shared" si="24"/>
        <v>19200</v>
      </c>
      <c r="L149" s="4"/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83">
        <v>5.0</v>
      </c>
      <c r="B150" s="84" t="s">
        <v>38</v>
      </c>
      <c r="C150" s="85" t="s">
        <v>307</v>
      </c>
      <c r="D150" s="22">
        <v>12000.0</v>
      </c>
      <c r="E150" s="15">
        <f t="shared" si="21"/>
        <v>60000</v>
      </c>
      <c r="F150" s="22">
        <f t="shared" si="22"/>
        <v>66300</v>
      </c>
      <c r="G150" s="101"/>
      <c r="H150" s="101"/>
      <c r="I150" s="22">
        <v>8000.0</v>
      </c>
      <c r="J150" s="15">
        <f t="shared" si="23"/>
        <v>40000</v>
      </c>
      <c r="K150" s="15">
        <f t="shared" si="24"/>
        <v>26300</v>
      </c>
      <c r="L150" s="23"/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83">
        <v>4.0</v>
      </c>
      <c r="B151" s="84" t="s">
        <v>33</v>
      </c>
      <c r="C151" s="85" t="s">
        <v>279</v>
      </c>
      <c r="D151" s="22">
        <v>4000.0</v>
      </c>
      <c r="E151" s="15">
        <f t="shared" si="21"/>
        <v>16000</v>
      </c>
      <c r="F151" s="22">
        <f t="shared" si="22"/>
        <v>17680</v>
      </c>
      <c r="G151" s="101"/>
      <c r="H151" s="101"/>
      <c r="I151" s="87">
        <f>15000/7</f>
        <v>2142.857143</v>
      </c>
      <c r="J151" s="15">
        <f t="shared" si="23"/>
        <v>8571.428571</v>
      </c>
      <c r="K151" s="15">
        <f t="shared" si="24"/>
        <v>9108.571429</v>
      </c>
      <c r="L151" s="4"/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83">
        <v>3.0</v>
      </c>
      <c r="B152" s="84" t="s">
        <v>33</v>
      </c>
      <c r="C152" s="85" t="s">
        <v>69</v>
      </c>
      <c r="D152" s="22">
        <v>1600.0</v>
      </c>
      <c r="E152" s="15">
        <f t="shared" si="21"/>
        <v>4800</v>
      </c>
      <c r="F152" s="22">
        <f t="shared" si="22"/>
        <v>5304</v>
      </c>
      <c r="G152" s="101"/>
      <c r="H152" s="101"/>
      <c r="I152" s="22">
        <f>10000/9</f>
        <v>1111.111111</v>
      </c>
      <c r="J152" s="15">
        <f t="shared" si="23"/>
        <v>3333.333333</v>
      </c>
      <c r="K152" s="15">
        <f t="shared" si="24"/>
        <v>1970.666667</v>
      </c>
      <c r="L152" s="4"/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83">
        <v>1.0</v>
      </c>
      <c r="B153" s="84" t="s">
        <v>38</v>
      </c>
      <c r="C153" s="85" t="s">
        <v>45</v>
      </c>
      <c r="D153" s="22">
        <v>13000.0</v>
      </c>
      <c r="E153" s="15">
        <f t="shared" si="21"/>
        <v>13000</v>
      </c>
      <c r="F153" s="22">
        <f t="shared" si="22"/>
        <v>14365</v>
      </c>
      <c r="G153" s="101"/>
      <c r="H153" s="101"/>
      <c r="I153" s="22">
        <v>8000.0</v>
      </c>
      <c r="J153" s="15">
        <f t="shared" si="23"/>
        <v>8000</v>
      </c>
      <c r="K153" s="15">
        <f t="shared" si="24"/>
        <v>6365</v>
      </c>
      <c r="L153" s="4"/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83">
        <v>1.0</v>
      </c>
      <c r="B154" s="84" t="s">
        <v>33</v>
      </c>
      <c r="C154" s="85" t="s">
        <v>104</v>
      </c>
      <c r="D154" s="22">
        <v>2500.0</v>
      </c>
      <c r="E154" s="15">
        <f t="shared" si="21"/>
        <v>2500</v>
      </c>
      <c r="F154" s="22">
        <f t="shared" si="22"/>
        <v>2762.5</v>
      </c>
      <c r="G154" s="101"/>
      <c r="H154" s="101"/>
      <c r="I154" s="22">
        <v>1200.0</v>
      </c>
      <c r="J154" s="15">
        <f t="shared" si="23"/>
        <v>1200</v>
      </c>
      <c r="K154" s="15">
        <f t="shared" si="24"/>
        <v>1562.5</v>
      </c>
      <c r="L154" s="4"/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83">
        <v>0.5</v>
      </c>
      <c r="B155" s="84" t="s">
        <v>18</v>
      </c>
      <c r="C155" s="85" t="s">
        <v>277</v>
      </c>
      <c r="D155" s="22">
        <v>52000.0</v>
      </c>
      <c r="E155" s="15">
        <f t="shared" si="21"/>
        <v>26000</v>
      </c>
      <c r="F155" s="22">
        <f>E155*1.21</f>
        <v>31460</v>
      </c>
      <c r="G155" s="101"/>
      <c r="H155" s="101"/>
      <c r="I155" s="22">
        <v>50000.0</v>
      </c>
      <c r="J155" s="15">
        <f t="shared" si="23"/>
        <v>25000</v>
      </c>
      <c r="K155" s="15">
        <f t="shared" si="24"/>
        <v>6460</v>
      </c>
      <c r="L155" s="4"/>
      <c r="M155" s="1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5"/>
      <c r="B156" s="10"/>
      <c r="C156" s="11"/>
      <c r="D156" s="12"/>
      <c r="E156" s="10"/>
      <c r="F156" s="10"/>
      <c r="G156" s="3"/>
      <c r="H156" s="3"/>
      <c r="I156" s="10"/>
      <c r="J156" s="10"/>
      <c r="K156" s="10"/>
      <c r="L156" s="4"/>
      <c r="M156" s="1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5"/>
      <c r="B157" s="10"/>
      <c r="C157" s="11"/>
      <c r="D157" s="12"/>
      <c r="E157" s="15">
        <f t="shared" ref="E157:F157" si="25">SUM(E134:E155)</f>
        <v>549800</v>
      </c>
      <c r="F157" s="15">
        <f t="shared" si="25"/>
        <v>610259</v>
      </c>
      <c r="G157" s="101"/>
      <c r="H157" s="101"/>
      <c r="I157" s="101"/>
      <c r="J157" s="101"/>
      <c r="K157" s="15">
        <f>SUM(K134:K155)</f>
        <v>188351.7381</v>
      </c>
      <c r="L157" s="105">
        <f>IFERROR(K157/F157, 0)</f>
        <v>0.3086422947</v>
      </c>
      <c r="M157" s="1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30"/>
      <c r="B158" s="31"/>
      <c r="C158" s="2"/>
      <c r="D158" s="3"/>
      <c r="E158" s="3"/>
      <c r="F158" s="3"/>
      <c r="G158" s="2"/>
      <c r="H158" s="2"/>
      <c r="I158" s="2"/>
      <c r="J158" s="2"/>
      <c r="K158" s="3"/>
      <c r="L158" s="4"/>
      <c r="M158" s="2"/>
      <c r="N158" s="2"/>
      <c r="O158" s="2"/>
      <c r="P158" s="2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5" t="s">
        <v>313</v>
      </c>
      <c r="D159" s="22"/>
      <c r="E159" s="86" t="s">
        <v>44</v>
      </c>
      <c r="F159" s="82">
        <v>46065.0</v>
      </c>
      <c r="G159" s="6"/>
      <c r="H159" s="3"/>
      <c r="I159" s="8" t="s">
        <v>3</v>
      </c>
      <c r="L159" s="4"/>
      <c r="M159" s="1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103"/>
      <c r="B160" s="101"/>
      <c r="C160" s="104"/>
      <c r="D160" s="101"/>
      <c r="E160" s="101"/>
      <c r="F160" s="101"/>
      <c r="G160" s="101"/>
      <c r="H160" s="101"/>
      <c r="I160" s="101"/>
      <c r="J160" s="101"/>
      <c r="K160" s="101"/>
      <c r="L160" s="4"/>
      <c r="M160" s="1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5" t="s">
        <v>4</v>
      </c>
      <c r="B161" s="10" t="s">
        <v>5</v>
      </c>
      <c r="C161" s="96" t="s">
        <v>6</v>
      </c>
      <c r="D161" s="10" t="s">
        <v>7</v>
      </c>
      <c r="E161" s="10" t="s">
        <v>8</v>
      </c>
      <c r="F161" s="10" t="s">
        <v>9</v>
      </c>
      <c r="G161" s="101"/>
      <c r="H161" s="101"/>
      <c r="I161" s="10" t="s">
        <v>260</v>
      </c>
      <c r="J161" s="10" t="s">
        <v>8</v>
      </c>
      <c r="K161" s="10" t="s">
        <v>10</v>
      </c>
      <c r="L161" s="4"/>
      <c r="M161" s="1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83">
        <v>1.0</v>
      </c>
      <c r="B162" s="84" t="s">
        <v>50</v>
      </c>
      <c r="C162" s="85" t="s">
        <v>104</v>
      </c>
      <c r="D162" s="22">
        <v>2500.0</v>
      </c>
      <c r="E162" s="15">
        <f t="shared" ref="E162:E186" si="26">A162*D162</f>
        <v>2500</v>
      </c>
      <c r="F162" s="22">
        <f t="shared" ref="F162:F185" si="27">E162*1.105</f>
        <v>2762.5</v>
      </c>
      <c r="G162" s="101"/>
      <c r="H162" s="101"/>
      <c r="I162" s="22">
        <v>1200.0</v>
      </c>
      <c r="J162" s="15">
        <f t="shared" ref="J162:J186" si="28">I162*A162</f>
        <v>1200</v>
      </c>
      <c r="K162" s="15">
        <f t="shared" ref="K162:K186" si="29">F162-J162</f>
        <v>1562.5</v>
      </c>
      <c r="L162" s="4"/>
      <c r="M162" s="1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83">
        <v>3.0</v>
      </c>
      <c r="B163" s="84" t="s">
        <v>33</v>
      </c>
      <c r="C163" s="85" t="s">
        <v>180</v>
      </c>
      <c r="D163" s="22">
        <v>1800.0</v>
      </c>
      <c r="E163" s="15">
        <f t="shared" si="26"/>
        <v>5400</v>
      </c>
      <c r="F163" s="22">
        <f t="shared" si="27"/>
        <v>5967</v>
      </c>
      <c r="G163" s="101"/>
      <c r="H163" s="101"/>
      <c r="I163" s="22">
        <f>13000/10</f>
        <v>1300</v>
      </c>
      <c r="J163" s="15">
        <f t="shared" si="28"/>
        <v>3900</v>
      </c>
      <c r="K163" s="15">
        <f t="shared" si="29"/>
        <v>2067</v>
      </c>
      <c r="L163" s="4"/>
      <c r="M163" s="1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83">
        <v>2.0</v>
      </c>
      <c r="B164" s="84" t="s">
        <v>38</v>
      </c>
      <c r="C164" s="85" t="s">
        <v>179</v>
      </c>
      <c r="D164" s="22">
        <v>21000.0</v>
      </c>
      <c r="E164" s="15">
        <f t="shared" si="26"/>
        <v>42000</v>
      </c>
      <c r="F164" s="22">
        <f t="shared" si="27"/>
        <v>46410</v>
      </c>
      <c r="G164" s="101"/>
      <c r="H164" s="101"/>
      <c r="I164" s="22">
        <v>18000.0</v>
      </c>
      <c r="J164" s="15">
        <f t="shared" si="28"/>
        <v>36000</v>
      </c>
      <c r="K164" s="15">
        <f t="shared" si="29"/>
        <v>10410</v>
      </c>
      <c r="L164" s="4"/>
      <c r="M164" s="1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83">
        <v>2.0</v>
      </c>
      <c r="B165" s="84" t="s">
        <v>5</v>
      </c>
      <c r="C165" s="85" t="s">
        <v>95</v>
      </c>
      <c r="D165" s="22">
        <v>2500.0</v>
      </c>
      <c r="E165" s="15">
        <f t="shared" si="26"/>
        <v>5000</v>
      </c>
      <c r="F165" s="22">
        <f t="shared" si="27"/>
        <v>5525</v>
      </c>
      <c r="G165" s="101"/>
      <c r="H165" s="101"/>
      <c r="I165" s="22">
        <v>1500.0</v>
      </c>
      <c r="J165" s="15">
        <f t="shared" si="28"/>
        <v>3000</v>
      </c>
      <c r="K165" s="15">
        <f t="shared" si="29"/>
        <v>2525</v>
      </c>
      <c r="L165" s="4"/>
      <c r="M165" s="1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83">
        <v>7.0</v>
      </c>
      <c r="B166" s="84" t="s">
        <v>33</v>
      </c>
      <c r="C166" s="85" t="s">
        <v>45</v>
      </c>
      <c r="D166" s="22">
        <v>1200.0</v>
      </c>
      <c r="E166" s="15">
        <f t="shared" si="26"/>
        <v>8400</v>
      </c>
      <c r="F166" s="22">
        <f t="shared" si="27"/>
        <v>9282</v>
      </c>
      <c r="G166" s="101"/>
      <c r="H166" s="101"/>
      <c r="I166" s="22">
        <f>8000/15</f>
        <v>533.3333333</v>
      </c>
      <c r="J166" s="15">
        <f t="shared" si="28"/>
        <v>3733.333333</v>
      </c>
      <c r="K166" s="15">
        <f t="shared" si="29"/>
        <v>5548.666667</v>
      </c>
      <c r="L166" s="4"/>
      <c r="M166" s="1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83">
        <v>3.0</v>
      </c>
      <c r="B167" s="84" t="s">
        <v>33</v>
      </c>
      <c r="C167" s="85" t="s">
        <v>67</v>
      </c>
      <c r="D167" s="22">
        <v>800.0</v>
      </c>
      <c r="E167" s="15">
        <f t="shared" si="26"/>
        <v>2400</v>
      </c>
      <c r="F167" s="22">
        <f t="shared" si="27"/>
        <v>2652</v>
      </c>
      <c r="G167" s="101"/>
      <c r="H167" s="101"/>
      <c r="I167" s="22">
        <f>9000/16</f>
        <v>562.5</v>
      </c>
      <c r="J167" s="15">
        <f t="shared" si="28"/>
        <v>1687.5</v>
      </c>
      <c r="K167" s="15">
        <f t="shared" si="29"/>
        <v>964.5</v>
      </c>
      <c r="L167" s="4"/>
      <c r="M167" s="1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83">
        <v>2.0</v>
      </c>
      <c r="B168" s="84" t="s">
        <v>50</v>
      </c>
      <c r="C168" s="85" t="s">
        <v>236</v>
      </c>
      <c r="D168" s="22">
        <v>5000.0</v>
      </c>
      <c r="E168" s="15">
        <f t="shared" si="26"/>
        <v>10000</v>
      </c>
      <c r="F168" s="22">
        <f t="shared" si="27"/>
        <v>11050</v>
      </c>
      <c r="G168" s="101"/>
      <c r="H168" s="101"/>
      <c r="I168" s="22">
        <v>4000.0</v>
      </c>
      <c r="J168" s="15">
        <f t="shared" si="28"/>
        <v>8000</v>
      </c>
      <c r="K168" s="15">
        <f t="shared" si="29"/>
        <v>3050</v>
      </c>
      <c r="L168" s="4"/>
      <c r="M168" s="1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83">
        <v>5.0</v>
      </c>
      <c r="B169" s="84" t="s">
        <v>33</v>
      </c>
      <c r="C169" s="85" t="s">
        <v>174</v>
      </c>
      <c r="D169" s="22">
        <v>1600.0</v>
      </c>
      <c r="E169" s="15">
        <f t="shared" si="26"/>
        <v>8000</v>
      </c>
      <c r="F169" s="22">
        <f t="shared" si="27"/>
        <v>8840</v>
      </c>
      <c r="G169" s="101"/>
      <c r="H169" s="101"/>
      <c r="I169" s="22">
        <v>1000.0</v>
      </c>
      <c r="J169" s="15">
        <f t="shared" si="28"/>
        <v>5000</v>
      </c>
      <c r="K169" s="15">
        <f t="shared" si="29"/>
        <v>3840</v>
      </c>
      <c r="L169" s="4"/>
      <c r="M169" s="1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83">
        <v>0.6</v>
      </c>
      <c r="B170" s="84" t="s">
        <v>33</v>
      </c>
      <c r="C170" s="85" t="s">
        <v>20</v>
      </c>
      <c r="D170" s="22">
        <v>3500.0</v>
      </c>
      <c r="E170" s="15">
        <f t="shared" si="26"/>
        <v>2100</v>
      </c>
      <c r="F170" s="22">
        <f t="shared" si="27"/>
        <v>2320.5</v>
      </c>
      <c r="G170" s="101"/>
      <c r="H170" s="101"/>
      <c r="I170" s="22">
        <v>3000.0</v>
      </c>
      <c r="J170" s="15">
        <f t="shared" si="28"/>
        <v>1800</v>
      </c>
      <c r="K170" s="15">
        <f t="shared" si="29"/>
        <v>520.5</v>
      </c>
      <c r="L170" s="4"/>
      <c r="M170" s="1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83">
        <v>4.0</v>
      </c>
      <c r="B171" s="84" t="s">
        <v>33</v>
      </c>
      <c r="C171" s="85" t="s">
        <v>276</v>
      </c>
      <c r="D171" s="22">
        <v>4500.0</v>
      </c>
      <c r="E171" s="15">
        <f t="shared" si="26"/>
        <v>18000</v>
      </c>
      <c r="F171" s="22">
        <f t="shared" si="27"/>
        <v>19890</v>
      </c>
      <c r="G171" s="101"/>
      <c r="H171" s="101"/>
      <c r="I171" s="22">
        <f>65000/19</f>
        <v>3421.052632</v>
      </c>
      <c r="J171" s="15">
        <f t="shared" si="28"/>
        <v>13684.21053</v>
      </c>
      <c r="K171" s="15">
        <f t="shared" si="29"/>
        <v>6205.789474</v>
      </c>
      <c r="L171" s="4"/>
      <c r="M171" s="1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83">
        <v>5.0</v>
      </c>
      <c r="B172" s="84" t="s">
        <v>33</v>
      </c>
      <c r="C172" s="85" t="s">
        <v>304</v>
      </c>
      <c r="D172" s="22">
        <v>4000.0</v>
      </c>
      <c r="E172" s="15">
        <f t="shared" si="26"/>
        <v>20000</v>
      </c>
      <c r="F172" s="22">
        <f t="shared" si="27"/>
        <v>22100</v>
      </c>
      <c r="G172" s="101"/>
      <c r="H172" s="101"/>
      <c r="I172" s="22">
        <f>55000/18</f>
        <v>3055.555556</v>
      </c>
      <c r="J172" s="15">
        <f t="shared" si="28"/>
        <v>15277.77778</v>
      </c>
      <c r="K172" s="15">
        <f t="shared" si="29"/>
        <v>6822.222222</v>
      </c>
      <c r="L172" s="4"/>
      <c r="M172" s="1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83">
        <v>3.0</v>
      </c>
      <c r="B173" s="84" t="s">
        <v>33</v>
      </c>
      <c r="C173" s="85" t="s">
        <v>26</v>
      </c>
      <c r="D173" s="22">
        <v>4000.0</v>
      </c>
      <c r="E173" s="15">
        <f t="shared" si="26"/>
        <v>12000</v>
      </c>
      <c r="F173" s="22">
        <f t="shared" si="27"/>
        <v>13260</v>
      </c>
      <c r="G173" s="101"/>
      <c r="H173" s="22"/>
      <c r="I173" s="22">
        <f t="shared" ref="I173:I174" si="30">25000/8</f>
        <v>3125</v>
      </c>
      <c r="J173" s="15">
        <f t="shared" si="28"/>
        <v>9375</v>
      </c>
      <c r="K173" s="15">
        <f t="shared" si="29"/>
        <v>3885</v>
      </c>
      <c r="L173" s="4"/>
      <c r="M173" s="1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83">
        <v>4.0</v>
      </c>
      <c r="B174" s="84" t="s">
        <v>33</v>
      </c>
      <c r="C174" s="85" t="s">
        <v>24</v>
      </c>
      <c r="D174" s="22">
        <v>4000.0</v>
      </c>
      <c r="E174" s="15">
        <f t="shared" si="26"/>
        <v>16000</v>
      </c>
      <c r="F174" s="22">
        <f t="shared" si="27"/>
        <v>17680</v>
      </c>
      <c r="G174" s="101"/>
      <c r="H174" s="22"/>
      <c r="I174" s="22">
        <f t="shared" si="30"/>
        <v>3125</v>
      </c>
      <c r="J174" s="15">
        <f t="shared" si="28"/>
        <v>12500</v>
      </c>
      <c r="K174" s="15">
        <f t="shared" si="29"/>
        <v>5180</v>
      </c>
      <c r="L174" s="4"/>
      <c r="M174" s="1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83">
        <v>3.0</v>
      </c>
      <c r="B175" s="84" t="s">
        <v>33</v>
      </c>
      <c r="C175" s="85" t="s">
        <v>25</v>
      </c>
      <c r="D175" s="22">
        <v>3100.0</v>
      </c>
      <c r="E175" s="15">
        <f t="shared" si="26"/>
        <v>9300</v>
      </c>
      <c r="F175" s="22">
        <f t="shared" si="27"/>
        <v>10276.5</v>
      </c>
      <c r="G175" s="101"/>
      <c r="H175" s="22"/>
      <c r="I175" s="22">
        <f>12000/8</f>
        <v>1500</v>
      </c>
      <c r="J175" s="15">
        <f t="shared" si="28"/>
        <v>4500</v>
      </c>
      <c r="K175" s="15">
        <f t="shared" si="29"/>
        <v>5776.5</v>
      </c>
      <c r="L175" s="4"/>
      <c r="M175" s="1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83">
        <v>1.0</v>
      </c>
      <c r="B176" s="84" t="s">
        <v>18</v>
      </c>
      <c r="C176" s="85" t="s">
        <v>283</v>
      </c>
      <c r="D176" s="22">
        <v>22000.0</v>
      </c>
      <c r="E176" s="15">
        <f t="shared" si="26"/>
        <v>22000</v>
      </c>
      <c r="F176" s="22">
        <f t="shared" si="27"/>
        <v>24310</v>
      </c>
      <c r="G176" s="101"/>
      <c r="H176" s="101"/>
      <c r="I176" s="22">
        <v>17000.0</v>
      </c>
      <c r="J176" s="15">
        <f t="shared" si="28"/>
        <v>17000</v>
      </c>
      <c r="K176" s="15">
        <f t="shared" si="29"/>
        <v>7310</v>
      </c>
      <c r="L176" s="4"/>
      <c r="M176" s="1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83">
        <v>1.0</v>
      </c>
      <c r="B177" s="84" t="s">
        <v>50</v>
      </c>
      <c r="C177" s="85" t="s">
        <v>68</v>
      </c>
      <c r="D177" s="22">
        <v>3500.0</v>
      </c>
      <c r="E177" s="15">
        <f t="shared" si="26"/>
        <v>3500</v>
      </c>
      <c r="F177" s="22">
        <f t="shared" si="27"/>
        <v>3867.5</v>
      </c>
      <c r="G177" s="101"/>
      <c r="H177" s="101"/>
      <c r="I177" s="22">
        <v>1500.0</v>
      </c>
      <c r="J177" s="15">
        <f t="shared" si="28"/>
        <v>1500</v>
      </c>
      <c r="K177" s="15">
        <f t="shared" si="29"/>
        <v>2367.5</v>
      </c>
      <c r="L177" s="4"/>
      <c r="M177" s="1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83">
        <v>3.0</v>
      </c>
      <c r="B178" s="84" t="s">
        <v>33</v>
      </c>
      <c r="C178" s="85" t="s">
        <v>119</v>
      </c>
      <c r="D178" s="22">
        <v>4500.0</v>
      </c>
      <c r="E178" s="15">
        <f t="shared" si="26"/>
        <v>13500</v>
      </c>
      <c r="F178" s="22">
        <f t="shared" si="27"/>
        <v>14917.5</v>
      </c>
      <c r="G178" s="101"/>
      <c r="H178" s="101"/>
      <c r="I178" s="22">
        <f>50000/14</f>
        <v>3571.428571</v>
      </c>
      <c r="J178" s="15">
        <f t="shared" si="28"/>
        <v>10714.28571</v>
      </c>
      <c r="K178" s="15">
        <f t="shared" si="29"/>
        <v>4203.214286</v>
      </c>
      <c r="L178" s="23"/>
      <c r="M178" s="1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83">
        <v>1.0</v>
      </c>
      <c r="B179" s="84" t="s">
        <v>50</v>
      </c>
      <c r="C179" s="85" t="s">
        <v>89</v>
      </c>
      <c r="D179" s="22">
        <v>6000.0</v>
      </c>
      <c r="E179" s="15">
        <f t="shared" si="26"/>
        <v>6000</v>
      </c>
      <c r="F179" s="22">
        <f t="shared" si="27"/>
        <v>6630</v>
      </c>
      <c r="G179" s="101"/>
      <c r="H179" s="101"/>
      <c r="I179" s="22">
        <v>5000.0</v>
      </c>
      <c r="J179" s="15">
        <f t="shared" si="28"/>
        <v>5000</v>
      </c>
      <c r="K179" s="15">
        <f t="shared" si="29"/>
        <v>1630</v>
      </c>
      <c r="L179" s="4"/>
      <c r="M179" s="1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83">
        <v>1.0</v>
      </c>
      <c r="B180" s="84" t="s">
        <v>33</v>
      </c>
      <c r="C180" s="85" t="s">
        <v>69</v>
      </c>
      <c r="D180" s="22">
        <v>1600.0</v>
      </c>
      <c r="E180" s="15">
        <f t="shared" si="26"/>
        <v>1600</v>
      </c>
      <c r="F180" s="22">
        <f t="shared" si="27"/>
        <v>1768</v>
      </c>
      <c r="G180" s="101"/>
      <c r="H180" s="101"/>
      <c r="I180" s="22">
        <f>10000/9</f>
        <v>1111.111111</v>
      </c>
      <c r="J180" s="15">
        <f t="shared" si="28"/>
        <v>1111.111111</v>
      </c>
      <c r="K180" s="15">
        <f t="shared" si="29"/>
        <v>656.8888889</v>
      </c>
      <c r="L180" s="4"/>
      <c r="M180" s="1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83">
        <v>2.0</v>
      </c>
      <c r="B181" s="84" t="s">
        <v>5</v>
      </c>
      <c r="C181" s="85" t="s">
        <v>99</v>
      </c>
      <c r="D181" s="22">
        <v>1500.0</v>
      </c>
      <c r="E181" s="15">
        <f t="shared" si="26"/>
        <v>3000</v>
      </c>
      <c r="F181" s="22">
        <f t="shared" si="27"/>
        <v>3315</v>
      </c>
      <c r="G181" s="101"/>
      <c r="H181" s="101"/>
      <c r="I181" s="22">
        <v>882.0</v>
      </c>
      <c r="J181" s="15">
        <f t="shared" si="28"/>
        <v>1764</v>
      </c>
      <c r="K181" s="15">
        <f t="shared" si="29"/>
        <v>1551</v>
      </c>
      <c r="L181" s="4"/>
      <c r="M181" s="1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83">
        <v>6.0</v>
      </c>
      <c r="B182" s="84" t="s">
        <v>33</v>
      </c>
      <c r="C182" s="85" t="s">
        <v>64</v>
      </c>
      <c r="D182" s="22">
        <v>1600.0</v>
      </c>
      <c r="E182" s="15">
        <f t="shared" si="26"/>
        <v>9600</v>
      </c>
      <c r="F182" s="22">
        <f t="shared" si="27"/>
        <v>10608</v>
      </c>
      <c r="G182" s="101"/>
      <c r="H182" s="101"/>
      <c r="I182" s="22">
        <v>1000.0</v>
      </c>
      <c r="J182" s="15">
        <f t="shared" si="28"/>
        <v>6000</v>
      </c>
      <c r="K182" s="15">
        <f t="shared" si="29"/>
        <v>4608</v>
      </c>
      <c r="L182" s="4"/>
      <c r="M182" s="1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83">
        <v>8.0</v>
      </c>
      <c r="B183" s="84" t="s">
        <v>33</v>
      </c>
      <c r="C183" s="85" t="s">
        <v>307</v>
      </c>
      <c r="D183" s="22">
        <v>1500.0</v>
      </c>
      <c r="E183" s="15">
        <f t="shared" si="26"/>
        <v>12000</v>
      </c>
      <c r="F183" s="22">
        <f t="shared" si="27"/>
        <v>13260</v>
      </c>
      <c r="G183" s="101"/>
      <c r="H183" s="101"/>
      <c r="I183" s="22">
        <f>8000/9</f>
        <v>888.8888889</v>
      </c>
      <c r="J183" s="15">
        <f t="shared" si="28"/>
        <v>7111.111111</v>
      </c>
      <c r="K183" s="15">
        <f t="shared" si="29"/>
        <v>6148.888889</v>
      </c>
      <c r="L183" s="4"/>
      <c r="M183" s="1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83">
        <v>1.0</v>
      </c>
      <c r="B184" s="84" t="s">
        <v>33</v>
      </c>
      <c r="C184" s="85" t="s">
        <v>192</v>
      </c>
      <c r="D184" s="22">
        <v>1200.0</v>
      </c>
      <c r="E184" s="15">
        <f t="shared" si="26"/>
        <v>1200</v>
      </c>
      <c r="F184" s="22">
        <f t="shared" si="27"/>
        <v>1326</v>
      </c>
      <c r="G184" s="101"/>
      <c r="H184" s="101"/>
      <c r="I184" s="22">
        <f>10000/15</f>
        <v>666.6666667</v>
      </c>
      <c r="J184" s="15">
        <f t="shared" si="28"/>
        <v>666.6666667</v>
      </c>
      <c r="K184" s="15">
        <f t="shared" si="29"/>
        <v>659.3333333</v>
      </c>
      <c r="L184" s="4"/>
      <c r="M184" s="1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83">
        <v>1.0</v>
      </c>
      <c r="B185" s="84" t="s">
        <v>33</v>
      </c>
      <c r="C185" s="85" t="s">
        <v>22</v>
      </c>
      <c r="D185" s="22">
        <v>1500.0</v>
      </c>
      <c r="E185" s="15">
        <f t="shared" si="26"/>
        <v>1500</v>
      </c>
      <c r="F185" s="22">
        <f t="shared" si="27"/>
        <v>1657.5</v>
      </c>
      <c r="G185" s="101"/>
      <c r="H185" s="101"/>
      <c r="I185" s="22">
        <f>8000/15</f>
        <v>533.3333333</v>
      </c>
      <c r="J185" s="15">
        <f t="shared" si="28"/>
        <v>533.3333333</v>
      </c>
      <c r="K185" s="15">
        <f t="shared" si="29"/>
        <v>1124.166667</v>
      </c>
      <c r="L185" s="4"/>
      <c r="M185" s="1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83">
        <v>0.5</v>
      </c>
      <c r="B186" s="84" t="s">
        <v>18</v>
      </c>
      <c r="C186" s="85" t="s">
        <v>277</v>
      </c>
      <c r="D186" s="22">
        <v>52000.0</v>
      </c>
      <c r="E186" s="15">
        <f t="shared" si="26"/>
        <v>26000</v>
      </c>
      <c r="F186" s="22">
        <f>E186*1.21</f>
        <v>31460</v>
      </c>
      <c r="G186" s="101"/>
      <c r="H186" s="101"/>
      <c r="I186" s="22">
        <v>50000.0</v>
      </c>
      <c r="J186" s="15">
        <f t="shared" si="28"/>
        <v>25000</v>
      </c>
      <c r="K186" s="15">
        <f t="shared" si="29"/>
        <v>6460</v>
      </c>
      <c r="L186" s="4"/>
      <c r="M186" s="1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5"/>
      <c r="B187" s="10"/>
      <c r="C187" s="11"/>
      <c r="D187" s="12"/>
      <c r="E187" s="10"/>
      <c r="F187" s="10"/>
      <c r="G187" s="3"/>
      <c r="H187" s="3"/>
      <c r="I187" s="10"/>
      <c r="J187" s="10"/>
      <c r="K187" s="10"/>
      <c r="L187" s="4"/>
      <c r="M187" s="1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5"/>
      <c r="B188" s="10"/>
      <c r="C188" s="11"/>
      <c r="D188" s="12"/>
      <c r="E188" s="15">
        <f t="shared" ref="E188:F188" si="31">SUM(E162:E186)</f>
        <v>261000</v>
      </c>
      <c r="F188" s="15">
        <f t="shared" si="31"/>
        <v>291135</v>
      </c>
      <c r="G188" s="101"/>
      <c r="H188" s="101"/>
      <c r="I188" s="101"/>
      <c r="J188" s="101"/>
      <c r="K188" s="15">
        <f>SUM(K162:K186)</f>
        <v>95076.67043</v>
      </c>
      <c r="L188" s="105">
        <f>IFERROR(K188/F188, 0)</f>
        <v>0.3265724507</v>
      </c>
      <c r="M188" s="1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5" t="s">
        <v>314</v>
      </c>
      <c r="D190" s="22"/>
      <c r="E190" s="86" t="s">
        <v>44</v>
      </c>
      <c r="F190" s="82">
        <v>46065.0</v>
      </c>
      <c r="G190" s="6"/>
      <c r="H190" s="3"/>
      <c r="I190" s="8" t="s">
        <v>3</v>
      </c>
      <c r="L190" s="4"/>
      <c r="M190" s="1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103"/>
      <c r="B191" s="101"/>
      <c r="C191" s="104"/>
      <c r="D191" s="101"/>
      <c r="E191" s="101"/>
      <c r="F191" s="101"/>
      <c r="G191" s="101"/>
      <c r="H191" s="101"/>
      <c r="I191" s="101"/>
      <c r="J191" s="101"/>
      <c r="K191" s="101"/>
      <c r="L191" s="4"/>
      <c r="M191" s="1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5" t="s">
        <v>4</v>
      </c>
      <c r="B192" s="10" t="s">
        <v>5</v>
      </c>
      <c r="C192" s="96" t="s">
        <v>6</v>
      </c>
      <c r="D192" s="10" t="s">
        <v>7</v>
      </c>
      <c r="E192" s="10" t="s">
        <v>8</v>
      </c>
      <c r="F192" s="10" t="s">
        <v>9</v>
      </c>
      <c r="G192" s="101"/>
      <c r="H192" s="101"/>
      <c r="I192" s="10" t="s">
        <v>260</v>
      </c>
      <c r="J192" s="10" t="s">
        <v>8</v>
      </c>
      <c r="K192" s="10" t="s">
        <v>10</v>
      </c>
      <c r="L192" s="4"/>
      <c r="M192" s="1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83">
        <v>4.0</v>
      </c>
      <c r="B193" s="84" t="s">
        <v>38</v>
      </c>
      <c r="C193" s="85" t="s">
        <v>179</v>
      </c>
      <c r="D193" s="22">
        <v>21000.0</v>
      </c>
      <c r="E193" s="15">
        <f t="shared" ref="E193:E218" si="32">A193*D193</f>
        <v>84000</v>
      </c>
      <c r="F193" s="22">
        <f t="shared" ref="F193:F217" si="33">E193*1.105</f>
        <v>92820</v>
      </c>
      <c r="G193" s="101"/>
      <c r="H193" s="101"/>
      <c r="I193" s="22">
        <v>18000.0</v>
      </c>
      <c r="J193" s="15">
        <f t="shared" ref="J193:J218" si="34">I193*A193</f>
        <v>72000</v>
      </c>
      <c r="K193" s="15">
        <f t="shared" ref="K193:K218" si="35">F193-J193</f>
        <v>20820</v>
      </c>
      <c r="L193" s="4"/>
      <c r="M193" s="1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83">
        <v>1.5</v>
      </c>
      <c r="B194" s="84" t="s">
        <v>38</v>
      </c>
      <c r="C194" s="85" t="s">
        <v>307</v>
      </c>
      <c r="D194" s="22">
        <v>12000.0</v>
      </c>
      <c r="E194" s="15">
        <f t="shared" si="32"/>
        <v>18000</v>
      </c>
      <c r="F194" s="22">
        <f t="shared" si="33"/>
        <v>19890</v>
      </c>
      <c r="G194" s="101"/>
      <c r="H194" s="101"/>
      <c r="I194" s="22">
        <v>8000.0</v>
      </c>
      <c r="J194" s="15">
        <f t="shared" si="34"/>
        <v>12000</v>
      </c>
      <c r="K194" s="15">
        <f t="shared" si="35"/>
        <v>7890</v>
      </c>
      <c r="L194" s="4"/>
      <c r="M194" s="1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83">
        <v>1.0</v>
      </c>
      <c r="B195" s="84" t="s">
        <v>38</v>
      </c>
      <c r="C195" s="85" t="s">
        <v>45</v>
      </c>
      <c r="D195" s="22">
        <v>13000.0</v>
      </c>
      <c r="E195" s="15">
        <f t="shared" si="32"/>
        <v>13000</v>
      </c>
      <c r="F195" s="22">
        <f t="shared" si="33"/>
        <v>14365</v>
      </c>
      <c r="G195" s="101"/>
      <c r="H195" s="101"/>
      <c r="I195" s="22">
        <v>8000.0</v>
      </c>
      <c r="J195" s="15">
        <f t="shared" si="34"/>
        <v>8000</v>
      </c>
      <c r="K195" s="15">
        <f t="shared" si="35"/>
        <v>6365</v>
      </c>
      <c r="L195" s="4"/>
      <c r="M195" s="1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83">
        <v>1.0</v>
      </c>
      <c r="B196" s="84" t="s">
        <v>38</v>
      </c>
      <c r="C196" s="85" t="s">
        <v>180</v>
      </c>
      <c r="D196" s="22">
        <v>16000.0</v>
      </c>
      <c r="E196" s="15">
        <f t="shared" si="32"/>
        <v>16000</v>
      </c>
      <c r="F196" s="22">
        <f t="shared" si="33"/>
        <v>17680</v>
      </c>
      <c r="G196" s="101"/>
      <c r="H196" s="101"/>
      <c r="I196" s="22">
        <v>13000.0</v>
      </c>
      <c r="J196" s="15">
        <f t="shared" si="34"/>
        <v>13000</v>
      </c>
      <c r="K196" s="15">
        <f t="shared" si="35"/>
        <v>4680</v>
      </c>
      <c r="L196" s="4"/>
      <c r="M196" s="1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83">
        <v>4.0</v>
      </c>
      <c r="B197" s="84" t="s">
        <v>33</v>
      </c>
      <c r="C197" s="85" t="s">
        <v>192</v>
      </c>
      <c r="D197" s="22">
        <v>1200.0</v>
      </c>
      <c r="E197" s="15">
        <f t="shared" si="32"/>
        <v>4800</v>
      </c>
      <c r="F197" s="22">
        <f t="shared" si="33"/>
        <v>5304</v>
      </c>
      <c r="G197" s="101"/>
      <c r="H197" s="101"/>
      <c r="I197" s="22">
        <v>666.67</v>
      </c>
      <c r="J197" s="15">
        <f t="shared" si="34"/>
        <v>2666.68</v>
      </c>
      <c r="K197" s="15">
        <f t="shared" si="35"/>
        <v>2637.32</v>
      </c>
      <c r="L197" s="4"/>
      <c r="M197" s="1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>
      <c r="A198" s="83">
        <v>1.0</v>
      </c>
      <c r="B198" s="84" t="s">
        <v>33</v>
      </c>
      <c r="C198" s="85" t="s">
        <v>22</v>
      </c>
      <c r="D198" s="22">
        <v>1500.0</v>
      </c>
      <c r="E198" s="15">
        <f t="shared" si="32"/>
        <v>1500</v>
      </c>
      <c r="F198" s="22">
        <f t="shared" si="33"/>
        <v>1657.5</v>
      </c>
      <c r="G198" s="101"/>
      <c r="H198" s="101"/>
      <c r="I198" s="22">
        <f>8000/15</f>
        <v>533.3333333</v>
      </c>
      <c r="J198" s="15">
        <f t="shared" si="34"/>
        <v>533.3333333</v>
      </c>
      <c r="K198" s="15">
        <f t="shared" si="35"/>
        <v>1124.166667</v>
      </c>
      <c r="L198" s="4"/>
      <c r="M198" s="1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>
      <c r="A199" s="83">
        <v>3.0</v>
      </c>
      <c r="B199" s="84" t="s">
        <v>33</v>
      </c>
      <c r="C199" s="85" t="s">
        <v>64</v>
      </c>
      <c r="D199" s="22">
        <v>1600.0</v>
      </c>
      <c r="E199" s="15">
        <f t="shared" si="32"/>
        <v>4800</v>
      </c>
      <c r="F199" s="22">
        <f t="shared" si="33"/>
        <v>5304</v>
      </c>
      <c r="G199" s="101"/>
      <c r="H199" s="101"/>
      <c r="I199" s="22">
        <v>1000.0</v>
      </c>
      <c r="J199" s="15">
        <f t="shared" si="34"/>
        <v>3000</v>
      </c>
      <c r="K199" s="15">
        <f t="shared" si="35"/>
        <v>2304</v>
      </c>
      <c r="L199" s="4"/>
      <c r="M199" s="1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83">
        <v>1.0</v>
      </c>
      <c r="B200" s="84" t="s">
        <v>33</v>
      </c>
      <c r="C200" s="85" t="s">
        <v>67</v>
      </c>
      <c r="D200" s="22">
        <v>800.0</v>
      </c>
      <c r="E200" s="15">
        <f t="shared" si="32"/>
        <v>800</v>
      </c>
      <c r="F200" s="22">
        <f t="shared" si="33"/>
        <v>884</v>
      </c>
      <c r="G200" s="101"/>
      <c r="H200" s="101"/>
      <c r="I200" s="22">
        <f>9000/16</f>
        <v>562.5</v>
      </c>
      <c r="J200" s="15">
        <f t="shared" si="34"/>
        <v>562.5</v>
      </c>
      <c r="K200" s="15">
        <f t="shared" si="35"/>
        <v>321.5</v>
      </c>
      <c r="L200" s="4"/>
      <c r="M200" s="1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A201" s="83">
        <v>5.0</v>
      </c>
      <c r="B201" s="84" t="s">
        <v>33</v>
      </c>
      <c r="C201" s="85" t="s">
        <v>174</v>
      </c>
      <c r="D201" s="22">
        <v>1600.0</v>
      </c>
      <c r="E201" s="15">
        <f t="shared" si="32"/>
        <v>8000</v>
      </c>
      <c r="F201" s="22">
        <f t="shared" si="33"/>
        <v>8840</v>
      </c>
      <c r="G201" s="101"/>
      <c r="H201" s="101"/>
      <c r="I201" s="22">
        <v>1000.0</v>
      </c>
      <c r="J201" s="15">
        <f t="shared" si="34"/>
        <v>5000</v>
      </c>
      <c r="K201" s="15">
        <f t="shared" si="35"/>
        <v>3840</v>
      </c>
      <c r="L201" s="4"/>
      <c r="M201" s="1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83">
        <v>1.0</v>
      </c>
      <c r="B202" s="84" t="s">
        <v>50</v>
      </c>
      <c r="C202" s="85" t="s">
        <v>68</v>
      </c>
      <c r="D202" s="22">
        <v>3500.0</v>
      </c>
      <c r="E202" s="15">
        <f t="shared" si="32"/>
        <v>3500</v>
      </c>
      <c r="F202" s="22">
        <f t="shared" si="33"/>
        <v>3867.5</v>
      </c>
      <c r="G202" s="101"/>
      <c r="H202" s="101"/>
      <c r="I202" s="22">
        <v>1500.0</v>
      </c>
      <c r="J202" s="15">
        <f t="shared" si="34"/>
        <v>1500</v>
      </c>
      <c r="K202" s="15">
        <f t="shared" si="35"/>
        <v>2367.5</v>
      </c>
      <c r="L202" s="4"/>
      <c r="M202" s="1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83">
        <v>1.0</v>
      </c>
      <c r="B203" s="84" t="s">
        <v>50</v>
      </c>
      <c r="C203" s="85" t="s">
        <v>171</v>
      </c>
      <c r="D203" s="22">
        <v>3000.0</v>
      </c>
      <c r="E203" s="15">
        <f t="shared" si="32"/>
        <v>3000</v>
      </c>
      <c r="F203" s="22">
        <f t="shared" si="33"/>
        <v>3315</v>
      </c>
      <c r="G203" s="101"/>
      <c r="H203" s="101"/>
      <c r="I203" s="22">
        <v>2000.0</v>
      </c>
      <c r="J203" s="15">
        <f t="shared" si="34"/>
        <v>2000</v>
      </c>
      <c r="K203" s="15">
        <f t="shared" si="35"/>
        <v>1315</v>
      </c>
      <c r="L203" s="4"/>
      <c r="M203" s="1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83">
        <v>1.0</v>
      </c>
      <c r="B204" s="84" t="s">
        <v>50</v>
      </c>
      <c r="C204" s="85" t="s">
        <v>235</v>
      </c>
      <c r="D204" s="22">
        <v>3000.0</v>
      </c>
      <c r="E204" s="15">
        <f t="shared" si="32"/>
        <v>3000</v>
      </c>
      <c r="F204" s="22">
        <f t="shared" si="33"/>
        <v>3315</v>
      </c>
      <c r="G204" s="101"/>
      <c r="H204" s="101"/>
      <c r="I204" s="22">
        <v>2000.0</v>
      </c>
      <c r="J204" s="15">
        <f t="shared" si="34"/>
        <v>2000</v>
      </c>
      <c r="K204" s="15">
        <f t="shared" si="35"/>
        <v>1315</v>
      </c>
      <c r="L204" s="4"/>
      <c r="M204" s="1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83">
        <v>3.0</v>
      </c>
      <c r="B205" s="84" t="s">
        <v>33</v>
      </c>
      <c r="C205" s="85" t="s">
        <v>99</v>
      </c>
      <c r="D205" s="22">
        <v>1500.0</v>
      </c>
      <c r="E205" s="15">
        <f t="shared" si="32"/>
        <v>4500</v>
      </c>
      <c r="F205" s="22">
        <f t="shared" si="33"/>
        <v>4972.5</v>
      </c>
      <c r="G205" s="101"/>
      <c r="H205" s="101"/>
      <c r="I205" s="22">
        <v>882.0</v>
      </c>
      <c r="J205" s="15">
        <f t="shared" si="34"/>
        <v>2646</v>
      </c>
      <c r="K205" s="15">
        <f t="shared" si="35"/>
        <v>2326.5</v>
      </c>
      <c r="L205" s="4"/>
      <c r="M205" s="1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83">
        <v>1.8</v>
      </c>
      <c r="B206" s="84" t="s">
        <v>33</v>
      </c>
      <c r="C206" s="85" t="s">
        <v>240</v>
      </c>
      <c r="D206" s="22">
        <v>1500.0</v>
      </c>
      <c r="E206" s="15">
        <f t="shared" si="32"/>
        <v>2700</v>
      </c>
      <c r="F206" s="22">
        <f t="shared" si="33"/>
        <v>2983.5</v>
      </c>
      <c r="G206" s="101"/>
      <c r="H206" s="101"/>
      <c r="I206" s="22">
        <v>882.0</v>
      </c>
      <c r="J206" s="15">
        <f t="shared" si="34"/>
        <v>1587.6</v>
      </c>
      <c r="K206" s="15">
        <f t="shared" si="35"/>
        <v>1395.9</v>
      </c>
      <c r="L206" s="4"/>
      <c r="M206" s="1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83">
        <v>1.0</v>
      </c>
      <c r="B207" s="84" t="s">
        <v>5</v>
      </c>
      <c r="C207" s="85" t="s">
        <v>104</v>
      </c>
      <c r="D207" s="22">
        <v>2500.0</v>
      </c>
      <c r="E207" s="15">
        <f t="shared" si="32"/>
        <v>2500</v>
      </c>
      <c r="F207" s="22">
        <f t="shared" si="33"/>
        <v>2762.5</v>
      </c>
      <c r="G207" s="101"/>
      <c r="H207" s="101"/>
      <c r="I207" s="22">
        <v>1200.0</v>
      </c>
      <c r="J207" s="15">
        <f t="shared" si="34"/>
        <v>1200</v>
      </c>
      <c r="K207" s="15">
        <f t="shared" si="35"/>
        <v>1562.5</v>
      </c>
      <c r="L207" s="4"/>
      <c r="M207" s="1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83">
        <v>4.0</v>
      </c>
      <c r="B208" s="84" t="s">
        <v>33</v>
      </c>
      <c r="C208" s="85" t="s">
        <v>24</v>
      </c>
      <c r="D208" s="22">
        <v>4000.0</v>
      </c>
      <c r="E208" s="15">
        <f t="shared" si="32"/>
        <v>16000</v>
      </c>
      <c r="F208" s="22">
        <f t="shared" si="33"/>
        <v>17680</v>
      </c>
      <c r="G208" s="101"/>
      <c r="H208" s="101"/>
      <c r="I208" s="22">
        <f>27000/8</f>
        <v>3375</v>
      </c>
      <c r="J208" s="15">
        <f t="shared" si="34"/>
        <v>13500</v>
      </c>
      <c r="K208" s="15">
        <f t="shared" si="35"/>
        <v>4180</v>
      </c>
      <c r="L208" s="4"/>
      <c r="M208" s="1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>
      <c r="A209" s="83">
        <v>2.0</v>
      </c>
      <c r="B209" s="84" t="s">
        <v>33</v>
      </c>
      <c r="C209" s="85" t="s">
        <v>25</v>
      </c>
      <c r="D209" s="22">
        <v>3100.0</v>
      </c>
      <c r="E209" s="15">
        <f t="shared" si="32"/>
        <v>6200</v>
      </c>
      <c r="F209" s="22">
        <f t="shared" si="33"/>
        <v>6851</v>
      </c>
      <c r="G209" s="101"/>
      <c r="H209" s="101"/>
      <c r="I209" s="22">
        <f>12000/8</f>
        <v>1500</v>
      </c>
      <c r="J209" s="15">
        <f t="shared" si="34"/>
        <v>3000</v>
      </c>
      <c r="K209" s="15">
        <f t="shared" si="35"/>
        <v>3851</v>
      </c>
      <c r="L209" s="23"/>
      <c r="M209" s="1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83">
        <v>2.0</v>
      </c>
      <c r="B210" s="84" t="s">
        <v>33</v>
      </c>
      <c r="C210" s="85" t="s">
        <v>26</v>
      </c>
      <c r="D210" s="22">
        <v>4000.0</v>
      </c>
      <c r="E210" s="15">
        <f t="shared" si="32"/>
        <v>8000</v>
      </c>
      <c r="F210" s="22">
        <f t="shared" si="33"/>
        <v>8840</v>
      </c>
      <c r="G210" s="101"/>
      <c r="H210" s="101"/>
      <c r="I210" s="22">
        <f>25000/8</f>
        <v>3125</v>
      </c>
      <c r="J210" s="15">
        <f t="shared" si="34"/>
        <v>6250</v>
      </c>
      <c r="K210" s="15">
        <f t="shared" si="35"/>
        <v>2590</v>
      </c>
      <c r="L210" s="4"/>
      <c r="M210" s="1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83">
        <v>1.0</v>
      </c>
      <c r="B211" s="84" t="s">
        <v>33</v>
      </c>
      <c r="C211" s="85" t="s">
        <v>69</v>
      </c>
      <c r="D211" s="22">
        <v>1600.0</v>
      </c>
      <c r="E211" s="15">
        <f t="shared" si="32"/>
        <v>1600</v>
      </c>
      <c r="F211" s="22">
        <f t="shared" si="33"/>
        <v>1768</v>
      </c>
      <c r="G211" s="101"/>
      <c r="H211" s="101"/>
      <c r="I211" s="22">
        <f>10000/9</f>
        <v>1111.111111</v>
      </c>
      <c r="J211" s="15">
        <f t="shared" si="34"/>
        <v>1111.111111</v>
      </c>
      <c r="K211" s="15">
        <f t="shared" si="35"/>
        <v>656.8888889</v>
      </c>
      <c r="L211" s="4"/>
      <c r="M211" s="1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>
      <c r="A212" s="83">
        <v>0.5</v>
      </c>
      <c r="B212" s="84" t="s">
        <v>50</v>
      </c>
      <c r="C212" s="85" t="s">
        <v>89</v>
      </c>
      <c r="D212" s="22">
        <v>6000.0</v>
      </c>
      <c r="E212" s="15">
        <f t="shared" si="32"/>
        <v>3000</v>
      </c>
      <c r="F212" s="22">
        <f t="shared" si="33"/>
        <v>3315</v>
      </c>
      <c r="G212" s="101"/>
      <c r="H212" s="101"/>
      <c r="I212" s="22">
        <v>5000.0</v>
      </c>
      <c r="J212" s="15">
        <f t="shared" si="34"/>
        <v>2500</v>
      </c>
      <c r="K212" s="15">
        <f t="shared" si="35"/>
        <v>815</v>
      </c>
      <c r="L212" s="4"/>
      <c r="M212" s="1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83">
        <v>2.0</v>
      </c>
      <c r="B213" s="84" t="s">
        <v>5</v>
      </c>
      <c r="C213" s="85" t="s">
        <v>176</v>
      </c>
      <c r="D213" s="22">
        <v>900.0</v>
      </c>
      <c r="E213" s="15">
        <f t="shared" si="32"/>
        <v>1800</v>
      </c>
      <c r="F213" s="22">
        <f t="shared" si="33"/>
        <v>1989</v>
      </c>
      <c r="G213" s="101"/>
      <c r="H213" s="101"/>
      <c r="I213" s="87">
        <f>23000/50</f>
        <v>460</v>
      </c>
      <c r="J213" s="15">
        <f t="shared" si="34"/>
        <v>920</v>
      </c>
      <c r="K213" s="15">
        <f t="shared" si="35"/>
        <v>1069</v>
      </c>
      <c r="L213" s="4"/>
      <c r="M213" s="1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83">
        <v>4.0</v>
      </c>
      <c r="B214" s="84" t="s">
        <v>33</v>
      </c>
      <c r="C214" s="85" t="s">
        <v>276</v>
      </c>
      <c r="D214" s="22">
        <v>4500.0</v>
      </c>
      <c r="E214" s="15">
        <f t="shared" si="32"/>
        <v>18000</v>
      </c>
      <c r="F214" s="22">
        <f t="shared" si="33"/>
        <v>19890</v>
      </c>
      <c r="G214" s="101"/>
      <c r="H214" s="101"/>
      <c r="I214" s="22">
        <f>65000/19</f>
        <v>3421.052632</v>
      </c>
      <c r="J214" s="15">
        <f t="shared" si="34"/>
        <v>13684.21053</v>
      </c>
      <c r="K214" s="15">
        <f t="shared" si="35"/>
        <v>6205.789474</v>
      </c>
      <c r="L214" s="4"/>
      <c r="M214" s="1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83">
        <v>4.0</v>
      </c>
      <c r="B215" s="84" t="s">
        <v>33</v>
      </c>
      <c r="C215" s="85" t="s">
        <v>304</v>
      </c>
      <c r="D215" s="22">
        <v>4000.0</v>
      </c>
      <c r="E215" s="15">
        <f t="shared" si="32"/>
        <v>16000</v>
      </c>
      <c r="F215" s="22">
        <f t="shared" si="33"/>
        <v>17680</v>
      </c>
      <c r="G215" s="101"/>
      <c r="H215" s="101"/>
      <c r="I215" s="22">
        <f>55000/18</f>
        <v>3055.555556</v>
      </c>
      <c r="J215" s="15">
        <f t="shared" si="34"/>
        <v>12222.22222</v>
      </c>
      <c r="K215" s="15">
        <f t="shared" si="35"/>
        <v>5457.777778</v>
      </c>
      <c r="L215" s="4"/>
      <c r="M215" s="1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>
      <c r="A216" s="83">
        <v>1.5</v>
      </c>
      <c r="B216" s="84" t="s">
        <v>18</v>
      </c>
      <c r="C216" s="85" t="s">
        <v>283</v>
      </c>
      <c r="D216" s="22">
        <v>22000.0</v>
      </c>
      <c r="E216" s="15">
        <f t="shared" si="32"/>
        <v>33000</v>
      </c>
      <c r="F216" s="22">
        <f t="shared" si="33"/>
        <v>36465</v>
      </c>
      <c r="G216" s="101"/>
      <c r="H216" s="101"/>
      <c r="I216" s="22">
        <v>17000.0</v>
      </c>
      <c r="J216" s="15">
        <f t="shared" si="34"/>
        <v>25500</v>
      </c>
      <c r="K216" s="15">
        <f t="shared" si="35"/>
        <v>10965</v>
      </c>
      <c r="L216" s="4"/>
      <c r="M216" s="1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A217" s="83">
        <v>5.0</v>
      </c>
      <c r="B217" s="84" t="s">
        <v>33</v>
      </c>
      <c r="C217" s="85" t="s">
        <v>119</v>
      </c>
      <c r="D217" s="22">
        <v>4500.0</v>
      </c>
      <c r="E217" s="15">
        <f t="shared" si="32"/>
        <v>22500</v>
      </c>
      <c r="F217" s="22">
        <f t="shared" si="33"/>
        <v>24862.5</v>
      </c>
      <c r="G217" s="101"/>
      <c r="H217" s="101"/>
      <c r="I217" s="22">
        <f>50000/14</f>
        <v>3571.428571</v>
      </c>
      <c r="J217" s="15">
        <f t="shared" si="34"/>
        <v>17857.14286</v>
      </c>
      <c r="K217" s="15">
        <f t="shared" si="35"/>
        <v>7005.357143</v>
      </c>
      <c r="L217" s="4"/>
      <c r="M217" s="1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A218" s="83">
        <v>6.0</v>
      </c>
      <c r="B218" s="84" t="s">
        <v>231</v>
      </c>
      <c r="C218" s="85" t="s">
        <v>277</v>
      </c>
      <c r="D218" s="22">
        <v>4500.0</v>
      </c>
      <c r="E218" s="15">
        <f t="shared" si="32"/>
        <v>27000</v>
      </c>
      <c r="F218" s="22">
        <f>E218*1.21</f>
        <v>32670</v>
      </c>
      <c r="G218" s="101"/>
      <c r="H218" s="101"/>
      <c r="I218" s="92">
        <f>50000/12</f>
        <v>4166.666667</v>
      </c>
      <c r="J218" s="15">
        <f t="shared" si="34"/>
        <v>25000</v>
      </c>
      <c r="K218" s="15">
        <f t="shared" si="35"/>
        <v>7670</v>
      </c>
      <c r="L218" s="4"/>
      <c r="M218" s="1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5"/>
      <c r="B219" s="10"/>
      <c r="C219" s="11"/>
      <c r="D219" s="12"/>
      <c r="E219" s="10"/>
      <c r="F219" s="10"/>
      <c r="G219" s="3"/>
      <c r="H219" s="3"/>
      <c r="I219" s="10"/>
      <c r="J219" s="10"/>
      <c r="K219" s="10"/>
      <c r="L219" s="4"/>
      <c r="M219" s="1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>
      <c r="A220" s="5"/>
      <c r="B220" s="10"/>
      <c r="C220" s="11"/>
      <c r="D220" s="12"/>
      <c r="E220" s="15">
        <f t="shared" ref="E220:F220" si="36">SUM(E193:E218)</f>
        <v>323200</v>
      </c>
      <c r="F220" s="15">
        <f t="shared" si="36"/>
        <v>359971</v>
      </c>
      <c r="G220" s="101"/>
      <c r="H220" s="101"/>
      <c r="I220" s="101"/>
      <c r="J220" s="101"/>
      <c r="K220" s="15">
        <f>SUM(K193:K218)</f>
        <v>110730.1999</v>
      </c>
      <c r="L220" s="105">
        <f>IFERROR(K220/F220, 0)</f>
        <v>0.3076086683</v>
      </c>
      <c r="M220" s="1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>
      <c r="A222" s="89" t="s">
        <v>315</v>
      </c>
      <c r="B222" s="24"/>
      <c r="C222" s="24"/>
      <c r="D222" s="81" t="s">
        <v>223</v>
      </c>
      <c r="E222" s="82">
        <v>46065.0</v>
      </c>
      <c r="F222" s="33" t="s">
        <v>13</v>
      </c>
      <c r="G222" s="25"/>
      <c r="H222" s="25"/>
      <c r="I222" s="16"/>
      <c r="J222" s="16"/>
      <c r="K222" s="16"/>
      <c r="L222" s="34"/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>
      <c r="B223" s="25"/>
      <c r="C223" s="35"/>
      <c r="D223" s="25"/>
      <c r="E223" s="25"/>
      <c r="F223" s="25"/>
      <c r="G223" s="25"/>
      <c r="H223" s="25"/>
      <c r="I223" s="16"/>
      <c r="J223" s="16"/>
      <c r="K223" s="16"/>
      <c r="L223" s="34"/>
      <c r="M223" s="2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5" t="s">
        <v>4</v>
      </c>
      <c r="B224" s="10" t="s">
        <v>5</v>
      </c>
      <c r="C224" s="11" t="s">
        <v>6</v>
      </c>
      <c r="D224" s="12" t="s">
        <v>7</v>
      </c>
      <c r="E224" s="10" t="s">
        <v>8</v>
      </c>
      <c r="F224" s="12"/>
      <c r="G224" s="25"/>
      <c r="H224" s="25"/>
      <c r="I224" s="12" t="s">
        <v>7</v>
      </c>
      <c r="J224" s="12" t="s">
        <v>8</v>
      </c>
      <c r="K224" s="12" t="s">
        <v>10</v>
      </c>
      <c r="L224" s="34"/>
      <c r="M224" s="2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>
      <c r="A225" s="83">
        <v>3.0</v>
      </c>
      <c r="B225" s="84" t="s">
        <v>33</v>
      </c>
      <c r="C225" s="85" t="s">
        <v>174</v>
      </c>
      <c r="D225" s="22">
        <v>1600.0</v>
      </c>
      <c r="E225" s="15">
        <f t="shared" ref="E225:E246" si="37">A225*D225</f>
        <v>4800</v>
      </c>
      <c r="F225" s="16"/>
      <c r="G225" s="25"/>
      <c r="H225" s="37"/>
      <c r="I225" s="87">
        <v>1000.0</v>
      </c>
      <c r="J225" s="16">
        <f t="shared" ref="J225:J246" si="38">I225*A225</f>
        <v>3000</v>
      </c>
      <c r="K225" s="16">
        <f t="shared" ref="K225:K246" si="39">E225-J225</f>
        <v>1800</v>
      </c>
      <c r="L225" s="100" t="s">
        <v>13</v>
      </c>
      <c r="M225" s="2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>
      <c r="A226" s="83">
        <v>2.0</v>
      </c>
      <c r="B226" s="84" t="s">
        <v>33</v>
      </c>
      <c r="C226" s="85" t="s">
        <v>24</v>
      </c>
      <c r="D226" s="22">
        <v>4500.0</v>
      </c>
      <c r="E226" s="15">
        <f t="shared" si="37"/>
        <v>9000</v>
      </c>
      <c r="F226" s="16"/>
      <c r="G226" s="25"/>
      <c r="H226" s="37"/>
      <c r="I226" s="22">
        <f>27000/8</f>
        <v>3375</v>
      </c>
      <c r="J226" s="16">
        <f t="shared" si="38"/>
        <v>6750</v>
      </c>
      <c r="K226" s="16">
        <f t="shared" si="39"/>
        <v>2250</v>
      </c>
      <c r="L226" s="100" t="s">
        <v>13</v>
      </c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>
      <c r="A227" s="83">
        <v>1.0</v>
      </c>
      <c r="B227" s="84" t="s">
        <v>33</v>
      </c>
      <c r="C227" s="85" t="s">
        <v>25</v>
      </c>
      <c r="D227" s="22">
        <v>3100.0</v>
      </c>
      <c r="E227" s="15">
        <f t="shared" si="37"/>
        <v>3100</v>
      </c>
      <c r="F227" s="16"/>
      <c r="G227" s="25"/>
      <c r="H227" s="37"/>
      <c r="I227" s="22">
        <f>12000/8</f>
        <v>1500</v>
      </c>
      <c r="J227" s="16">
        <f t="shared" si="38"/>
        <v>1500</v>
      </c>
      <c r="K227" s="16">
        <f t="shared" si="39"/>
        <v>1600</v>
      </c>
      <c r="L227" s="100" t="s">
        <v>13</v>
      </c>
      <c r="M227" s="2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83">
        <v>1.0</v>
      </c>
      <c r="B228" s="84" t="s">
        <v>33</v>
      </c>
      <c r="C228" s="85" t="s">
        <v>26</v>
      </c>
      <c r="D228" s="22">
        <v>4000.0</v>
      </c>
      <c r="E228" s="15">
        <f t="shared" si="37"/>
        <v>4000</v>
      </c>
      <c r="F228" s="16"/>
      <c r="G228" s="25"/>
      <c r="H228" s="37"/>
      <c r="I228" s="22">
        <f>25000/8</f>
        <v>3125</v>
      </c>
      <c r="J228" s="16">
        <f t="shared" si="38"/>
        <v>3125</v>
      </c>
      <c r="K228" s="16">
        <f t="shared" si="39"/>
        <v>875</v>
      </c>
      <c r="L228" s="100" t="s">
        <v>13</v>
      </c>
      <c r="M228" s="2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>
      <c r="A229" s="83">
        <v>0.5</v>
      </c>
      <c r="B229" s="84" t="s">
        <v>33</v>
      </c>
      <c r="C229" s="85" t="s">
        <v>316</v>
      </c>
      <c r="D229" s="22">
        <v>26000.0</v>
      </c>
      <c r="E229" s="15">
        <f t="shared" si="37"/>
        <v>13000</v>
      </c>
      <c r="F229" s="16"/>
      <c r="G229" s="25"/>
      <c r="H229" s="37"/>
      <c r="I229" s="87">
        <v>20000.0</v>
      </c>
      <c r="J229" s="16">
        <f t="shared" si="38"/>
        <v>10000</v>
      </c>
      <c r="K229" s="16">
        <f t="shared" si="39"/>
        <v>3000</v>
      </c>
      <c r="L229" s="100" t="s">
        <v>13</v>
      </c>
      <c r="M229" s="2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83">
        <v>5.0</v>
      </c>
      <c r="B230" s="84" t="s">
        <v>5</v>
      </c>
      <c r="C230" s="85" t="s">
        <v>176</v>
      </c>
      <c r="D230" s="22">
        <v>900.0</v>
      </c>
      <c r="E230" s="15">
        <f t="shared" si="37"/>
        <v>4500</v>
      </c>
      <c r="F230" s="16"/>
      <c r="G230" s="25"/>
      <c r="H230" s="37"/>
      <c r="I230" s="87">
        <f>23000/50</f>
        <v>460</v>
      </c>
      <c r="J230" s="16">
        <f t="shared" si="38"/>
        <v>2300</v>
      </c>
      <c r="K230" s="16">
        <f t="shared" si="39"/>
        <v>2200</v>
      </c>
      <c r="L230" s="100" t="s">
        <v>13</v>
      </c>
      <c r="M230" s="2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>
      <c r="A231" s="83">
        <v>4.0</v>
      </c>
      <c r="B231" s="84" t="s">
        <v>50</v>
      </c>
      <c r="C231" s="85" t="s">
        <v>235</v>
      </c>
      <c r="D231" s="22">
        <v>3000.0</v>
      </c>
      <c r="E231" s="15">
        <f t="shared" si="37"/>
        <v>12000</v>
      </c>
      <c r="F231" s="16"/>
      <c r="G231" s="25"/>
      <c r="H231" s="37"/>
      <c r="I231" s="87">
        <v>2000.0</v>
      </c>
      <c r="J231" s="16">
        <f t="shared" si="38"/>
        <v>8000</v>
      </c>
      <c r="K231" s="16">
        <f t="shared" si="39"/>
        <v>4000</v>
      </c>
      <c r="L231" s="100" t="s">
        <v>13</v>
      </c>
      <c r="M231" s="2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>
      <c r="A232" s="83">
        <v>3.0</v>
      </c>
      <c r="B232" s="84" t="s">
        <v>50</v>
      </c>
      <c r="C232" s="85" t="s">
        <v>236</v>
      </c>
      <c r="D232" s="22">
        <v>5000.0</v>
      </c>
      <c r="E232" s="15">
        <f t="shared" si="37"/>
        <v>15000</v>
      </c>
      <c r="F232" s="16"/>
      <c r="G232" s="25"/>
      <c r="H232" s="37"/>
      <c r="I232" s="87">
        <v>4000.0</v>
      </c>
      <c r="J232" s="16">
        <f t="shared" si="38"/>
        <v>12000</v>
      </c>
      <c r="K232" s="16">
        <f t="shared" si="39"/>
        <v>3000</v>
      </c>
      <c r="L232" s="100" t="s">
        <v>13</v>
      </c>
      <c r="M232" s="2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>
      <c r="A233" s="83">
        <v>3.0</v>
      </c>
      <c r="B233" s="84" t="s">
        <v>50</v>
      </c>
      <c r="C233" s="85" t="s">
        <v>171</v>
      </c>
      <c r="D233" s="22">
        <v>3000.0</v>
      </c>
      <c r="E233" s="15">
        <f t="shared" si="37"/>
        <v>9000</v>
      </c>
      <c r="F233" s="16"/>
      <c r="G233" s="25"/>
      <c r="H233" s="37"/>
      <c r="I233" s="87">
        <v>2000.0</v>
      </c>
      <c r="J233" s="16">
        <f t="shared" si="38"/>
        <v>6000</v>
      </c>
      <c r="K233" s="16">
        <f t="shared" si="39"/>
        <v>3000</v>
      </c>
      <c r="L233" s="100" t="s">
        <v>13</v>
      </c>
      <c r="M233" s="2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83">
        <v>2.0</v>
      </c>
      <c r="B234" s="84" t="s">
        <v>5</v>
      </c>
      <c r="C234" s="85" t="s">
        <v>241</v>
      </c>
      <c r="D234" s="22">
        <v>1100.0</v>
      </c>
      <c r="E234" s="15">
        <f t="shared" si="37"/>
        <v>2200</v>
      </c>
      <c r="F234" s="16"/>
      <c r="G234" s="25"/>
      <c r="H234" s="37"/>
      <c r="I234" s="87">
        <v>600.0</v>
      </c>
      <c r="J234" s="16">
        <f t="shared" si="38"/>
        <v>1200</v>
      </c>
      <c r="K234" s="16">
        <f t="shared" si="39"/>
        <v>1000</v>
      </c>
      <c r="L234" s="100" t="s">
        <v>13</v>
      </c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>
      <c r="A235" s="83">
        <v>0.5</v>
      </c>
      <c r="B235" s="84" t="s">
        <v>33</v>
      </c>
      <c r="C235" s="85" t="s">
        <v>283</v>
      </c>
      <c r="D235" s="22">
        <v>1400.0</v>
      </c>
      <c r="E235" s="15">
        <f t="shared" si="37"/>
        <v>700</v>
      </c>
      <c r="F235" s="16"/>
      <c r="G235" s="25"/>
      <c r="H235" s="37"/>
      <c r="I235" s="22">
        <v>17000.0</v>
      </c>
      <c r="J235" s="16">
        <f t="shared" si="38"/>
        <v>8500</v>
      </c>
      <c r="K235" s="16">
        <f t="shared" si="39"/>
        <v>-7800</v>
      </c>
      <c r="L235" s="100" t="s">
        <v>13</v>
      </c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>
      <c r="A236" s="83">
        <v>3.0</v>
      </c>
      <c r="B236" s="84" t="s">
        <v>33</v>
      </c>
      <c r="C236" s="85" t="s">
        <v>177</v>
      </c>
      <c r="D236" s="22">
        <v>1400.0</v>
      </c>
      <c r="E236" s="15">
        <f t="shared" si="37"/>
        <v>4200</v>
      </c>
      <c r="F236" s="16"/>
      <c r="G236" s="25"/>
      <c r="H236" s="37"/>
      <c r="I236" s="15">
        <f>12000/15</f>
        <v>800</v>
      </c>
      <c r="J236" s="16">
        <f t="shared" si="38"/>
        <v>2400</v>
      </c>
      <c r="K236" s="16">
        <f t="shared" si="39"/>
        <v>1800</v>
      </c>
      <c r="L236" s="100" t="s">
        <v>13</v>
      </c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>
      <c r="A237" s="83">
        <v>2.0</v>
      </c>
      <c r="B237" s="84" t="s">
        <v>5</v>
      </c>
      <c r="C237" s="85" t="s">
        <v>89</v>
      </c>
      <c r="D237" s="22">
        <v>6000.0</v>
      </c>
      <c r="E237" s="15">
        <f t="shared" si="37"/>
        <v>12000</v>
      </c>
      <c r="F237" s="16"/>
      <c r="G237" s="25"/>
      <c r="H237" s="37"/>
      <c r="I237" s="87">
        <v>5000.0</v>
      </c>
      <c r="J237" s="16">
        <f t="shared" si="38"/>
        <v>10000</v>
      </c>
      <c r="K237" s="16">
        <f t="shared" si="39"/>
        <v>2000</v>
      </c>
      <c r="L237" s="100" t="s">
        <v>13</v>
      </c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>
      <c r="A238" s="83">
        <v>1.0</v>
      </c>
      <c r="B238" s="84" t="s">
        <v>5</v>
      </c>
      <c r="C238" s="85" t="s">
        <v>317</v>
      </c>
      <c r="D238" s="22">
        <v>3000.0</v>
      </c>
      <c r="E238" s="15">
        <f t="shared" si="37"/>
        <v>3000</v>
      </c>
      <c r="F238" s="16"/>
      <c r="G238" s="25"/>
      <c r="H238" s="37"/>
      <c r="I238" s="87">
        <v>1500.0</v>
      </c>
      <c r="J238" s="16">
        <f t="shared" si="38"/>
        <v>1500</v>
      </c>
      <c r="K238" s="16">
        <f t="shared" si="39"/>
        <v>1500</v>
      </c>
      <c r="L238" s="100" t="s">
        <v>13</v>
      </c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83">
        <v>1.0</v>
      </c>
      <c r="B239" s="84" t="s">
        <v>5</v>
      </c>
      <c r="C239" s="85" t="s">
        <v>103</v>
      </c>
      <c r="D239" s="22">
        <v>1400.0</v>
      </c>
      <c r="E239" s="15">
        <f t="shared" si="37"/>
        <v>1400</v>
      </c>
      <c r="F239" s="16"/>
      <c r="G239" s="25"/>
      <c r="H239" s="98" t="s">
        <v>274</v>
      </c>
      <c r="I239" s="87">
        <v>0.0</v>
      </c>
      <c r="J239" s="16">
        <f t="shared" si="38"/>
        <v>0</v>
      </c>
      <c r="K239" s="16">
        <f t="shared" si="39"/>
        <v>1400</v>
      </c>
      <c r="L239" s="100" t="s">
        <v>13</v>
      </c>
      <c r="M239" s="2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83">
        <v>3.0</v>
      </c>
      <c r="B240" s="84" t="s">
        <v>33</v>
      </c>
      <c r="C240" s="85" t="s">
        <v>180</v>
      </c>
      <c r="D240" s="22">
        <v>1800.0</v>
      </c>
      <c r="E240" s="15">
        <f t="shared" si="37"/>
        <v>5400</v>
      </c>
      <c r="F240" s="16"/>
      <c r="G240" s="25"/>
      <c r="H240" s="37"/>
      <c r="I240" s="22">
        <f>13000/10</f>
        <v>1300</v>
      </c>
      <c r="J240" s="16">
        <f t="shared" si="38"/>
        <v>3900</v>
      </c>
      <c r="K240" s="16">
        <f t="shared" si="39"/>
        <v>1500</v>
      </c>
      <c r="L240" s="100" t="s">
        <v>13</v>
      </c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83">
        <v>3.0</v>
      </c>
      <c r="B241" s="84" t="s">
        <v>33</v>
      </c>
      <c r="C241" s="85" t="s">
        <v>46</v>
      </c>
      <c r="D241" s="22">
        <v>1400.0</v>
      </c>
      <c r="E241" s="15">
        <f t="shared" si="37"/>
        <v>4200</v>
      </c>
      <c r="F241" s="16"/>
      <c r="G241" s="25"/>
      <c r="H241" s="37"/>
      <c r="I241" s="87">
        <v>1000.0</v>
      </c>
      <c r="J241" s="16">
        <f t="shared" si="38"/>
        <v>3000</v>
      </c>
      <c r="K241" s="16">
        <f t="shared" si="39"/>
        <v>1200</v>
      </c>
      <c r="L241" s="100" t="s">
        <v>13</v>
      </c>
      <c r="M241" s="2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83">
        <v>0.5</v>
      </c>
      <c r="B242" s="84" t="s">
        <v>33</v>
      </c>
      <c r="C242" s="85" t="s">
        <v>258</v>
      </c>
      <c r="D242" s="22">
        <v>11000.0</v>
      </c>
      <c r="E242" s="15">
        <f t="shared" si="37"/>
        <v>5500</v>
      </c>
      <c r="F242" s="16"/>
      <c r="G242" s="25"/>
      <c r="H242" s="37"/>
      <c r="I242" s="87">
        <v>8000.0</v>
      </c>
      <c r="J242" s="16">
        <f t="shared" si="38"/>
        <v>4000</v>
      </c>
      <c r="K242" s="16">
        <f t="shared" si="39"/>
        <v>1500</v>
      </c>
      <c r="L242" s="100" t="s">
        <v>13</v>
      </c>
      <c r="M242" s="2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>
      <c r="A243" s="83">
        <v>1.0</v>
      </c>
      <c r="B243" s="84" t="s">
        <v>208</v>
      </c>
      <c r="C243" s="85" t="s">
        <v>318</v>
      </c>
      <c r="D243" s="22">
        <v>5000.0</v>
      </c>
      <c r="E243" s="15">
        <f t="shared" si="37"/>
        <v>5000</v>
      </c>
      <c r="F243" s="16"/>
      <c r="G243" s="25"/>
      <c r="H243" s="37"/>
      <c r="I243" s="87">
        <v>4000.0</v>
      </c>
      <c r="J243" s="16">
        <f t="shared" si="38"/>
        <v>4000</v>
      </c>
      <c r="K243" s="16">
        <f t="shared" si="39"/>
        <v>1000</v>
      </c>
      <c r="L243" s="100" t="s">
        <v>13</v>
      </c>
      <c r="M243" s="2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>
      <c r="A244" s="26">
        <v>1.0</v>
      </c>
      <c r="B244" s="92" t="s">
        <v>208</v>
      </c>
      <c r="C244" s="93" t="s">
        <v>268</v>
      </c>
      <c r="D244" s="22">
        <v>5000.0</v>
      </c>
      <c r="E244" s="15">
        <f t="shared" si="37"/>
        <v>5000</v>
      </c>
      <c r="F244" s="3"/>
      <c r="G244" s="3"/>
      <c r="H244" s="3"/>
      <c r="I244" s="22">
        <v>4000.0</v>
      </c>
      <c r="J244" s="15">
        <f t="shared" si="38"/>
        <v>4000</v>
      </c>
      <c r="K244" s="15">
        <f t="shared" si="39"/>
        <v>1000</v>
      </c>
      <c r="L244" s="106" t="s">
        <v>13</v>
      </c>
      <c r="M244" s="2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26">
        <v>1.0</v>
      </c>
      <c r="B245" s="92" t="s">
        <v>18</v>
      </c>
      <c r="C245" s="93" t="s">
        <v>72</v>
      </c>
      <c r="D245" s="22">
        <v>28000.0</v>
      </c>
      <c r="E245" s="15">
        <f t="shared" si="37"/>
        <v>28000</v>
      </c>
      <c r="F245" s="3"/>
      <c r="G245" s="3"/>
      <c r="H245" s="3"/>
      <c r="I245" s="22">
        <v>24000.0</v>
      </c>
      <c r="J245" s="15">
        <f t="shared" si="38"/>
        <v>24000</v>
      </c>
      <c r="K245" s="15">
        <f t="shared" si="39"/>
        <v>4000</v>
      </c>
      <c r="L245" s="106" t="s">
        <v>13</v>
      </c>
      <c r="M245" s="2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>
      <c r="A246" s="83">
        <v>4.0</v>
      </c>
      <c r="B246" s="84" t="s">
        <v>33</v>
      </c>
      <c r="C246" s="85" t="s">
        <v>86</v>
      </c>
      <c r="D246" s="22">
        <v>4000.0</v>
      </c>
      <c r="E246" s="15">
        <f t="shared" si="37"/>
        <v>16000</v>
      </c>
      <c r="F246" s="16"/>
      <c r="G246" s="25"/>
      <c r="H246" s="37"/>
      <c r="I246" s="87">
        <v>3000.0</v>
      </c>
      <c r="J246" s="16">
        <f t="shared" si="38"/>
        <v>12000</v>
      </c>
      <c r="K246" s="16">
        <f t="shared" si="39"/>
        <v>4000</v>
      </c>
      <c r="L246" s="100" t="s">
        <v>13</v>
      </c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A247" s="13"/>
      <c r="B247" s="12"/>
      <c r="C247" s="14"/>
      <c r="D247" s="15"/>
      <c r="E247" s="16"/>
      <c r="F247" s="16"/>
      <c r="H247" s="25"/>
      <c r="I247" s="16"/>
      <c r="J247" s="16"/>
      <c r="K247" s="16"/>
      <c r="L247" s="36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13"/>
      <c r="B248" s="12"/>
      <c r="C248" s="14"/>
      <c r="D248" s="15"/>
      <c r="E248" s="16">
        <f>SUM(E225:E247)</f>
        <v>167000</v>
      </c>
      <c r="F248" s="16"/>
      <c r="G248" s="25"/>
      <c r="H248" s="25"/>
      <c r="I248" s="16"/>
      <c r="J248" s="16"/>
      <c r="K248" s="16">
        <f>SUM(K225:K246)</f>
        <v>35825</v>
      </c>
      <c r="L248" s="36">
        <f>K248/E248</f>
        <v>0.2145209581</v>
      </c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26" t="s">
        <v>60</v>
      </c>
      <c r="B250" s="27">
        <v>0.04</v>
      </c>
      <c r="C250" s="2"/>
      <c r="D250" s="3"/>
      <c r="E250" s="15">
        <f>E248*0.04</f>
        <v>6680</v>
      </c>
      <c r="F250" s="3"/>
      <c r="G250" s="107"/>
      <c r="H250" s="2"/>
      <c r="I250" s="2"/>
      <c r="J250" s="2"/>
      <c r="K250" s="3"/>
      <c r="L250" s="4"/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89"/>
      <c r="B252" s="24"/>
      <c r="C252" s="24"/>
      <c r="D252" s="81"/>
      <c r="E252" s="82"/>
      <c r="F252" s="33"/>
      <c r="G252" s="25"/>
      <c r="H252" s="25"/>
      <c r="I252" s="16"/>
      <c r="J252" s="16"/>
      <c r="K252" s="16"/>
      <c r="L252" s="34"/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89" t="s">
        <v>319</v>
      </c>
      <c r="B253" s="24"/>
      <c r="C253" s="24"/>
      <c r="D253" s="81" t="s">
        <v>320</v>
      </c>
      <c r="E253" s="82">
        <v>46065.0</v>
      </c>
      <c r="F253" s="33" t="s">
        <v>13</v>
      </c>
      <c r="G253" s="25"/>
      <c r="H253" s="25"/>
      <c r="I253" s="16"/>
      <c r="J253" s="16"/>
      <c r="K253" s="16"/>
      <c r="L253" s="34"/>
      <c r="M253" s="2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B254" s="25"/>
      <c r="C254" s="35"/>
      <c r="D254" s="25"/>
      <c r="E254" s="25"/>
      <c r="F254" s="25"/>
      <c r="G254" s="25"/>
      <c r="H254" s="25"/>
      <c r="I254" s="16"/>
      <c r="J254" s="16"/>
      <c r="K254" s="16"/>
      <c r="L254" s="34"/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>
      <c r="A255" s="5" t="s">
        <v>4</v>
      </c>
      <c r="B255" s="10" t="s">
        <v>5</v>
      </c>
      <c r="C255" s="11" t="s">
        <v>6</v>
      </c>
      <c r="D255" s="12" t="s">
        <v>7</v>
      </c>
      <c r="E255" s="10" t="s">
        <v>8</v>
      </c>
      <c r="F255" s="12"/>
      <c r="G255" s="25"/>
      <c r="H255" s="25"/>
      <c r="I255" s="12" t="s">
        <v>7</v>
      </c>
      <c r="J255" s="12" t="s">
        <v>8</v>
      </c>
      <c r="K255" s="12" t="s">
        <v>10</v>
      </c>
      <c r="L255" s="34"/>
      <c r="M255" s="2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>
      <c r="A256" s="83">
        <v>3.0</v>
      </c>
      <c r="B256" s="84" t="s">
        <v>18</v>
      </c>
      <c r="C256" s="85" t="s">
        <v>283</v>
      </c>
      <c r="D256" s="22">
        <v>22000.0</v>
      </c>
      <c r="E256" s="15">
        <f t="shared" ref="E256:E269" si="40">A256*D256</f>
        <v>66000</v>
      </c>
      <c r="F256" s="16"/>
      <c r="G256" s="25"/>
      <c r="H256" s="37"/>
      <c r="I256" s="22">
        <v>17000.0</v>
      </c>
      <c r="J256" s="16">
        <f t="shared" ref="J256:J269" si="41">I256*A256</f>
        <v>51000</v>
      </c>
      <c r="K256" s="16">
        <f t="shared" ref="K256:K269" si="42">E256-J256</f>
        <v>15000</v>
      </c>
      <c r="L256" s="100" t="s">
        <v>13</v>
      </c>
      <c r="M256" s="2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>
      <c r="A257" s="83">
        <v>1.0</v>
      </c>
      <c r="B257" s="84" t="s">
        <v>18</v>
      </c>
      <c r="C257" s="85" t="s">
        <v>204</v>
      </c>
      <c r="D257" s="22">
        <v>56000.0</v>
      </c>
      <c r="E257" s="15">
        <f t="shared" si="40"/>
        <v>56000</v>
      </c>
      <c r="F257" s="16"/>
      <c r="G257" s="25"/>
      <c r="H257" s="37"/>
      <c r="I257" s="87">
        <v>50000.0</v>
      </c>
      <c r="J257" s="16">
        <f t="shared" si="41"/>
        <v>50000</v>
      </c>
      <c r="K257" s="16">
        <f t="shared" si="42"/>
        <v>6000</v>
      </c>
      <c r="L257" s="100" t="s">
        <v>13</v>
      </c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>
      <c r="A258" s="83">
        <v>1.0</v>
      </c>
      <c r="B258" s="84" t="s">
        <v>50</v>
      </c>
      <c r="C258" s="85" t="s">
        <v>205</v>
      </c>
      <c r="D258" s="22">
        <v>3000.0</v>
      </c>
      <c r="E258" s="15">
        <f t="shared" si="40"/>
        <v>3000</v>
      </c>
      <c r="F258" s="16"/>
      <c r="G258" s="25"/>
      <c r="H258" s="37"/>
      <c r="I258" s="87">
        <v>2000.0</v>
      </c>
      <c r="J258" s="16">
        <f t="shared" si="41"/>
        <v>2000</v>
      </c>
      <c r="K258" s="16">
        <f t="shared" si="42"/>
        <v>1000</v>
      </c>
      <c r="L258" s="100" t="s">
        <v>13</v>
      </c>
      <c r="M258" s="2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>
      <c r="A259" s="83">
        <v>1.0</v>
      </c>
      <c r="B259" s="84" t="s">
        <v>50</v>
      </c>
      <c r="C259" s="85" t="s">
        <v>16</v>
      </c>
      <c r="D259" s="22">
        <v>1000.0</v>
      </c>
      <c r="E259" s="15">
        <f t="shared" si="40"/>
        <v>1000</v>
      </c>
      <c r="F259" s="16"/>
      <c r="G259" s="25"/>
      <c r="H259" s="37"/>
      <c r="I259" s="87">
        <v>500.0</v>
      </c>
      <c r="J259" s="16">
        <f t="shared" si="41"/>
        <v>500</v>
      </c>
      <c r="K259" s="16">
        <f t="shared" si="42"/>
        <v>500</v>
      </c>
      <c r="L259" s="100" t="s">
        <v>13</v>
      </c>
      <c r="M259" s="2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>
      <c r="A260" s="83">
        <v>1.0</v>
      </c>
      <c r="B260" s="84" t="s">
        <v>18</v>
      </c>
      <c r="C260" s="85" t="s">
        <v>72</v>
      </c>
      <c r="D260" s="22">
        <v>30000.0</v>
      </c>
      <c r="E260" s="15">
        <f t="shared" si="40"/>
        <v>30000</v>
      </c>
      <c r="F260" s="16"/>
      <c r="G260" s="25"/>
      <c r="H260" s="37"/>
      <c r="I260" s="87">
        <v>24000.0</v>
      </c>
      <c r="J260" s="16">
        <f t="shared" si="41"/>
        <v>24000</v>
      </c>
      <c r="K260" s="16">
        <f t="shared" si="42"/>
        <v>6000</v>
      </c>
      <c r="L260" s="100" t="s">
        <v>13</v>
      </c>
      <c r="M260" s="2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>
      <c r="A261" s="83">
        <v>1.0</v>
      </c>
      <c r="B261" s="84" t="s">
        <v>33</v>
      </c>
      <c r="C261" s="85" t="s">
        <v>249</v>
      </c>
      <c r="D261" s="22">
        <v>9000.0</v>
      </c>
      <c r="E261" s="15">
        <f t="shared" si="40"/>
        <v>9000</v>
      </c>
      <c r="F261" s="16"/>
      <c r="G261" s="25"/>
      <c r="H261" s="37"/>
      <c r="I261" s="87">
        <f>12000/1.5</f>
        <v>8000</v>
      </c>
      <c r="J261" s="16">
        <f t="shared" si="41"/>
        <v>8000</v>
      </c>
      <c r="K261" s="16">
        <f t="shared" si="42"/>
        <v>1000</v>
      </c>
      <c r="L261" s="100" t="s">
        <v>13</v>
      </c>
      <c r="M261" s="2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>
      <c r="A262" s="83">
        <v>2.7</v>
      </c>
      <c r="B262" s="84" t="s">
        <v>33</v>
      </c>
      <c r="C262" s="85" t="s">
        <v>321</v>
      </c>
      <c r="D262" s="22">
        <v>2600.0</v>
      </c>
      <c r="E262" s="15">
        <f t="shared" si="40"/>
        <v>7020</v>
      </c>
      <c r="F262" s="16"/>
      <c r="G262" s="25"/>
      <c r="H262" s="37"/>
      <c r="I262" s="22">
        <f>40000/18</f>
        <v>2222.222222</v>
      </c>
      <c r="J262" s="16">
        <f t="shared" si="41"/>
        <v>6000</v>
      </c>
      <c r="K262" s="16">
        <f t="shared" si="42"/>
        <v>1020</v>
      </c>
      <c r="L262" s="100" t="s">
        <v>13</v>
      </c>
      <c r="M262" s="2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>
      <c r="A263" s="83">
        <v>1.0</v>
      </c>
      <c r="B263" s="84" t="s">
        <v>50</v>
      </c>
      <c r="C263" s="85" t="s">
        <v>14</v>
      </c>
      <c r="D263" s="22">
        <v>3000.0</v>
      </c>
      <c r="E263" s="15">
        <f t="shared" si="40"/>
        <v>3000</v>
      </c>
      <c r="F263" s="16"/>
      <c r="G263" s="25"/>
      <c r="H263" s="37"/>
      <c r="I263" s="87">
        <v>2000.0</v>
      </c>
      <c r="J263" s="16">
        <f t="shared" si="41"/>
        <v>2000</v>
      </c>
      <c r="K263" s="16">
        <f t="shared" si="42"/>
        <v>1000</v>
      </c>
      <c r="L263" s="100" t="s">
        <v>13</v>
      </c>
      <c r="M263" s="2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>
      <c r="A264" s="83">
        <v>2.0</v>
      </c>
      <c r="B264" s="84" t="s">
        <v>33</v>
      </c>
      <c r="C264" s="85" t="s">
        <v>177</v>
      </c>
      <c r="D264" s="22">
        <v>1400.0</v>
      </c>
      <c r="E264" s="15">
        <f t="shared" si="40"/>
        <v>2800</v>
      </c>
      <c r="F264" s="16"/>
      <c r="G264" s="25"/>
      <c r="H264" s="37"/>
      <c r="I264" s="15">
        <f>12000/15</f>
        <v>800</v>
      </c>
      <c r="J264" s="16">
        <f t="shared" si="41"/>
        <v>1600</v>
      </c>
      <c r="K264" s="16">
        <f t="shared" si="42"/>
        <v>1200</v>
      </c>
      <c r="L264" s="100" t="s">
        <v>13</v>
      </c>
      <c r="M264" s="2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>
      <c r="A265" s="83">
        <v>3.0</v>
      </c>
      <c r="B265" s="84" t="s">
        <v>33</v>
      </c>
      <c r="C265" s="85" t="s">
        <v>233</v>
      </c>
      <c r="D265" s="22">
        <v>3500.0</v>
      </c>
      <c r="E265" s="15">
        <f t="shared" si="40"/>
        <v>10500</v>
      </c>
      <c r="F265" s="16"/>
      <c r="G265" s="25"/>
      <c r="H265" s="98" t="s">
        <v>274</v>
      </c>
      <c r="I265" s="87">
        <v>0.0</v>
      </c>
      <c r="J265" s="16">
        <f t="shared" si="41"/>
        <v>0</v>
      </c>
      <c r="K265" s="16">
        <f t="shared" si="42"/>
        <v>10500</v>
      </c>
      <c r="L265" s="100" t="s">
        <v>13</v>
      </c>
      <c r="M265" s="2"/>
      <c r="N265" s="3"/>
      <c r="O265" s="2"/>
      <c r="P265" s="3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>
      <c r="A266" s="83">
        <v>7.0</v>
      </c>
      <c r="B266" s="84" t="s">
        <v>11</v>
      </c>
      <c r="C266" s="85" t="s">
        <v>65</v>
      </c>
      <c r="D266" s="22">
        <v>500.0</v>
      </c>
      <c r="E266" s="15">
        <f t="shared" si="40"/>
        <v>3500</v>
      </c>
      <c r="F266" s="16"/>
      <c r="G266" s="25"/>
      <c r="H266" s="37"/>
      <c r="I266" s="22">
        <f>4000/24</f>
        <v>166.6666667</v>
      </c>
      <c r="J266" s="16">
        <f t="shared" si="41"/>
        <v>1166.666667</v>
      </c>
      <c r="K266" s="16">
        <f t="shared" si="42"/>
        <v>2333.333333</v>
      </c>
      <c r="L266" s="100" t="s">
        <v>13</v>
      </c>
      <c r="M266" s="2"/>
      <c r="N266" s="3"/>
      <c r="O266" s="2"/>
      <c r="P266" s="3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>
      <c r="A267" s="83">
        <v>8.0</v>
      </c>
      <c r="B267" s="84" t="s">
        <v>292</v>
      </c>
      <c r="C267" s="85" t="s">
        <v>85</v>
      </c>
      <c r="D267" s="22">
        <v>2500.0</v>
      </c>
      <c r="E267" s="15">
        <f t="shared" si="40"/>
        <v>20000</v>
      </c>
      <c r="F267" s="16"/>
      <c r="G267" s="25"/>
      <c r="H267" s="37"/>
      <c r="I267" s="22">
        <f>20000/12</f>
        <v>1666.666667</v>
      </c>
      <c r="J267" s="16">
        <f t="shared" si="41"/>
        <v>13333.33333</v>
      </c>
      <c r="K267" s="16">
        <f t="shared" si="42"/>
        <v>6666.666667</v>
      </c>
      <c r="L267" s="100" t="s">
        <v>13</v>
      </c>
      <c r="M267" s="2"/>
      <c r="N267" s="3"/>
      <c r="O267" s="2"/>
      <c r="P267" s="3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>
      <c r="A268" s="83">
        <v>1.0</v>
      </c>
      <c r="B268" s="84" t="s">
        <v>33</v>
      </c>
      <c r="C268" s="85" t="s">
        <v>213</v>
      </c>
      <c r="D268" s="22">
        <v>4000.0</v>
      </c>
      <c r="E268" s="15">
        <f t="shared" si="40"/>
        <v>4000</v>
      </c>
      <c r="F268" s="16"/>
      <c r="G268" s="25"/>
      <c r="H268" s="98" t="s">
        <v>274</v>
      </c>
      <c r="I268" s="87">
        <v>0.0</v>
      </c>
      <c r="J268" s="16">
        <f t="shared" si="41"/>
        <v>0</v>
      </c>
      <c r="K268" s="16">
        <f t="shared" si="42"/>
        <v>4000</v>
      </c>
      <c r="L268" s="100" t="s">
        <v>13</v>
      </c>
      <c r="M268" s="2"/>
      <c r="N268" s="3"/>
      <c r="O268" s="2"/>
      <c r="P268" s="3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>
      <c r="A269" s="83">
        <v>3.0</v>
      </c>
      <c r="B269" s="84" t="s">
        <v>33</v>
      </c>
      <c r="C269" s="85" t="s">
        <v>23</v>
      </c>
      <c r="D269" s="22">
        <v>1600.0</v>
      </c>
      <c r="E269" s="15">
        <f t="shared" si="40"/>
        <v>4800</v>
      </c>
      <c r="F269" s="16"/>
      <c r="G269" s="25"/>
      <c r="H269" s="37"/>
      <c r="I269" s="22">
        <v>1000.0</v>
      </c>
      <c r="J269" s="16">
        <f t="shared" si="41"/>
        <v>3000</v>
      </c>
      <c r="K269" s="16">
        <f t="shared" si="42"/>
        <v>1800</v>
      </c>
      <c r="L269" s="100" t="s">
        <v>13</v>
      </c>
      <c r="M269" s="2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>
      <c r="A270" s="13"/>
      <c r="B270" s="12"/>
      <c r="C270" s="14"/>
      <c r="D270" s="15"/>
      <c r="E270" s="16"/>
      <c r="F270" s="16"/>
      <c r="H270" s="25"/>
      <c r="I270" s="16"/>
      <c r="J270" s="16"/>
      <c r="K270" s="16"/>
      <c r="L270" s="36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>
      <c r="A271" s="13"/>
      <c r="B271" s="12"/>
      <c r="C271" s="14"/>
      <c r="D271" s="15"/>
      <c r="E271" s="16">
        <f>SUM(E256:E270)</f>
        <v>220620</v>
      </c>
      <c r="F271" s="16"/>
      <c r="G271" s="25"/>
      <c r="H271" s="25"/>
      <c r="I271" s="16"/>
      <c r="J271" s="16"/>
      <c r="K271" s="16">
        <f>SUM(K256:K269)</f>
        <v>58020</v>
      </c>
      <c r="L271" s="36">
        <f>K271/E271</f>
        <v>0.26298613</v>
      </c>
      <c r="M271" s="2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>
      <c r="A273" s="88" t="s">
        <v>244</v>
      </c>
      <c r="D273" s="22"/>
      <c r="E273" s="86" t="s">
        <v>322</v>
      </c>
      <c r="F273" s="82">
        <v>46065.0</v>
      </c>
      <c r="G273" s="6"/>
      <c r="H273" s="3"/>
      <c r="I273" s="8" t="s">
        <v>3</v>
      </c>
      <c r="L273" s="4"/>
      <c r="M273" s="1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>
      <c r="A274" s="103"/>
      <c r="B274" s="101"/>
      <c r="C274" s="104"/>
      <c r="D274" s="101"/>
      <c r="E274" s="101"/>
      <c r="F274" s="101"/>
      <c r="G274" s="101"/>
      <c r="H274" s="101"/>
      <c r="I274" s="101"/>
      <c r="J274" s="101"/>
      <c r="K274" s="101"/>
      <c r="L274" s="4"/>
      <c r="M274" s="1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>
      <c r="A275" s="5" t="s">
        <v>4</v>
      </c>
      <c r="B275" s="10" t="s">
        <v>5</v>
      </c>
      <c r="C275" s="96" t="s">
        <v>6</v>
      </c>
      <c r="D275" s="10" t="s">
        <v>7</v>
      </c>
      <c r="E275" s="10" t="s">
        <v>8</v>
      </c>
      <c r="F275" s="10" t="s">
        <v>9</v>
      </c>
      <c r="G275" s="101"/>
      <c r="H275" s="101"/>
      <c r="I275" s="10" t="s">
        <v>260</v>
      </c>
      <c r="J275" s="10" t="s">
        <v>8</v>
      </c>
      <c r="K275" s="10" t="s">
        <v>10</v>
      </c>
      <c r="L275" s="4"/>
      <c r="M275" s="1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>
      <c r="A276" s="83">
        <v>3.0</v>
      </c>
      <c r="B276" s="84" t="s">
        <v>50</v>
      </c>
      <c r="C276" s="85" t="s">
        <v>65</v>
      </c>
      <c r="D276" s="22">
        <v>500.0</v>
      </c>
      <c r="E276" s="15">
        <f t="shared" ref="E276:E283" si="43">A276*D276</f>
        <v>1500</v>
      </c>
      <c r="F276" s="22">
        <f t="shared" ref="F276:F283" si="44">E276*1.105</f>
        <v>1657.5</v>
      </c>
      <c r="G276" s="101"/>
      <c r="H276" s="101"/>
      <c r="I276" s="22">
        <f>4000/24</f>
        <v>166.6666667</v>
      </c>
      <c r="J276" s="15">
        <f t="shared" ref="J276:J283" si="45">I276*A276</f>
        <v>500</v>
      </c>
      <c r="K276" s="15">
        <f t="shared" ref="K276:K283" si="46">F276-J276</f>
        <v>1157.5</v>
      </c>
      <c r="L276" s="4"/>
      <c r="M276" s="1"/>
      <c r="N276" s="3"/>
      <c r="O276" s="2"/>
      <c r="P276" s="3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>
      <c r="A277" s="83">
        <v>2.0</v>
      </c>
      <c r="B277" s="84" t="s">
        <v>33</v>
      </c>
      <c r="C277" s="85" t="s">
        <v>20</v>
      </c>
      <c r="D277" s="22">
        <v>4000.0</v>
      </c>
      <c r="E277" s="15">
        <f t="shared" si="43"/>
        <v>8000</v>
      </c>
      <c r="F277" s="22">
        <f t="shared" si="44"/>
        <v>8840</v>
      </c>
      <c r="G277" s="101"/>
      <c r="H277" s="101"/>
      <c r="I277" s="22">
        <v>3000.0</v>
      </c>
      <c r="J277" s="15">
        <f t="shared" si="45"/>
        <v>6000</v>
      </c>
      <c r="K277" s="15">
        <f t="shared" si="46"/>
        <v>2840</v>
      </c>
      <c r="L277" s="4"/>
      <c r="M277" s="1"/>
      <c r="N277" s="3"/>
      <c r="O277" s="2"/>
      <c r="P277" s="3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>
      <c r="A278" s="83">
        <v>2.0</v>
      </c>
      <c r="B278" s="84" t="s">
        <v>33</v>
      </c>
      <c r="C278" s="85" t="s">
        <v>57</v>
      </c>
      <c r="D278" s="22">
        <v>6000.0</v>
      </c>
      <c r="E278" s="15">
        <f t="shared" si="43"/>
        <v>12000</v>
      </c>
      <c r="F278" s="22">
        <f t="shared" si="44"/>
        <v>13260</v>
      </c>
      <c r="G278" s="101"/>
      <c r="H278" s="101"/>
      <c r="I278" s="22">
        <v>5000.0</v>
      </c>
      <c r="J278" s="15">
        <f t="shared" si="45"/>
        <v>10000</v>
      </c>
      <c r="K278" s="15">
        <f t="shared" si="46"/>
        <v>3260</v>
      </c>
      <c r="L278" s="4"/>
      <c r="M278" s="1"/>
      <c r="N278" s="3"/>
      <c r="O278" s="2"/>
      <c r="P278" s="3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>
      <c r="A279" s="83">
        <v>1.0</v>
      </c>
      <c r="B279" s="84" t="s">
        <v>33</v>
      </c>
      <c r="C279" s="85" t="s">
        <v>194</v>
      </c>
      <c r="D279" s="22">
        <v>3500.0</v>
      </c>
      <c r="E279" s="15">
        <f t="shared" si="43"/>
        <v>3500</v>
      </c>
      <c r="F279" s="22">
        <f t="shared" si="44"/>
        <v>3867.5</v>
      </c>
      <c r="G279" s="101"/>
      <c r="H279" s="101"/>
      <c r="I279" s="22">
        <f>10000/6</f>
        <v>1666.666667</v>
      </c>
      <c r="J279" s="15">
        <f t="shared" si="45"/>
        <v>1666.666667</v>
      </c>
      <c r="K279" s="15">
        <f t="shared" si="46"/>
        <v>2200.833333</v>
      </c>
      <c r="L279" s="4"/>
      <c r="M279" s="1"/>
      <c r="N279" s="3"/>
      <c r="O279" s="2"/>
      <c r="P279" s="3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>
      <c r="A280" s="83">
        <v>1.0</v>
      </c>
      <c r="B280" s="84" t="s">
        <v>33</v>
      </c>
      <c r="C280" s="85" t="s">
        <v>55</v>
      </c>
      <c r="D280" s="22">
        <v>2500.0</v>
      </c>
      <c r="E280" s="15">
        <f t="shared" si="43"/>
        <v>2500</v>
      </c>
      <c r="F280" s="22">
        <f t="shared" si="44"/>
        <v>2762.5</v>
      </c>
      <c r="G280" s="101"/>
      <c r="H280" s="101"/>
      <c r="I280" s="22">
        <f>28000/17</f>
        <v>1647.058824</v>
      </c>
      <c r="J280" s="15">
        <f t="shared" si="45"/>
        <v>1647.058824</v>
      </c>
      <c r="K280" s="15">
        <f t="shared" si="46"/>
        <v>1115.441176</v>
      </c>
      <c r="L280" s="4"/>
      <c r="M280" s="1"/>
      <c r="N280" s="3"/>
      <c r="O280" s="2"/>
      <c r="P280" s="3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>
      <c r="A281" s="83">
        <v>6.0</v>
      </c>
      <c r="B281" s="84" t="s">
        <v>33</v>
      </c>
      <c r="C281" s="85" t="s">
        <v>72</v>
      </c>
      <c r="D281" s="22">
        <v>2600.0</v>
      </c>
      <c r="E281" s="15">
        <f t="shared" si="43"/>
        <v>15600</v>
      </c>
      <c r="F281" s="22">
        <f t="shared" si="44"/>
        <v>17238</v>
      </c>
      <c r="G281" s="101"/>
      <c r="H281" s="101"/>
      <c r="I281" s="22">
        <f>24000/15</f>
        <v>1600</v>
      </c>
      <c r="J281" s="15">
        <f t="shared" si="45"/>
        <v>9600</v>
      </c>
      <c r="K281" s="15">
        <f t="shared" si="46"/>
        <v>7638</v>
      </c>
      <c r="L281" s="4"/>
      <c r="M281" s="1"/>
      <c r="N281" s="3"/>
      <c r="O281" s="2"/>
      <c r="P281" s="3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>
      <c r="A282" s="83">
        <v>2.0</v>
      </c>
      <c r="B282" s="84" t="s">
        <v>18</v>
      </c>
      <c r="C282" s="85" t="s">
        <v>323</v>
      </c>
      <c r="D282" s="22">
        <v>22000.0</v>
      </c>
      <c r="E282" s="15">
        <f t="shared" si="43"/>
        <v>44000</v>
      </c>
      <c r="F282" s="22">
        <f t="shared" si="44"/>
        <v>48620</v>
      </c>
      <c r="G282" s="101"/>
      <c r="H282" s="101"/>
      <c r="I282" s="22">
        <v>17000.0</v>
      </c>
      <c r="J282" s="15">
        <f t="shared" si="45"/>
        <v>34000</v>
      </c>
      <c r="K282" s="15">
        <f t="shared" si="46"/>
        <v>14620</v>
      </c>
      <c r="L282" s="4"/>
      <c r="M282" s="1"/>
      <c r="N282" s="3"/>
      <c r="O282" s="2"/>
      <c r="P282" s="3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>
      <c r="A283" s="83">
        <v>4.0</v>
      </c>
      <c r="B283" s="84" t="s">
        <v>5</v>
      </c>
      <c r="C283" s="85" t="s">
        <v>87</v>
      </c>
      <c r="D283" s="22">
        <v>1300.0</v>
      </c>
      <c r="E283" s="15">
        <f t="shared" si="43"/>
        <v>5200</v>
      </c>
      <c r="F283" s="22">
        <f t="shared" si="44"/>
        <v>5746</v>
      </c>
      <c r="G283" s="101"/>
      <c r="H283" s="101"/>
      <c r="I283" s="22">
        <v>914.0</v>
      </c>
      <c r="J283" s="15">
        <f t="shared" si="45"/>
        <v>3656</v>
      </c>
      <c r="K283" s="15">
        <f t="shared" si="46"/>
        <v>2090</v>
      </c>
      <c r="L283" s="4"/>
      <c r="M283" s="1"/>
      <c r="N283" s="3"/>
      <c r="O283" s="2"/>
      <c r="P283" s="3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>
      <c r="A284" s="5"/>
      <c r="B284" s="10"/>
      <c r="C284" s="11"/>
      <c r="D284" s="12"/>
      <c r="E284" s="10"/>
      <c r="F284" s="10"/>
      <c r="G284" s="3"/>
      <c r="H284" s="3"/>
      <c r="I284" s="10"/>
      <c r="J284" s="10"/>
      <c r="K284" s="10"/>
      <c r="L284" s="4"/>
      <c r="M284" s="1"/>
      <c r="N284" s="3"/>
      <c r="O284" s="2"/>
      <c r="P284" s="3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>
      <c r="A285" s="5"/>
      <c r="B285" s="10"/>
      <c r="C285" s="11"/>
      <c r="D285" s="12"/>
      <c r="E285" s="15">
        <f t="shared" ref="E285:F285" si="47">SUM(E276:E283)</f>
        <v>92300</v>
      </c>
      <c r="F285" s="15">
        <f t="shared" si="47"/>
        <v>101991.5</v>
      </c>
      <c r="G285" s="101"/>
      <c r="H285" s="101"/>
      <c r="I285" s="101"/>
      <c r="J285" s="101"/>
      <c r="K285" s="15">
        <f>SUM(K276:K283)</f>
        <v>34921.77451</v>
      </c>
      <c r="L285" s="105">
        <f>IFERROR(K285/F285, 0)</f>
        <v>0.3423988716</v>
      </c>
      <c r="M285" s="1"/>
      <c r="N285" s="3"/>
      <c r="O285" s="2"/>
      <c r="P285" s="3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>
      <c r="A287" s="89"/>
      <c r="B287" s="24"/>
      <c r="C287" s="24"/>
      <c r="D287" s="81"/>
      <c r="E287" s="82"/>
      <c r="F287" s="33"/>
      <c r="G287" s="25"/>
      <c r="H287" s="25"/>
      <c r="I287" s="16"/>
      <c r="J287" s="16"/>
      <c r="K287" s="16"/>
      <c r="L287" s="34"/>
      <c r="M287" s="2"/>
      <c r="N287" s="3"/>
      <c r="O287" s="2"/>
      <c r="P287" s="3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>
      <c r="A288" s="89" t="s">
        <v>83</v>
      </c>
      <c r="B288" s="24"/>
      <c r="C288" s="24"/>
      <c r="D288" s="81" t="s">
        <v>227</v>
      </c>
      <c r="E288" s="82">
        <v>46066.0</v>
      </c>
      <c r="F288" s="33" t="s">
        <v>13</v>
      </c>
      <c r="G288" s="25"/>
      <c r="H288" s="25"/>
      <c r="I288" s="16"/>
      <c r="J288" s="16"/>
      <c r="K288" s="16"/>
      <c r="L288" s="34"/>
      <c r="M288" s="2"/>
      <c r="N288" s="3"/>
      <c r="O288" s="2"/>
      <c r="P288" s="3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>
      <c r="B289" s="25"/>
      <c r="C289" s="35"/>
      <c r="D289" s="25"/>
      <c r="E289" s="25"/>
      <c r="F289" s="25"/>
      <c r="G289" s="25"/>
      <c r="H289" s="25"/>
      <c r="I289" s="16"/>
      <c r="J289" s="16"/>
      <c r="K289" s="16"/>
      <c r="L289" s="34"/>
      <c r="M289" s="2"/>
      <c r="N289" s="3"/>
      <c r="O289" s="2"/>
      <c r="P289" s="3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>
      <c r="A290" s="5" t="s">
        <v>4</v>
      </c>
      <c r="B290" s="10" t="s">
        <v>5</v>
      </c>
      <c r="C290" s="11" t="s">
        <v>6</v>
      </c>
      <c r="D290" s="12" t="s">
        <v>7</v>
      </c>
      <c r="E290" s="10" t="s">
        <v>8</v>
      </c>
      <c r="F290" s="12"/>
      <c r="G290" s="25"/>
      <c r="H290" s="25"/>
      <c r="I290" s="12" t="s">
        <v>7</v>
      </c>
      <c r="J290" s="12" t="s">
        <v>8</v>
      </c>
      <c r="K290" s="12" t="s">
        <v>10</v>
      </c>
      <c r="L290" s="34"/>
      <c r="M290" s="2"/>
      <c r="N290" s="3"/>
      <c r="O290" s="2"/>
      <c r="P290" s="3"/>
      <c r="Q290" s="3"/>
      <c r="R290" s="2"/>
      <c r="S290" s="3"/>
      <c r="T290" s="3"/>
      <c r="U290" s="1"/>
      <c r="V290" s="3"/>
      <c r="W290" s="3"/>
      <c r="X290" s="3"/>
      <c r="Y290" s="3"/>
      <c r="Z290" s="3"/>
    </row>
    <row r="291">
      <c r="A291" s="83">
        <v>3.0</v>
      </c>
      <c r="B291" s="84" t="s">
        <v>292</v>
      </c>
      <c r="C291" s="85" t="s">
        <v>85</v>
      </c>
      <c r="D291" s="22">
        <v>2500.0</v>
      </c>
      <c r="E291" s="15">
        <f t="shared" ref="E291:E302" si="48">A291*D291</f>
        <v>7500</v>
      </c>
      <c r="F291" s="16"/>
      <c r="G291" s="25"/>
      <c r="H291" s="37"/>
      <c r="I291" s="22">
        <f>20000/12</f>
        <v>1666.666667</v>
      </c>
      <c r="J291" s="16">
        <f t="shared" ref="J291:J302" si="49">I291*A291</f>
        <v>5000</v>
      </c>
      <c r="K291" s="16">
        <f t="shared" ref="K291:K302" si="50">E291-J291</f>
        <v>2500</v>
      </c>
      <c r="L291" s="100" t="s">
        <v>13</v>
      </c>
      <c r="M291" s="2"/>
      <c r="N291" s="3"/>
      <c r="O291" s="2"/>
      <c r="P291" s="3"/>
      <c r="Q291" s="3"/>
      <c r="R291" s="2"/>
      <c r="S291" s="3"/>
      <c r="T291" s="3"/>
      <c r="U291" s="1"/>
      <c r="V291" s="3"/>
      <c r="W291" s="3"/>
      <c r="X291" s="3"/>
      <c r="Y291" s="3"/>
      <c r="Z291" s="3"/>
    </row>
    <row r="292">
      <c r="A292" s="83">
        <v>1.5</v>
      </c>
      <c r="B292" s="84" t="s">
        <v>33</v>
      </c>
      <c r="C292" s="85" t="s">
        <v>55</v>
      </c>
      <c r="D292" s="22">
        <v>2500.0</v>
      </c>
      <c r="E292" s="15">
        <f t="shared" si="48"/>
        <v>3750</v>
      </c>
      <c r="F292" s="16"/>
      <c r="G292" s="25"/>
      <c r="H292" s="37"/>
      <c r="I292" s="22">
        <f>28000/17</f>
        <v>1647.058824</v>
      </c>
      <c r="J292" s="16">
        <f t="shared" si="49"/>
        <v>2470.588235</v>
      </c>
      <c r="K292" s="16">
        <f t="shared" si="50"/>
        <v>1279.411765</v>
      </c>
      <c r="L292" s="100" t="s">
        <v>13</v>
      </c>
      <c r="M292" s="2"/>
      <c r="N292" s="3"/>
      <c r="O292" s="2"/>
      <c r="P292" s="3"/>
      <c r="Q292" s="3"/>
      <c r="R292" s="2"/>
      <c r="S292" s="3"/>
      <c r="T292" s="3"/>
      <c r="U292" s="1"/>
      <c r="V292" s="3"/>
      <c r="W292" s="3"/>
      <c r="X292" s="3"/>
      <c r="Y292" s="3"/>
      <c r="Z292" s="3"/>
    </row>
    <row r="293">
      <c r="A293" s="83">
        <v>1.0</v>
      </c>
      <c r="B293" s="84" t="s">
        <v>33</v>
      </c>
      <c r="C293" s="85" t="s">
        <v>97</v>
      </c>
      <c r="D293" s="22">
        <v>20000.0</v>
      </c>
      <c r="E293" s="15">
        <f t="shared" si="48"/>
        <v>20000</v>
      </c>
      <c r="F293" s="16"/>
      <c r="G293" s="25"/>
      <c r="H293" s="37"/>
      <c r="I293" s="87">
        <v>18000.0</v>
      </c>
      <c r="J293" s="16">
        <f t="shared" si="49"/>
        <v>18000</v>
      </c>
      <c r="K293" s="16">
        <f t="shared" si="50"/>
        <v>2000</v>
      </c>
      <c r="L293" s="100" t="s">
        <v>13</v>
      </c>
      <c r="M293" s="2"/>
      <c r="N293" s="3"/>
      <c r="O293" s="2"/>
      <c r="P293" s="3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>
      <c r="A294" s="83">
        <v>1.0</v>
      </c>
      <c r="B294" s="84" t="s">
        <v>18</v>
      </c>
      <c r="C294" s="85" t="s">
        <v>57</v>
      </c>
      <c r="D294" s="22">
        <v>32000.0</v>
      </c>
      <c r="E294" s="15">
        <f t="shared" si="48"/>
        <v>32000</v>
      </c>
      <c r="F294" s="16"/>
      <c r="G294" s="25"/>
      <c r="H294" s="37"/>
      <c r="I294" s="87">
        <v>25000.0</v>
      </c>
      <c r="J294" s="16">
        <f t="shared" si="49"/>
        <v>25000</v>
      </c>
      <c r="K294" s="16">
        <f t="shared" si="50"/>
        <v>7000</v>
      </c>
      <c r="L294" s="100" t="s">
        <v>13</v>
      </c>
      <c r="M294" s="2"/>
      <c r="N294" s="3"/>
      <c r="O294" s="2"/>
      <c r="P294" s="3"/>
      <c r="Q294" s="3"/>
      <c r="R294" s="2"/>
      <c r="S294" s="3"/>
      <c r="T294" s="3"/>
      <c r="U294" s="1"/>
      <c r="V294" s="3"/>
      <c r="W294" s="3"/>
      <c r="X294" s="3"/>
      <c r="Y294" s="3"/>
      <c r="Z294" s="3"/>
    </row>
    <row r="295">
      <c r="A295" s="83">
        <v>2.0</v>
      </c>
      <c r="B295" s="84" t="s">
        <v>33</v>
      </c>
      <c r="C295" s="85" t="s">
        <v>86</v>
      </c>
      <c r="D295" s="22">
        <v>4000.0</v>
      </c>
      <c r="E295" s="15">
        <f t="shared" si="48"/>
        <v>8000</v>
      </c>
      <c r="F295" s="16"/>
      <c r="G295" s="25"/>
      <c r="H295" s="37"/>
      <c r="I295" s="87">
        <v>3000.0</v>
      </c>
      <c r="J295" s="16">
        <f t="shared" si="49"/>
        <v>6000</v>
      </c>
      <c r="K295" s="16">
        <f t="shared" si="50"/>
        <v>2000</v>
      </c>
      <c r="L295" s="100" t="s">
        <v>13</v>
      </c>
      <c r="M295" s="2"/>
      <c r="N295" s="3"/>
      <c r="O295" s="2"/>
      <c r="P295" s="3"/>
      <c r="Q295" s="3"/>
      <c r="R295" s="2"/>
      <c r="S295" s="3"/>
      <c r="T295" s="3"/>
      <c r="U295" s="1"/>
      <c r="V295" s="3"/>
      <c r="W295" s="3"/>
      <c r="X295" s="3"/>
      <c r="Y295" s="3"/>
      <c r="Z295" s="3"/>
    </row>
    <row r="296">
      <c r="A296" s="83">
        <v>1.0</v>
      </c>
      <c r="B296" s="84" t="s">
        <v>18</v>
      </c>
      <c r="C296" s="85" t="s">
        <v>72</v>
      </c>
      <c r="D296" s="22">
        <v>28000.0</v>
      </c>
      <c r="E296" s="15">
        <f t="shared" si="48"/>
        <v>28000</v>
      </c>
      <c r="F296" s="16"/>
      <c r="G296" s="25"/>
      <c r="H296" s="37"/>
      <c r="I296" s="87">
        <v>24000.0</v>
      </c>
      <c r="J296" s="16">
        <f t="shared" si="49"/>
        <v>24000</v>
      </c>
      <c r="K296" s="16">
        <f t="shared" si="50"/>
        <v>4000</v>
      </c>
      <c r="L296" s="100" t="s">
        <v>13</v>
      </c>
      <c r="M296" s="2"/>
      <c r="N296" s="3"/>
      <c r="O296" s="2"/>
      <c r="P296" s="3"/>
      <c r="Q296" s="3"/>
      <c r="R296" s="2"/>
      <c r="S296" s="3"/>
      <c r="T296" s="3"/>
      <c r="U296" s="1"/>
      <c r="V296" s="3"/>
      <c r="W296" s="3"/>
      <c r="X296" s="3"/>
      <c r="Y296" s="3"/>
      <c r="Z296" s="3"/>
    </row>
    <row r="297">
      <c r="A297" s="83">
        <v>1.0</v>
      </c>
      <c r="B297" s="84" t="s">
        <v>33</v>
      </c>
      <c r="C297" s="85" t="s">
        <v>25</v>
      </c>
      <c r="D297" s="22">
        <v>3100.0</v>
      </c>
      <c r="E297" s="15">
        <f t="shared" si="48"/>
        <v>3100</v>
      </c>
      <c r="F297" s="16"/>
      <c r="G297" s="25"/>
      <c r="H297" s="37"/>
      <c r="I297" s="22">
        <f>12000/8</f>
        <v>1500</v>
      </c>
      <c r="J297" s="16">
        <f t="shared" si="49"/>
        <v>1500</v>
      </c>
      <c r="K297" s="16">
        <f t="shared" si="50"/>
        <v>1600</v>
      </c>
      <c r="L297" s="100" t="s">
        <v>13</v>
      </c>
      <c r="M297" s="2"/>
      <c r="N297" s="3"/>
      <c r="O297" s="2"/>
      <c r="P297" s="3"/>
      <c r="Q297" s="3"/>
      <c r="R297" s="2"/>
      <c r="S297" s="3"/>
      <c r="T297" s="3"/>
      <c r="U297" s="1"/>
      <c r="V297" s="3"/>
      <c r="W297" s="3"/>
      <c r="X297" s="3"/>
      <c r="Y297" s="3"/>
      <c r="Z297" s="3"/>
    </row>
    <row r="298">
      <c r="A298" s="83">
        <v>1.0</v>
      </c>
      <c r="B298" s="84" t="s">
        <v>33</v>
      </c>
      <c r="C298" s="85" t="s">
        <v>24</v>
      </c>
      <c r="D298" s="22">
        <v>4500.0</v>
      </c>
      <c r="E298" s="15">
        <f t="shared" si="48"/>
        <v>4500</v>
      </c>
      <c r="F298" s="16"/>
      <c r="G298" s="25"/>
      <c r="H298" s="22"/>
      <c r="I298" s="22">
        <f>27000/8</f>
        <v>3375</v>
      </c>
      <c r="J298" s="16">
        <f t="shared" si="49"/>
        <v>3375</v>
      </c>
      <c r="K298" s="16">
        <f t="shared" si="50"/>
        <v>1125</v>
      </c>
      <c r="L298" s="22"/>
      <c r="M298" s="2"/>
      <c r="N298" s="3"/>
      <c r="O298" s="2"/>
      <c r="P298" s="3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>
      <c r="A299" s="83">
        <v>1.0</v>
      </c>
      <c r="B299" s="84" t="s">
        <v>18</v>
      </c>
      <c r="C299" s="85" t="s">
        <v>324</v>
      </c>
      <c r="D299" s="22">
        <v>22000.0</v>
      </c>
      <c r="E299" s="15">
        <f t="shared" si="48"/>
        <v>22000</v>
      </c>
      <c r="F299" s="16"/>
      <c r="G299" s="25"/>
      <c r="H299" s="37"/>
      <c r="I299" s="22">
        <v>17000.0</v>
      </c>
      <c r="J299" s="16">
        <f t="shared" si="49"/>
        <v>17000</v>
      </c>
      <c r="K299" s="16">
        <f t="shared" si="50"/>
        <v>5000</v>
      </c>
      <c r="L299" s="100" t="s">
        <v>13</v>
      </c>
      <c r="M299" s="2"/>
      <c r="N299" s="3"/>
      <c r="O299" s="2"/>
      <c r="P299" s="3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>
      <c r="A300" s="83">
        <v>0.5</v>
      </c>
      <c r="B300" s="84" t="s">
        <v>33</v>
      </c>
      <c r="C300" s="85" t="s">
        <v>20</v>
      </c>
      <c r="D300" s="22">
        <v>4000.0</v>
      </c>
      <c r="E300" s="15">
        <f t="shared" si="48"/>
        <v>2000</v>
      </c>
      <c r="F300" s="16"/>
      <c r="G300" s="25"/>
      <c r="H300" s="37"/>
      <c r="I300" s="87">
        <v>3000.0</v>
      </c>
      <c r="J300" s="16">
        <f t="shared" si="49"/>
        <v>1500</v>
      </c>
      <c r="K300" s="16">
        <f t="shared" si="50"/>
        <v>500</v>
      </c>
      <c r="L300" s="100" t="s">
        <v>13</v>
      </c>
      <c r="M300" s="2"/>
      <c r="N300" s="3"/>
      <c r="O300" s="2"/>
      <c r="P300" s="3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>
      <c r="A301" s="83">
        <v>0.5</v>
      </c>
      <c r="B301" s="84" t="s">
        <v>18</v>
      </c>
      <c r="C301" s="85" t="s">
        <v>19</v>
      </c>
      <c r="D301" s="22">
        <v>24000.0</v>
      </c>
      <c r="E301" s="15">
        <f t="shared" si="48"/>
        <v>12000</v>
      </c>
      <c r="F301" s="16"/>
      <c r="G301" s="25"/>
      <c r="H301" s="37"/>
      <c r="I301" s="87">
        <v>18000.0</v>
      </c>
      <c r="J301" s="16">
        <f t="shared" si="49"/>
        <v>9000</v>
      </c>
      <c r="K301" s="16">
        <f t="shared" si="50"/>
        <v>3000</v>
      </c>
      <c r="L301" s="100" t="s">
        <v>13</v>
      </c>
      <c r="M301" s="2"/>
      <c r="N301" s="3"/>
      <c r="O301" s="2"/>
      <c r="P301" s="3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>
      <c r="A302" s="83">
        <v>2.0</v>
      </c>
      <c r="B302" s="84" t="s">
        <v>18</v>
      </c>
      <c r="C302" s="85" t="s">
        <v>21</v>
      </c>
      <c r="D302" s="22">
        <v>56000.0</v>
      </c>
      <c r="E302" s="15">
        <f t="shared" si="48"/>
        <v>112000</v>
      </c>
      <c r="F302" s="16"/>
      <c r="G302" s="25"/>
      <c r="H302" s="37"/>
      <c r="I302" s="87">
        <v>50000.0</v>
      </c>
      <c r="J302" s="16">
        <f t="shared" si="49"/>
        <v>100000</v>
      </c>
      <c r="K302" s="16">
        <f t="shared" si="50"/>
        <v>12000</v>
      </c>
      <c r="L302" s="100" t="s">
        <v>13</v>
      </c>
      <c r="M302" s="2"/>
      <c r="N302" s="3"/>
      <c r="O302" s="2"/>
      <c r="P302" s="3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>
      <c r="A303" s="13"/>
      <c r="B303" s="12"/>
      <c r="C303" s="14"/>
      <c r="D303" s="15"/>
      <c r="E303" s="16"/>
      <c r="F303" s="16"/>
      <c r="H303" s="25"/>
      <c r="I303" s="16"/>
      <c r="J303" s="16"/>
      <c r="K303" s="16"/>
      <c r="L303" s="36"/>
      <c r="N303" s="3"/>
      <c r="O303" s="2"/>
      <c r="P303" s="3"/>
      <c r="Q303" s="3"/>
      <c r="R303" s="2"/>
      <c r="S303" s="3"/>
      <c r="T303" s="3"/>
      <c r="U303" s="1"/>
      <c r="V303" s="3"/>
      <c r="W303" s="3"/>
      <c r="X303" s="3"/>
      <c r="Y303" s="3"/>
      <c r="Z303" s="3"/>
    </row>
    <row r="304">
      <c r="A304" s="13"/>
      <c r="B304" s="12"/>
      <c r="C304" s="14"/>
      <c r="D304" s="15"/>
      <c r="E304" s="16">
        <f>SUM(E291:E303)</f>
        <v>254850</v>
      </c>
      <c r="F304" s="16"/>
      <c r="G304" s="25"/>
      <c r="H304" s="25"/>
      <c r="I304" s="16"/>
      <c r="J304" s="16"/>
      <c r="K304" s="16">
        <f>SUM(K291:K302)</f>
        <v>42004.41176</v>
      </c>
      <c r="L304" s="36">
        <f>K304/E304</f>
        <v>0.1648201364</v>
      </c>
      <c r="M304" s="2"/>
      <c r="N304" s="3"/>
      <c r="O304" s="2"/>
      <c r="P304" s="3"/>
      <c r="Q304" s="3"/>
      <c r="R304" s="2"/>
      <c r="S304" s="3"/>
      <c r="T304" s="3"/>
      <c r="U304" s="1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9"/>
      <c r="S305" s="3"/>
      <c r="T305" s="3"/>
      <c r="U305" s="3"/>
      <c r="V305" s="3"/>
      <c r="W305" s="3"/>
      <c r="X305" s="3"/>
      <c r="Y305" s="3"/>
      <c r="Z305" s="3"/>
    </row>
    <row r="306">
      <c r="A306" s="89" t="s">
        <v>115</v>
      </c>
      <c r="B306" s="24"/>
      <c r="C306" s="24"/>
      <c r="D306" s="81" t="s">
        <v>325</v>
      </c>
      <c r="E306" s="82">
        <v>46065.0</v>
      </c>
      <c r="F306" s="33" t="s">
        <v>13</v>
      </c>
      <c r="G306" s="25"/>
      <c r="H306" s="25"/>
      <c r="I306" s="16"/>
      <c r="J306" s="16"/>
      <c r="K306" s="16"/>
      <c r="L306" s="34"/>
      <c r="M306" s="2"/>
      <c r="N306" s="3"/>
      <c r="O306" s="2"/>
      <c r="P306" s="3"/>
      <c r="Q306" s="3"/>
      <c r="R306" s="2"/>
      <c r="S306" s="3"/>
      <c r="T306" s="3"/>
      <c r="U306" s="1"/>
      <c r="V306" s="3"/>
      <c r="W306" s="3"/>
      <c r="X306" s="3"/>
      <c r="Y306" s="3"/>
      <c r="Z306" s="3"/>
    </row>
    <row r="307">
      <c r="B307" s="25"/>
      <c r="C307" s="35"/>
      <c r="D307" s="25"/>
      <c r="E307" s="25"/>
      <c r="F307" s="25"/>
      <c r="G307" s="25"/>
      <c r="H307" s="25"/>
      <c r="I307" s="16"/>
      <c r="J307" s="16"/>
      <c r="K307" s="16"/>
      <c r="L307" s="34"/>
      <c r="M307" s="2"/>
      <c r="N307" s="3"/>
      <c r="O307" s="2"/>
      <c r="P307" s="3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>
      <c r="A308" s="5" t="s">
        <v>4</v>
      </c>
      <c r="B308" s="10" t="s">
        <v>5</v>
      </c>
      <c r="C308" s="11" t="s">
        <v>6</v>
      </c>
      <c r="D308" s="12" t="s">
        <v>7</v>
      </c>
      <c r="E308" s="10" t="s">
        <v>8</v>
      </c>
      <c r="F308" s="12"/>
      <c r="G308" s="25"/>
      <c r="H308" s="25"/>
      <c r="I308" s="12" t="s">
        <v>7</v>
      </c>
      <c r="J308" s="12" t="s">
        <v>8</v>
      </c>
      <c r="K308" s="12" t="s">
        <v>10</v>
      </c>
      <c r="L308" s="34"/>
      <c r="M308" s="2"/>
      <c r="N308" s="3"/>
      <c r="O308" s="2"/>
      <c r="P308" s="3"/>
      <c r="Q308" s="3"/>
      <c r="R308" s="2"/>
      <c r="S308" s="3"/>
      <c r="T308" s="3"/>
      <c r="U308" s="1"/>
      <c r="V308" s="3"/>
      <c r="W308" s="3"/>
      <c r="X308" s="3"/>
      <c r="Y308" s="3"/>
      <c r="Z308" s="3"/>
    </row>
    <row r="309">
      <c r="A309" s="83">
        <v>1.0</v>
      </c>
      <c r="B309" s="84" t="s">
        <v>38</v>
      </c>
      <c r="C309" s="85" t="s">
        <v>307</v>
      </c>
      <c r="D309" s="22">
        <v>12000.0</v>
      </c>
      <c r="E309" s="15">
        <f t="shared" ref="E309:E330" si="51">A309*D309</f>
        <v>12000</v>
      </c>
      <c r="F309" s="16"/>
      <c r="G309" s="25"/>
      <c r="H309" s="37"/>
      <c r="I309" s="87">
        <v>8000.0</v>
      </c>
      <c r="J309" s="16">
        <f t="shared" ref="J309:J330" si="52">I309*A309</f>
        <v>8000</v>
      </c>
      <c r="K309" s="16">
        <f t="shared" ref="K309:K330" si="53">E309-J309</f>
        <v>4000</v>
      </c>
      <c r="L309" s="100" t="s">
        <v>13</v>
      </c>
      <c r="M309" s="2"/>
      <c r="N309" s="3"/>
      <c r="O309" s="2"/>
      <c r="P309" s="3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>
      <c r="A310" s="83">
        <v>3.0</v>
      </c>
      <c r="B310" s="84" t="s">
        <v>33</v>
      </c>
      <c r="C310" s="85" t="s">
        <v>117</v>
      </c>
      <c r="D310" s="22">
        <v>3200.0</v>
      </c>
      <c r="E310" s="15">
        <f t="shared" si="51"/>
        <v>9600</v>
      </c>
      <c r="F310" s="16"/>
      <c r="G310" s="25"/>
      <c r="H310" s="37"/>
      <c r="I310" s="87">
        <v>2000.0</v>
      </c>
      <c r="J310" s="16">
        <f t="shared" si="52"/>
        <v>6000</v>
      </c>
      <c r="K310" s="16">
        <f t="shared" si="53"/>
        <v>3600</v>
      </c>
      <c r="L310" s="100" t="s">
        <v>13</v>
      </c>
      <c r="M310" s="2"/>
      <c r="N310" s="3"/>
      <c r="O310" s="2"/>
      <c r="P310" s="3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>
      <c r="A311" s="83">
        <v>1.0</v>
      </c>
      <c r="B311" s="84" t="s">
        <v>50</v>
      </c>
      <c r="C311" s="85" t="s">
        <v>171</v>
      </c>
      <c r="D311" s="22">
        <v>3000.0</v>
      </c>
      <c r="E311" s="15">
        <f t="shared" si="51"/>
        <v>3000</v>
      </c>
      <c r="F311" s="16"/>
      <c r="G311" s="25"/>
      <c r="H311" s="37"/>
      <c r="I311" s="87">
        <v>2000.0</v>
      </c>
      <c r="J311" s="16">
        <f t="shared" si="52"/>
        <v>2000</v>
      </c>
      <c r="K311" s="16">
        <f t="shared" si="53"/>
        <v>1000</v>
      </c>
      <c r="L311" s="100" t="s">
        <v>13</v>
      </c>
      <c r="M311" s="2"/>
      <c r="N311" s="3"/>
      <c r="O311" s="2"/>
      <c r="P311" s="3"/>
      <c r="Q311" s="3"/>
      <c r="R311" s="2"/>
      <c r="S311" s="3"/>
      <c r="T311" s="3"/>
      <c r="U311" s="1"/>
      <c r="V311" s="3"/>
      <c r="W311" s="3"/>
      <c r="X311" s="3"/>
      <c r="Y311" s="3"/>
      <c r="Z311" s="3"/>
    </row>
    <row r="312">
      <c r="A312" s="83">
        <v>1.0</v>
      </c>
      <c r="B312" s="84" t="s">
        <v>18</v>
      </c>
      <c r="C312" s="85" t="s">
        <v>64</v>
      </c>
      <c r="D312" s="22">
        <v>24000.0</v>
      </c>
      <c r="E312" s="15">
        <f t="shared" si="51"/>
        <v>24000</v>
      </c>
      <c r="F312" s="16"/>
      <c r="G312" s="25"/>
      <c r="H312" s="37"/>
      <c r="I312" s="87">
        <v>18000.0</v>
      </c>
      <c r="J312" s="16">
        <f t="shared" si="52"/>
        <v>18000</v>
      </c>
      <c r="K312" s="16">
        <f t="shared" si="53"/>
        <v>6000</v>
      </c>
      <c r="L312" s="100" t="s">
        <v>13</v>
      </c>
      <c r="M312" s="2"/>
      <c r="N312" s="3"/>
      <c r="O312" s="2"/>
      <c r="P312" s="3"/>
      <c r="Q312" s="3"/>
      <c r="R312" s="2"/>
      <c r="S312" s="3"/>
      <c r="T312" s="3"/>
      <c r="U312" s="1"/>
      <c r="V312" s="3"/>
      <c r="W312" s="3"/>
      <c r="X312" s="3"/>
      <c r="Y312" s="3"/>
      <c r="Z312" s="3"/>
    </row>
    <row r="313">
      <c r="A313" s="83">
        <v>1.0</v>
      </c>
      <c r="B313" s="84" t="s">
        <v>50</v>
      </c>
      <c r="C313" s="85" t="s">
        <v>271</v>
      </c>
      <c r="D313" s="22">
        <v>3000.0</v>
      </c>
      <c r="E313" s="15">
        <f t="shared" si="51"/>
        <v>3000</v>
      </c>
      <c r="F313" s="16"/>
      <c r="G313" s="25"/>
      <c r="H313" s="37"/>
      <c r="I313" s="87">
        <v>2000.0</v>
      </c>
      <c r="J313" s="16">
        <f t="shared" si="52"/>
        <v>2000</v>
      </c>
      <c r="K313" s="16">
        <f t="shared" si="53"/>
        <v>1000</v>
      </c>
      <c r="L313" s="100" t="s">
        <v>13</v>
      </c>
      <c r="M313" s="2"/>
      <c r="N313" s="3"/>
      <c r="O313" s="2"/>
      <c r="P313" s="3"/>
      <c r="Q313" s="3"/>
      <c r="R313" s="2"/>
      <c r="S313" s="3"/>
      <c r="T313" s="3"/>
      <c r="U313" s="1"/>
      <c r="V313" s="3"/>
      <c r="W313" s="3"/>
      <c r="X313" s="3"/>
      <c r="Y313" s="3"/>
      <c r="Z313" s="3"/>
    </row>
    <row r="314">
      <c r="A314" s="83">
        <v>3.0</v>
      </c>
      <c r="B314" s="84" t="s">
        <v>5</v>
      </c>
      <c r="C314" s="85" t="s">
        <v>118</v>
      </c>
      <c r="D314" s="22">
        <v>2500.0</v>
      </c>
      <c r="E314" s="15">
        <f t="shared" si="51"/>
        <v>7500</v>
      </c>
      <c r="F314" s="16"/>
      <c r="G314" s="25"/>
      <c r="H314" s="37"/>
      <c r="I314" s="87">
        <v>2000.0</v>
      </c>
      <c r="J314" s="16">
        <f t="shared" si="52"/>
        <v>6000</v>
      </c>
      <c r="K314" s="16">
        <f t="shared" si="53"/>
        <v>1500</v>
      </c>
      <c r="L314" s="100" t="s">
        <v>13</v>
      </c>
      <c r="M314" s="2"/>
      <c r="N314" s="3"/>
      <c r="O314" s="2"/>
      <c r="P314" s="3"/>
      <c r="Q314" s="3"/>
      <c r="R314" s="2"/>
      <c r="S314" s="3"/>
      <c r="T314" s="3"/>
      <c r="U314" s="1"/>
      <c r="V314" s="3"/>
      <c r="W314" s="3"/>
      <c r="X314" s="3"/>
      <c r="Y314" s="3"/>
      <c r="Z314" s="3"/>
    </row>
    <row r="315">
      <c r="A315" s="83">
        <v>0.25</v>
      </c>
      <c r="B315" s="84" t="s">
        <v>33</v>
      </c>
      <c r="C315" s="85" t="s">
        <v>249</v>
      </c>
      <c r="D315" s="22">
        <v>9000.0</v>
      </c>
      <c r="E315" s="15">
        <f t="shared" si="51"/>
        <v>2250</v>
      </c>
      <c r="F315" s="16"/>
      <c r="G315" s="25"/>
      <c r="H315" s="37"/>
      <c r="I315" s="87">
        <v>8000.0</v>
      </c>
      <c r="J315" s="16">
        <f t="shared" si="52"/>
        <v>2000</v>
      </c>
      <c r="K315" s="16">
        <f t="shared" si="53"/>
        <v>250</v>
      </c>
      <c r="L315" s="100" t="s">
        <v>13</v>
      </c>
      <c r="M315" s="2"/>
      <c r="N315" s="3"/>
      <c r="O315" s="2"/>
      <c r="P315" s="3"/>
      <c r="Q315" s="3"/>
      <c r="R315" s="2"/>
      <c r="S315" s="3"/>
      <c r="T315" s="3"/>
      <c r="U315" s="1"/>
      <c r="V315" s="3"/>
      <c r="W315" s="3"/>
      <c r="X315" s="3"/>
      <c r="Y315" s="3"/>
      <c r="Z315" s="3"/>
    </row>
    <row r="316">
      <c r="A316" s="83">
        <v>2.0</v>
      </c>
      <c r="B316" s="84" t="s">
        <v>33</v>
      </c>
      <c r="C316" s="85" t="s">
        <v>97</v>
      </c>
      <c r="D316" s="22">
        <v>20000.0</v>
      </c>
      <c r="E316" s="15">
        <f t="shared" si="51"/>
        <v>40000</v>
      </c>
      <c r="F316" s="16"/>
      <c r="G316" s="25"/>
      <c r="H316" s="37"/>
      <c r="I316" s="87">
        <v>18000.0</v>
      </c>
      <c r="J316" s="16">
        <f t="shared" si="52"/>
        <v>36000</v>
      </c>
      <c r="K316" s="16">
        <f t="shared" si="53"/>
        <v>4000</v>
      </c>
      <c r="L316" s="100" t="s">
        <v>13</v>
      </c>
      <c r="M316" s="2"/>
      <c r="N316" s="3"/>
      <c r="O316" s="2"/>
      <c r="P316" s="3"/>
      <c r="Q316" s="3"/>
      <c r="R316" s="2"/>
      <c r="S316" s="3"/>
      <c r="T316" s="3"/>
      <c r="U316" s="1"/>
      <c r="V316" s="3"/>
      <c r="W316" s="3"/>
      <c r="X316" s="3"/>
      <c r="Y316" s="3"/>
      <c r="Z316" s="3"/>
    </row>
    <row r="317">
      <c r="A317" s="83">
        <v>1.0</v>
      </c>
      <c r="B317" s="84" t="s">
        <v>33</v>
      </c>
      <c r="C317" s="85" t="s">
        <v>183</v>
      </c>
      <c r="D317" s="22">
        <v>22000.0</v>
      </c>
      <c r="E317" s="15">
        <f t="shared" si="51"/>
        <v>22000</v>
      </c>
      <c r="F317" s="16"/>
      <c r="G317" s="25"/>
      <c r="H317" s="37"/>
      <c r="I317" s="87">
        <v>20000.0</v>
      </c>
      <c r="J317" s="16">
        <f t="shared" si="52"/>
        <v>20000</v>
      </c>
      <c r="K317" s="16">
        <f t="shared" si="53"/>
        <v>2000</v>
      </c>
      <c r="L317" s="100" t="s">
        <v>13</v>
      </c>
      <c r="M317" s="2"/>
      <c r="N317" s="3"/>
      <c r="O317" s="2"/>
      <c r="P317" s="3"/>
      <c r="Q317" s="3"/>
      <c r="R317" s="2"/>
      <c r="S317" s="3"/>
      <c r="T317" s="3"/>
      <c r="U317" s="1"/>
      <c r="V317" s="3"/>
      <c r="W317" s="3"/>
      <c r="X317" s="3"/>
      <c r="Y317" s="3"/>
      <c r="Z317" s="3"/>
    </row>
    <row r="318">
      <c r="A318" s="83">
        <v>1.0</v>
      </c>
      <c r="B318" s="84" t="s">
        <v>18</v>
      </c>
      <c r="C318" s="85" t="s">
        <v>48</v>
      </c>
      <c r="D318" s="22">
        <v>14000.0</v>
      </c>
      <c r="E318" s="15">
        <f t="shared" si="51"/>
        <v>14000</v>
      </c>
      <c r="F318" s="16"/>
      <c r="G318" s="25"/>
      <c r="H318" s="37"/>
      <c r="I318" s="87">
        <v>9000.0</v>
      </c>
      <c r="J318" s="16">
        <f t="shared" si="52"/>
        <v>9000</v>
      </c>
      <c r="K318" s="16">
        <f t="shared" si="53"/>
        <v>5000</v>
      </c>
      <c r="L318" s="100" t="s">
        <v>13</v>
      </c>
      <c r="M318" s="2"/>
      <c r="N318" s="3"/>
      <c r="O318" s="2"/>
      <c r="P318" s="3"/>
      <c r="Q318" s="3"/>
      <c r="R318" s="2"/>
      <c r="S318" s="3"/>
      <c r="T318" s="3"/>
      <c r="U318" s="1"/>
      <c r="V318" s="3"/>
      <c r="W318" s="3"/>
      <c r="X318" s="3"/>
      <c r="Y318" s="3"/>
      <c r="Z318" s="3"/>
    </row>
    <row r="319">
      <c r="A319" s="83">
        <v>1.0</v>
      </c>
      <c r="B319" s="84" t="s">
        <v>18</v>
      </c>
      <c r="C319" s="85" t="s">
        <v>195</v>
      </c>
      <c r="D319" s="22">
        <v>13000.0</v>
      </c>
      <c r="E319" s="15">
        <f t="shared" si="51"/>
        <v>13000</v>
      </c>
      <c r="F319" s="16"/>
      <c r="G319" s="25"/>
      <c r="H319" s="37"/>
      <c r="I319" s="87">
        <v>9000.0</v>
      </c>
      <c r="J319" s="16">
        <f t="shared" si="52"/>
        <v>9000</v>
      </c>
      <c r="K319" s="16">
        <f t="shared" si="53"/>
        <v>4000</v>
      </c>
      <c r="L319" s="100" t="s">
        <v>13</v>
      </c>
      <c r="M319" s="2"/>
      <c r="N319" s="3"/>
      <c r="O319" s="2"/>
      <c r="P319" s="3"/>
      <c r="Q319" s="3"/>
      <c r="R319" s="2"/>
      <c r="S319" s="3"/>
      <c r="T319" s="3"/>
      <c r="U319" s="1"/>
      <c r="V319" s="3"/>
      <c r="W319" s="3"/>
      <c r="X319" s="3"/>
      <c r="Y319" s="3"/>
      <c r="Z319" s="3"/>
    </row>
    <row r="320">
      <c r="A320" s="83">
        <v>1.0</v>
      </c>
      <c r="B320" s="84" t="s">
        <v>18</v>
      </c>
      <c r="C320" s="85" t="s">
        <v>65</v>
      </c>
      <c r="D320" s="22">
        <v>9000.0</v>
      </c>
      <c r="E320" s="15">
        <f t="shared" si="51"/>
        <v>9000</v>
      </c>
      <c r="F320" s="16"/>
      <c r="G320" s="25"/>
      <c r="H320" s="37"/>
      <c r="I320" s="87">
        <v>4000.0</v>
      </c>
      <c r="J320" s="16">
        <f t="shared" si="52"/>
        <v>4000</v>
      </c>
      <c r="K320" s="16">
        <f t="shared" si="53"/>
        <v>5000</v>
      </c>
      <c r="L320" s="100" t="s">
        <v>13</v>
      </c>
      <c r="M320" s="2"/>
      <c r="N320" s="3"/>
      <c r="O320" s="2"/>
      <c r="P320" s="3"/>
      <c r="Q320" s="3"/>
      <c r="R320" s="2"/>
      <c r="S320" s="3"/>
      <c r="T320" s="3"/>
      <c r="U320" s="1"/>
      <c r="V320" s="3"/>
      <c r="W320" s="3"/>
      <c r="X320" s="3"/>
      <c r="Y320" s="3"/>
      <c r="Z320" s="3"/>
    </row>
    <row r="321">
      <c r="A321" s="83">
        <v>5.0</v>
      </c>
      <c r="B321" s="84" t="s">
        <v>18</v>
      </c>
      <c r="C321" s="85" t="s">
        <v>103</v>
      </c>
      <c r="D321" s="22">
        <v>16000.0</v>
      </c>
      <c r="E321" s="15">
        <f t="shared" si="51"/>
        <v>80000</v>
      </c>
      <c r="F321" s="16"/>
      <c r="G321" s="25"/>
      <c r="H321" s="37"/>
      <c r="I321" s="87">
        <v>12000.0</v>
      </c>
      <c r="J321" s="16">
        <f t="shared" si="52"/>
        <v>60000</v>
      </c>
      <c r="K321" s="16">
        <f t="shared" si="53"/>
        <v>20000</v>
      </c>
      <c r="L321" s="100" t="s">
        <v>13</v>
      </c>
      <c r="M321" s="2"/>
      <c r="N321" s="3"/>
      <c r="O321" s="2"/>
      <c r="P321" s="3"/>
      <c r="Q321" s="3"/>
      <c r="R321" s="2"/>
      <c r="S321" s="3"/>
      <c r="T321" s="3"/>
      <c r="U321" s="1"/>
      <c r="V321" s="3"/>
      <c r="W321" s="3"/>
      <c r="X321" s="3"/>
      <c r="Y321" s="3"/>
      <c r="Z321" s="3"/>
    </row>
    <row r="322">
      <c r="A322" s="83">
        <v>2.0</v>
      </c>
      <c r="B322" s="84" t="s">
        <v>5</v>
      </c>
      <c r="C322" s="85" t="s">
        <v>259</v>
      </c>
      <c r="D322" s="22">
        <v>5500.0</v>
      </c>
      <c r="E322" s="15">
        <f t="shared" si="51"/>
        <v>11000</v>
      </c>
      <c r="F322" s="16"/>
      <c r="G322" s="25"/>
      <c r="H322" s="37"/>
      <c r="I322" s="87">
        <v>4000.0</v>
      </c>
      <c r="J322" s="16">
        <f t="shared" si="52"/>
        <v>8000</v>
      </c>
      <c r="K322" s="16">
        <f t="shared" si="53"/>
        <v>3000</v>
      </c>
      <c r="L322" s="100" t="s">
        <v>13</v>
      </c>
      <c r="M322" s="2"/>
      <c r="N322" s="3"/>
      <c r="O322" s="2"/>
      <c r="P322" s="3"/>
      <c r="Q322" s="3"/>
      <c r="R322" s="2"/>
      <c r="S322" s="3"/>
      <c r="T322" s="3"/>
      <c r="U322" s="1"/>
      <c r="V322" s="3"/>
      <c r="W322" s="3"/>
      <c r="X322" s="3"/>
      <c r="Y322" s="3"/>
      <c r="Z322" s="3"/>
    </row>
    <row r="323">
      <c r="A323" s="83">
        <v>2.0</v>
      </c>
      <c r="B323" s="84" t="s">
        <v>38</v>
      </c>
      <c r="C323" s="85" t="s">
        <v>179</v>
      </c>
      <c r="D323" s="22">
        <v>22000.0</v>
      </c>
      <c r="E323" s="15">
        <f t="shared" si="51"/>
        <v>44000</v>
      </c>
      <c r="F323" s="16"/>
      <c r="G323" s="25"/>
      <c r="H323" s="37"/>
      <c r="I323" s="22">
        <v>18000.0</v>
      </c>
      <c r="J323" s="16">
        <f t="shared" si="52"/>
        <v>36000</v>
      </c>
      <c r="K323" s="16">
        <f t="shared" si="53"/>
        <v>8000</v>
      </c>
      <c r="L323" s="100" t="s">
        <v>13</v>
      </c>
      <c r="M323" s="2"/>
      <c r="N323" s="3"/>
      <c r="O323" s="2"/>
      <c r="P323" s="3"/>
      <c r="Q323" s="3"/>
      <c r="R323" s="2"/>
      <c r="S323" s="3"/>
      <c r="T323" s="3"/>
      <c r="U323" s="1"/>
      <c r="V323" s="3"/>
      <c r="W323" s="3"/>
      <c r="X323" s="3"/>
      <c r="Y323" s="3"/>
      <c r="Z323" s="3"/>
    </row>
    <row r="324">
      <c r="A324" s="83">
        <v>3.0</v>
      </c>
      <c r="B324" s="84" t="s">
        <v>33</v>
      </c>
      <c r="C324" s="85" t="s">
        <v>56</v>
      </c>
      <c r="D324" s="22">
        <v>2700.0</v>
      </c>
      <c r="E324" s="15">
        <f t="shared" si="51"/>
        <v>8100</v>
      </c>
      <c r="F324" s="16"/>
      <c r="G324" s="25"/>
      <c r="H324" s="37"/>
      <c r="I324" s="22">
        <f>25000/18</f>
        <v>1388.888889</v>
      </c>
      <c r="J324" s="16">
        <f t="shared" si="52"/>
        <v>4166.666667</v>
      </c>
      <c r="K324" s="16">
        <f t="shared" si="53"/>
        <v>3933.333333</v>
      </c>
      <c r="L324" s="100" t="s">
        <v>13</v>
      </c>
      <c r="M324" s="2"/>
      <c r="N324" s="3"/>
      <c r="O324" s="2"/>
      <c r="P324" s="3"/>
      <c r="Q324" s="3"/>
      <c r="R324" s="2"/>
      <c r="S324" s="3"/>
      <c r="T324" s="3"/>
      <c r="U324" s="1"/>
      <c r="V324" s="3"/>
      <c r="W324" s="3"/>
      <c r="X324" s="3"/>
      <c r="Y324" s="3"/>
      <c r="Z324" s="3"/>
    </row>
    <row r="325">
      <c r="A325" s="83">
        <v>2.0</v>
      </c>
      <c r="B325" s="84" t="s">
        <v>50</v>
      </c>
      <c r="C325" s="85" t="s">
        <v>16</v>
      </c>
      <c r="D325" s="22">
        <v>1000.0</v>
      </c>
      <c r="E325" s="15">
        <f t="shared" si="51"/>
        <v>2000</v>
      </c>
      <c r="F325" s="16"/>
      <c r="G325" s="25"/>
      <c r="H325" s="37"/>
      <c r="I325" s="87">
        <v>500.0</v>
      </c>
      <c r="J325" s="16">
        <f t="shared" si="52"/>
        <v>1000</v>
      </c>
      <c r="K325" s="16">
        <f t="shared" si="53"/>
        <v>1000</v>
      </c>
      <c r="L325" s="100" t="s">
        <v>13</v>
      </c>
      <c r="M325" s="2"/>
      <c r="N325" s="3"/>
      <c r="O325" s="2"/>
      <c r="P325" s="3"/>
      <c r="Q325" s="3"/>
      <c r="R325" s="2"/>
      <c r="S325" s="3"/>
      <c r="T325" s="3"/>
      <c r="U325" s="1"/>
      <c r="V325" s="3"/>
      <c r="W325" s="3"/>
      <c r="X325" s="3"/>
      <c r="Y325" s="3"/>
      <c r="Z325" s="3"/>
    </row>
    <row r="326">
      <c r="A326" s="83">
        <v>1.0</v>
      </c>
      <c r="B326" s="84" t="s">
        <v>50</v>
      </c>
      <c r="C326" s="85" t="s">
        <v>89</v>
      </c>
      <c r="D326" s="22">
        <v>6000.0</v>
      </c>
      <c r="E326" s="15">
        <f t="shared" si="51"/>
        <v>6000</v>
      </c>
      <c r="F326" s="16"/>
      <c r="G326" s="25"/>
      <c r="H326" s="37"/>
      <c r="I326" s="87">
        <v>5000.0</v>
      </c>
      <c r="J326" s="16">
        <f t="shared" si="52"/>
        <v>5000</v>
      </c>
      <c r="K326" s="16">
        <f t="shared" si="53"/>
        <v>1000</v>
      </c>
      <c r="L326" s="100" t="s">
        <v>13</v>
      </c>
      <c r="M326" s="2"/>
      <c r="N326" s="3"/>
      <c r="O326" s="2"/>
      <c r="P326" s="3"/>
      <c r="Q326" s="3"/>
      <c r="R326" s="2"/>
      <c r="S326" s="3"/>
      <c r="T326" s="3"/>
      <c r="U326" s="1"/>
      <c r="V326" s="3"/>
      <c r="W326" s="3"/>
      <c r="X326" s="3"/>
      <c r="Y326" s="3"/>
      <c r="Z326" s="3"/>
    </row>
    <row r="327">
      <c r="A327" s="83">
        <v>1.0</v>
      </c>
      <c r="B327" s="84" t="s">
        <v>29</v>
      </c>
      <c r="C327" s="85" t="s">
        <v>72</v>
      </c>
      <c r="D327" s="22">
        <v>30000.0</v>
      </c>
      <c r="E327" s="15">
        <f t="shared" si="51"/>
        <v>30000</v>
      </c>
      <c r="F327" s="16"/>
      <c r="G327" s="25"/>
      <c r="H327" s="37"/>
      <c r="I327" s="87">
        <v>24000.0</v>
      </c>
      <c r="J327" s="16">
        <f t="shared" si="52"/>
        <v>24000</v>
      </c>
      <c r="K327" s="16">
        <f t="shared" si="53"/>
        <v>6000</v>
      </c>
      <c r="L327" s="100" t="s">
        <v>13</v>
      </c>
      <c r="M327" s="2"/>
      <c r="N327" s="3"/>
      <c r="O327" s="2"/>
      <c r="P327" s="3"/>
      <c r="Q327" s="3"/>
      <c r="R327" s="2"/>
      <c r="S327" s="3"/>
      <c r="T327" s="3"/>
      <c r="U327" s="1"/>
      <c r="V327" s="3"/>
      <c r="W327" s="3"/>
      <c r="X327" s="3"/>
      <c r="Y327" s="3"/>
      <c r="Z327" s="3"/>
    </row>
    <row r="328">
      <c r="A328" s="83">
        <v>1.0</v>
      </c>
      <c r="B328" s="84" t="s">
        <v>18</v>
      </c>
      <c r="C328" s="85" t="s">
        <v>237</v>
      </c>
      <c r="D328" s="22">
        <v>17000.0</v>
      </c>
      <c r="E328" s="15">
        <f t="shared" si="51"/>
        <v>17000</v>
      </c>
      <c r="F328" s="16"/>
      <c r="G328" s="25"/>
      <c r="H328" s="37"/>
      <c r="I328" s="87">
        <v>13000.0</v>
      </c>
      <c r="J328" s="16">
        <f t="shared" si="52"/>
        <v>13000</v>
      </c>
      <c r="K328" s="16">
        <f t="shared" si="53"/>
        <v>4000</v>
      </c>
      <c r="L328" s="100" t="s">
        <v>13</v>
      </c>
      <c r="M328" s="2"/>
      <c r="N328" s="3"/>
      <c r="O328" s="2"/>
      <c r="P328" s="3"/>
      <c r="Q328" s="3"/>
      <c r="R328" s="2"/>
      <c r="S328" s="3"/>
      <c r="T328" s="3"/>
      <c r="U328" s="1"/>
      <c r="V328" s="3"/>
      <c r="W328" s="3"/>
      <c r="X328" s="3"/>
      <c r="Y328" s="3"/>
      <c r="Z328" s="3"/>
    </row>
    <row r="329">
      <c r="A329" s="83">
        <v>1.0</v>
      </c>
      <c r="B329" s="84" t="s">
        <v>33</v>
      </c>
      <c r="C329" s="85" t="s">
        <v>86</v>
      </c>
      <c r="D329" s="22">
        <v>4000.0</v>
      </c>
      <c r="E329" s="15">
        <f t="shared" si="51"/>
        <v>4000</v>
      </c>
      <c r="F329" s="16"/>
      <c r="G329" s="25"/>
      <c r="H329" s="37"/>
      <c r="I329" s="87">
        <v>3000.0</v>
      </c>
      <c r="J329" s="16">
        <f t="shared" si="52"/>
        <v>3000</v>
      </c>
      <c r="K329" s="16">
        <f t="shared" si="53"/>
        <v>1000</v>
      </c>
      <c r="L329" s="100" t="s">
        <v>13</v>
      </c>
      <c r="M329" s="2"/>
      <c r="N329" s="3"/>
      <c r="O329" s="2"/>
      <c r="P329" s="3"/>
      <c r="Q329" s="3"/>
      <c r="R329" s="2"/>
      <c r="S329" s="3"/>
      <c r="T329" s="3"/>
      <c r="U329" s="1"/>
      <c r="V329" s="3"/>
      <c r="W329" s="3"/>
      <c r="X329" s="3"/>
      <c r="Y329" s="3"/>
      <c r="Z329" s="3"/>
    </row>
    <row r="330">
      <c r="A330" s="83">
        <v>1.0</v>
      </c>
      <c r="B330" s="84" t="s">
        <v>50</v>
      </c>
      <c r="C330" s="85" t="s">
        <v>205</v>
      </c>
      <c r="D330" s="22">
        <v>3000.0</v>
      </c>
      <c r="E330" s="15">
        <f t="shared" si="51"/>
        <v>3000</v>
      </c>
      <c r="F330" s="16"/>
      <c r="G330" s="25"/>
      <c r="H330" s="37"/>
      <c r="I330" s="87">
        <v>2000.0</v>
      </c>
      <c r="J330" s="16">
        <f t="shared" si="52"/>
        <v>2000</v>
      </c>
      <c r="K330" s="16">
        <f t="shared" si="53"/>
        <v>1000</v>
      </c>
      <c r="L330" s="100" t="s">
        <v>13</v>
      </c>
      <c r="M330" s="2"/>
      <c r="N330" s="3"/>
      <c r="O330" s="2"/>
      <c r="P330" s="3"/>
      <c r="Q330" s="3"/>
      <c r="R330" s="2"/>
      <c r="S330" s="3"/>
      <c r="T330" s="3"/>
      <c r="U330" s="1"/>
      <c r="V330" s="3"/>
      <c r="W330" s="3"/>
      <c r="X330" s="3"/>
      <c r="Y330" s="3"/>
      <c r="Z330" s="3"/>
    </row>
    <row r="331">
      <c r="A331" s="13"/>
      <c r="B331" s="12"/>
      <c r="C331" s="14"/>
      <c r="D331" s="15"/>
      <c r="E331" s="16"/>
      <c r="F331" s="16"/>
      <c r="H331" s="25"/>
      <c r="I331" s="16"/>
      <c r="J331" s="16"/>
      <c r="K331" s="16"/>
      <c r="L331" s="36"/>
      <c r="N331" s="3"/>
      <c r="O331" s="2"/>
      <c r="P331" s="3"/>
      <c r="Q331" s="3"/>
      <c r="R331" s="2"/>
      <c r="S331" s="3"/>
      <c r="T331" s="3"/>
      <c r="U331" s="1"/>
      <c r="V331" s="3"/>
      <c r="W331" s="3"/>
      <c r="X331" s="3"/>
      <c r="Y331" s="3"/>
      <c r="Z331" s="3"/>
    </row>
    <row r="332">
      <c r="A332" s="13"/>
      <c r="B332" s="12"/>
      <c r="C332" s="14"/>
      <c r="D332" s="15"/>
      <c r="E332" s="16">
        <f>SUM(E309:E331)</f>
        <v>364450</v>
      </c>
      <c r="F332" s="16"/>
      <c r="G332" s="25"/>
      <c r="H332" s="25"/>
      <c r="I332" s="16"/>
      <c r="J332" s="16"/>
      <c r="K332" s="16">
        <f>SUM(K309:K330)</f>
        <v>86283.33333</v>
      </c>
      <c r="L332" s="36">
        <f>K332/E332</f>
        <v>0.2367494398</v>
      </c>
      <c r="M332" s="2"/>
      <c r="N332" s="3"/>
      <c r="O332" s="2"/>
      <c r="P332" s="3"/>
      <c r="Q332" s="3"/>
      <c r="R332" s="2"/>
      <c r="S332" s="3"/>
      <c r="T332" s="3"/>
      <c r="U332" s="1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5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52"/>
      <c r="S334" s="3"/>
      <c r="T334" s="3"/>
      <c r="U334" s="3"/>
      <c r="V334" s="3"/>
      <c r="W334" s="3"/>
      <c r="X334" s="3"/>
      <c r="Y334" s="3"/>
      <c r="Z334" s="3"/>
    </row>
    <row r="335">
      <c r="A335" s="89" t="s">
        <v>108</v>
      </c>
      <c r="B335" s="24"/>
      <c r="C335" s="24"/>
      <c r="D335" s="81" t="s">
        <v>265</v>
      </c>
      <c r="E335" s="82">
        <v>46065.0</v>
      </c>
      <c r="F335" s="33" t="s">
        <v>13</v>
      </c>
      <c r="G335" s="25"/>
      <c r="H335" s="25"/>
      <c r="I335" s="16"/>
      <c r="J335" s="16"/>
      <c r="K335" s="16"/>
      <c r="L335" s="34"/>
      <c r="M335" s="2"/>
      <c r="N335" s="3"/>
      <c r="O335" s="2"/>
      <c r="P335" s="3"/>
      <c r="Q335" s="3"/>
      <c r="R335" s="2"/>
      <c r="S335" s="3"/>
      <c r="T335" s="3"/>
      <c r="U335" s="1"/>
      <c r="V335" s="3"/>
      <c r="W335" s="3"/>
      <c r="X335" s="3"/>
      <c r="Y335" s="3"/>
      <c r="Z335" s="3"/>
    </row>
    <row r="336">
      <c r="B336" s="25"/>
      <c r="C336" s="35"/>
      <c r="D336" s="25"/>
      <c r="E336" s="25"/>
      <c r="F336" s="25"/>
      <c r="G336" s="25"/>
      <c r="H336" s="25"/>
      <c r="I336" s="16"/>
      <c r="J336" s="16"/>
      <c r="K336" s="16"/>
      <c r="L336" s="34"/>
      <c r="M336" s="2"/>
      <c r="N336" s="3"/>
      <c r="O336" s="2"/>
      <c r="P336" s="3"/>
      <c r="Q336" s="3"/>
      <c r="R336" s="2"/>
      <c r="S336" s="3"/>
      <c r="T336" s="3"/>
      <c r="U336" s="1"/>
      <c r="V336" s="3"/>
      <c r="W336" s="3"/>
      <c r="X336" s="3"/>
      <c r="Y336" s="3"/>
      <c r="Z336" s="3"/>
    </row>
    <row r="337">
      <c r="A337" s="5" t="s">
        <v>4</v>
      </c>
      <c r="B337" s="10" t="s">
        <v>5</v>
      </c>
      <c r="C337" s="11" t="s">
        <v>6</v>
      </c>
      <c r="D337" s="12" t="s">
        <v>7</v>
      </c>
      <c r="E337" s="10" t="s">
        <v>8</v>
      </c>
      <c r="F337" s="12"/>
      <c r="G337" s="25"/>
      <c r="H337" s="25"/>
      <c r="I337" s="12" t="s">
        <v>7</v>
      </c>
      <c r="J337" s="12" t="s">
        <v>8</v>
      </c>
      <c r="K337" s="12" t="s">
        <v>10</v>
      </c>
      <c r="L337" s="34"/>
      <c r="M337" s="2"/>
      <c r="N337" s="3"/>
      <c r="O337" s="2"/>
      <c r="P337" s="3"/>
      <c r="Q337" s="3"/>
      <c r="R337" s="2"/>
      <c r="S337" s="3"/>
      <c r="T337" s="3"/>
      <c r="U337" s="1"/>
      <c r="V337" s="3"/>
      <c r="W337" s="3"/>
      <c r="X337" s="3"/>
      <c r="Y337" s="3"/>
      <c r="Z337" s="3"/>
    </row>
    <row r="338">
      <c r="A338" s="83">
        <v>0.5</v>
      </c>
      <c r="B338" s="84" t="s">
        <v>18</v>
      </c>
      <c r="C338" s="85" t="s">
        <v>64</v>
      </c>
      <c r="D338" s="22">
        <v>24000.0</v>
      </c>
      <c r="E338" s="15">
        <f t="shared" ref="E338:E356" si="54">A338*D338</f>
        <v>12000</v>
      </c>
      <c r="F338" s="16"/>
      <c r="G338" s="25"/>
      <c r="H338" s="37"/>
      <c r="I338" s="87">
        <v>18000.0</v>
      </c>
      <c r="J338" s="16">
        <f t="shared" ref="J338:J356" si="55">I338*A338</f>
        <v>9000</v>
      </c>
      <c r="K338" s="16">
        <f t="shared" ref="K338:K356" si="56">E338-J338</f>
        <v>3000</v>
      </c>
      <c r="L338" s="100" t="s">
        <v>13</v>
      </c>
      <c r="M338" s="2"/>
      <c r="N338" s="3"/>
      <c r="O338" s="2"/>
      <c r="P338" s="3"/>
      <c r="Q338" s="3"/>
      <c r="R338" s="2"/>
      <c r="S338" s="3"/>
      <c r="T338" s="3"/>
      <c r="U338" s="1"/>
      <c r="V338" s="3"/>
      <c r="W338" s="3"/>
      <c r="X338" s="3"/>
      <c r="Y338" s="3"/>
      <c r="Z338" s="3"/>
    </row>
    <row r="339">
      <c r="A339" s="83">
        <v>1.0</v>
      </c>
      <c r="B339" s="84" t="s">
        <v>18</v>
      </c>
      <c r="C339" s="85" t="s">
        <v>195</v>
      </c>
      <c r="D339" s="22">
        <v>13000.0</v>
      </c>
      <c r="E339" s="15">
        <f t="shared" si="54"/>
        <v>13000</v>
      </c>
      <c r="F339" s="16"/>
      <c r="G339" s="25"/>
      <c r="H339" s="37"/>
      <c r="I339" s="87">
        <v>9000.0</v>
      </c>
      <c r="J339" s="16">
        <f t="shared" si="55"/>
        <v>9000</v>
      </c>
      <c r="K339" s="16">
        <f t="shared" si="56"/>
        <v>4000</v>
      </c>
      <c r="L339" s="100" t="s">
        <v>13</v>
      </c>
      <c r="M339" s="2"/>
      <c r="N339" s="3"/>
      <c r="O339" s="2"/>
      <c r="P339" s="3"/>
      <c r="Q339" s="3"/>
      <c r="R339" s="2"/>
      <c r="S339" s="3"/>
      <c r="T339" s="3"/>
      <c r="U339" s="1"/>
      <c r="V339" s="3"/>
      <c r="W339" s="3"/>
      <c r="X339" s="3"/>
      <c r="Y339" s="3"/>
      <c r="Z339" s="3"/>
    </row>
    <row r="340">
      <c r="A340" s="83">
        <v>1.0</v>
      </c>
      <c r="B340" s="84" t="s">
        <v>18</v>
      </c>
      <c r="C340" s="85" t="s">
        <v>65</v>
      </c>
      <c r="D340" s="22">
        <v>9000.0</v>
      </c>
      <c r="E340" s="15">
        <f t="shared" si="54"/>
        <v>9000</v>
      </c>
      <c r="F340" s="16"/>
      <c r="G340" s="25"/>
      <c r="H340" s="37"/>
      <c r="I340" s="87">
        <v>4000.0</v>
      </c>
      <c r="J340" s="16">
        <f t="shared" si="55"/>
        <v>4000</v>
      </c>
      <c r="K340" s="16">
        <f t="shared" si="56"/>
        <v>5000</v>
      </c>
      <c r="L340" s="100" t="s">
        <v>13</v>
      </c>
      <c r="M340" s="2"/>
      <c r="N340" s="3"/>
      <c r="O340" s="2"/>
      <c r="P340" s="3"/>
      <c r="Q340" s="3"/>
      <c r="R340" s="2"/>
      <c r="S340" s="3"/>
      <c r="T340" s="3"/>
      <c r="U340" s="1"/>
      <c r="V340" s="3"/>
      <c r="W340" s="3"/>
      <c r="X340" s="3"/>
      <c r="Y340" s="3"/>
      <c r="Z340" s="3"/>
    </row>
    <row r="341">
      <c r="A341" s="83">
        <v>0.5</v>
      </c>
      <c r="B341" s="84" t="s">
        <v>18</v>
      </c>
      <c r="C341" s="85" t="s">
        <v>194</v>
      </c>
      <c r="D341" s="22">
        <v>14000.0</v>
      </c>
      <c r="E341" s="15">
        <f t="shared" si="54"/>
        <v>7000</v>
      </c>
      <c r="F341" s="16"/>
      <c r="G341" s="25"/>
      <c r="H341" s="37"/>
      <c r="I341" s="87">
        <v>10000.0</v>
      </c>
      <c r="J341" s="16">
        <f t="shared" si="55"/>
        <v>5000</v>
      </c>
      <c r="K341" s="16">
        <f t="shared" si="56"/>
        <v>2000</v>
      </c>
      <c r="L341" s="100" t="s">
        <v>13</v>
      </c>
      <c r="M341" s="2"/>
      <c r="N341" s="3"/>
      <c r="O341" s="2"/>
      <c r="P341" s="3"/>
      <c r="Q341" s="3"/>
      <c r="R341" s="2"/>
      <c r="S341" s="3"/>
      <c r="T341" s="3"/>
      <c r="U341" s="1"/>
      <c r="V341" s="3"/>
      <c r="W341" s="3"/>
      <c r="X341" s="3"/>
      <c r="Y341" s="3"/>
      <c r="Z341" s="3"/>
    </row>
    <row r="342">
      <c r="A342" s="83">
        <v>1.0</v>
      </c>
      <c r="B342" s="84" t="s">
        <v>18</v>
      </c>
      <c r="C342" s="85" t="s">
        <v>21</v>
      </c>
      <c r="D342" s="22">
        <v>58000.0</v>
      </c>
      <c r="E342" s="15">
        <f t="shared" si="54"/>
        <v>58000</v>
      </c>
      <c r="F342" s="16"/>
      <c r="G342" s="25"/>
      <c r="H342" s="37"/>
      <c r="I342" s="87">
        <v>50000.0</v>
      </c>
      <c r="J342" s="16">
        <f t="shared" si="55"/>
        <v>50000</v>
      </c>
      <c r="K342" s="16">
        <f t="shared" si="56"/>
        <v>8000</v>
      </c>
      <c r="L342" s="100" t="s">
        <v>13</v>
      </c>
      <c r="M342" s="2"/>
      <c r="N342" s="3"/>
      <c r="O342" s="2"/>
      <c r="P342" s="3"/>
      <c r="Q342" s="3"/>
      <c r="R342" s="2"/>
      <c r="S342" s="3"/>
      <c r="T342" s="3"/>
      <c r="U342" s="1"/>
      <c r="V342" s="3"/>
      <c r="W342" s="3"/>
      <c r="X342" s="3"/>
      <c r="Y342" s="3"/>
      <c r="Z342" s="3"/>
    </row>
    <row r="343">
      <c r="A343" s="83">
        <v>1.0</v>
      </c>
      <c r="B343" s="84" t="s">
        <v>50</v>
      </c>
      <c r="C343" s="85" t="s">
        <v>12</v>
      </c>
      <c r="D343" s="22">
        <v>3000.0</v>
      </c>
      <c r="E343" s="15">
        <f t="shared" si="54"/>
        <v>3000</v>
      </c>
      <c r="F343" s="16"/>
      <c r="G343" s="25"/>
      <c r="H343" s="37"/>
      <c r="I343" s="87">
        <v>2000.0</v>
      </c>
      <c r="J343" s="16">
        <f t="shared" si="55"/>
        <v>2000</v>
      </c>
      <c r="K343" s="16">
        <f t="shared" si="56"/>
        <v>1000</v>
      </c>
      <c r="L343" s="100" t="s">
        <v>13</v>
      </c>
      <c r="M343" s="2"/>
      <c r="N343" s="3"/>
      <c r="O343" s="2"/>
      <c r="P343" s="3"/>
      <c r="Q343" s="3"/>
      <c r="R343" s="2"/>
      <c r="S343" s="3"/>
      <c r="T343" s="3"/>
      <c r="U343" s="1"/>
      <c r="V343" s="3"/>
      <c r="W343" s="3"/>
      <c r="X343" s="3"/>
      <c r="Y343" s="3"/>
      <c r="Z343" s="3"/>
    </row>
    <row r="344">
      <c r="A344" s="83">
        <v>20.0</v>
      </c>
      <c r="B344" s="84" t="s">
        <v>5</v>
      </c>
      <c r="C344" s="85" t="s">
        <v>87</v>
      </c>
      <c r="D344" s="22">
        <v>1300.0</v>
      </c>
      <c r="E344" s="15">
        <f t="shared" si="54"/>
        <v>26000</v>
      </c>
      <c r="F344" s="16"/>
      <c r="G344" s="25"/>
      <c r="H344" s="37"/>
      <c r="I344" s="22">
        <v>914.0</v>
      </c>
      <c r="J344" s="16">
        <f t="shared" si="55"/>
        <v>18280</v>
      </c>
      <c r="K344" s="16">
        <f t="shared" si="56"/>
        <v>7720</v>
      </c>
      <c r="L344" s="100" t="s">
        <v>13</v>
      </c>
      <c r="M344" s="2"/>
      <c r="N344" s="3"/>
      <c r="O344" s="2"/>
      <c r="P344" s="3"/>
      <c r="Q344" s="3"/>
      <c r="R344" s="2"/>
      <c r="S344" s="3"/>
      <c r="T344" s="3"/>
      <c r="U344" s="1"/>
      <c r="V344" s="3"/>
      <c r="W344" s="3"/>
      <c r="X344" s="3"/>
      <c r="Y344" s="3"/>
      <c r="Z344" s="3"/>
    </row>
    <row r="345">
      <c r="A345" s="83">
        <v>1.0</v>
      </c>
      <c r="B345" s="84" t="s">
        <v>5</v>
      </c>
      <c r="C345" s="85" t="s">
        <v>118</v>
      </c>
      <c r="D345" s="22">
        <v>2500.0</v>
      </c>
      <c r="E345" s="15">
        <f t="shared" si="54"/>
        <v>2500</v>
      </c>
      <c r="F345" s="16"/>
      <c r="G345" s="25"/>
      <c r="H345" s="37"/>
      <c r="I345" s="87">
        <v>2000.0</v>
      </c>
      <c r="J345" s="16">
        <f t="shared" si="55"/>
        <v>2000</v>
      </c>
      <c r="K345" s="16">
        <f t="shared" si="56"/>
        <v>500</v>
      </c>
      <c r="L345" s="100" t="s">
        <v>13</v>
      </c>
      <c r="M345" s="2"/>
      <c r="N345" s="3"/>
      <c r="O345" s="2"/>
      <c r="P345" s="3"/>
      <c r="Q345" s="3"/>
      <c r="R345" s="2"/>
      <c r="S345" s="3"/>
      <c r="T345" s="3"/>
      <c r="U345" s="1"/>
      <c r="V345" s="3"/>
      <c r="W345" s="3"/>
      <c r="X345" s="3"/>
      <c r="Y345" s="3"/>
      <c r="Z345" s="3"/>
    </row>
    <row r="346">
      <c r="A346" s="83">
        <v>1.0</v>
      </c>
      <c r="B346" s="84" t="s">
        <v>33</v>
      </c>
      <c r="C346" s="85" t="s">
        <v>183</v>
      </c>
      <c r="D346" s="22">
        <v>22000.0</v>
      </c>
      <c r="E346" s="15">
        <f t="shared" si="54"/>
        <v>22000</v>
      </c>
      <c r="F346" s="16"/>
      <c r="G346" s="25"/>
      <c r="H346" s="37"/>
      <c r="I346" s="87">
        <v>20000.0</v>
      </c>
      <c r="J346" s="16">
        <f t="shared" si="55"/>
        <v>20000</v>
      </c>
      <c r="K346" s="16">
        <f t="shared" si="56"/>
        <v>2000</v>
      </c>
      <c r="L346" s="100" t="s">
        <v>13</v>
      </c>
      <c r="M346" s="2"/>
      <c r="N346" s="3"/>
      <c r="O346" s="2"/>
      <c r="P346" s="3"/>
      <c r="Q346" s="3"/>
      <c r="R346" s="2"/>
      <c r="S346" s="3"/>
      <c r="T346" s="3"/>
      <c r="U346" s="1"/>
      <c r="V346" s="3"/>
      <c r="W346" s="3"/>
      <c r="X346" s="3"/>
      <c r="Y346" s="3"/>
      <c r="Z346" s="3"/>
    </row>
    <row r="347">
      <c r="A347" s="83">
        <v>1.0</v>
      </c>
      <c r="B347" s="84" t="s">
        <v>33</v>
      </c>
      <c r="C347" s="85" t="s">
        <v>97</v>
      </c>
      <c r="D347" s="22">
        <v>20000.0</v>
      </c>
      <c r="E347" s="15">
        <f t="shared" si="54"/>
        <v>20000</v>
      </c>
      <c r="F347" s="16"/>
      <c r="G347" s="25"/>
      <c r="H347" s="37"/>
      <c r="I347" s="87">
        <v>18000.0</v>
      </c>
      <c r="J347" s="16">
        <f t="shared" si="55"/>
        <v>18000</v>
      </c>
      <c r="K347" s="16">
        <f t="shared" si="56"/>
        <v>2000</v>
      </c>
      <c r="L347" s="100" t="s">
        <v>13</v>
      </c>
      <c r="M347" s="2"/>
      <c r="N347" s="3"/>
      <c r="O347" s="2"/>
      <c r="P347" s="3"/>
      <c r="Q347" s="3"/>
      <c r="R347" s="2"/>
      <c r="S347" s="3"/>
      <c r="T347" s="3"/>
      <c r="U347" s="1"/>
      <c r="V347" s="3"/>
      <c r="W347" s="3"/>
      <c r="X347" s="3"/>
      <c r="Y347" s="3"/>
      <c r="Z347" s="3"/>
    </row>
    <row r="348">
      <c r="A348" s="83">
        <v>2.0</v>
      </c>
      <c r="B348" s="84" t="s">
        <v>5</v>
      </c>
      <c r="C348" s="85" t="s">
        <v>16</v>
      </c>
      <c r="D348" s="22">
        <v>1000.0</v>
      </c>
      <c r="E348" s="15">
        <f t="shared" si="54"/>
        <v>2000</v>
      </c>
      <c r="F348" s="16"/>
      <c r="G348" s="25"/>
      <c r="H348" s="37"/>
      <c r="I348" s="87">
        <v>500.0</v>
      </c>
      <c r="J348" s="16">
        <f t="shared" si="55"/>
        <v>1000</v>
      </c>
      <c r="K348" s="16">
        <f t="shared" si="56"/>
        <v>1000</v>
      </c>
      <c r="L348" s="100" t="s">
        <v>13</v>
      </c>
      <c r="M348" s="2"/>
      <c r="N348" s="3"/>
      <c r="O348" s="2"/>
      <c r="P348" s="3"/>
      <c r="Q348" s="3"/>
      <c r="R348" s="2"/>
      <c r="S348" s="3"/>
      <c r="T348" s="3"/>
      <c r="U348" s="1"/>
      <c r="V348" s="3"/>
      <c r="W348" s="3"/>
      <c r="X348" s="3"/>
      <c r="Y348" s="3"/>
      <c r="Z348" s="3"/>
    </row>
    <row r="349">
      <c r="A349" s="83">
        <v>1.0</v>
      </c>
      <c r="B349" s="84" t="s">
        <v>50</v>
      </c>
      <c r="C349" s="85" t="s">
        <v>235</v>
      </c>
      <c r="D349" s="22">
        <v>3000.0</v>
      </c>
      <c r="E349" s="15">
        <f t="shared" si="54"/>
        <v>3000</v>
      </c>
      <c r="F349" s="16"/>
      <c r="G349" s="25"/>
      <c r="H349" s="37"/>
      <c r="I349" s="87">
        <v>2000.0</v>
      </c>
      <c r="J349" s="16">
        <f t="shared" si="55"/>
        <v>2000</v>
      </c>
      <c r="K349" s="16">
        <f t="shared" si="56"/>
        <v>1000</v>
      </c>
      <c r="L349" s="100" t="s">
        <v>13</v>
      </c>
      <c r="M349" s="2"/>
      <c r="N349" s="3"/>
      <c r="O349" s="2"/>
      <c r="P349" s="3"/>
      <c r="Q349" s="3"/>
      <c r="R349" s="2"/>
      <c r="S349" s="3"/>
      <c r="T349" s="3"/>
      <c r="U349" s="1"/>
      <c r="V349" s="3"/>
      <c r="W349" s="3"/>
      <c r="X349" s="3"/>
      <c r="Y349" s="3"/>
      <c r="Z349" s="3"/>
    </row>
    <row r="350">
      <c r="A350" s="83">
        <v>1.0</v>
      </c>
      <c r="B350" s="84" t="s">
        <v>50</v>
      </c>
      <c r="C350" s="85" t="s">
        <v>171</v>
      </c>
      <c r="D350" s="22">
        <v>3000.0</v>
      </c>
      <c r="E350" s="15">
        <f t="shared" si="54"/>
        <v>3000</v>
      </c>
      <c r="F350" s="16"/>
      <c r="G350" s="25"/>
      <c r="H350" s="37"/>
      <c r="I350" s="87">
        <v>2000.0</v>
      </c>
      <c r="J350" s="16">
        <f t="shared" si="55"/>
        <v>2000</v>
      </c>
      <c r="K350" s="16">
        <f t="shared" si="56"/>
        <v>1000</v>
      </c>
      <c r="L350" s="100" t="s">
        <v>13</v>
      </c>
      <c r="M350" s="2"/>
      <c r="N350" s="3"/>
      <c r="O350" s="2"/>
      <c r="P350" s="3"/>
      <c r="Q350" s="3"/>
      <c r="R350" s="2"/>
      <c r="S350" s="3"/>
      <c r="T350" s="3"/>
      <c r="U350" s="1"/>
      <c r="V350" s="3"/>
      <c r="W350" s="3"/>
      <c r="X350" s="3"/>
      <c r="Y350" s="3"/>
      <c r="Z350" s="3"/>
    </row>
    <row r="351">
      <c r="A351" s="83">
        <v>1.0</v>
      </c>
      <c r="B351" s="84" t="s">
        <v>50</v>
      </c>
      <c r="C351" s="85" t="s">
        <v>271</v>
      </c>
      <c r="D351" s="22">
        <v>3000.0</v>
      </c>
      <c r="E351" s="15">
        <f t="shared" si="54"/>
        <v>3000</v>
      </c>
      <c r="F351" s="16"/>
      <c r="G351" s="25"/>
      <c r="H351" s="37"/>
      <c r="I351" s="87">
        <v>200.0</v>
      </c>
      <c r="J351" s="16">
        <f t="shared" si="55"/>
        <v>200</v>
      </c>
      <c r="K351" s="16">
        <f t="shared" si="56"/>
        <v>2800</v>
      </c>
      <c r="L351" s="100" t="s">
        <v>13</v>
      </c>
      <c r="M351" s="2"/>
      <c r="N351" s="3"/>
      <c r="O351" s="2"/>
      <c r="P351" s="3"/>
      <c r="Q351" s="3"/>
      <c r="R351" s="2"/>
      <c r="S351" s="3"/>
      <c r="T351" s="3"/>
      <c r="U351" s="1"/>
      <c r="V351" s="3"/>
      <c r="W351" s="3"/>
      <c r="X351" s="3"/>
      <c r="Y351" s="3"/>
      <c r="Z351" s="3"/>
    </row>
    <row r="352">
      <c r="A352" s="83">
        <v>0.25</v>
      </c>
      <c r="B352" s="84" t="s">
        <v>33</v>
      </c>
      <c r="C352" s="85" t="s">
        <v>249</v>
      </c>
      <c r="D352" s="22">
        <v>9000.0</v>
      </c>
      <c r="E352" s="15">
        <f t="shared" si="54"/>
        <v>2250</v>
      </c>
      <c r="F352" s="16"/>
      <c r="G352" s="25"/>
      <c r="H352" s="37"/>
      <c r="I352" s="87">
        <v>8000.0</v>
      </c>
      <c r="J352" s="16">
        <f t="shared" si="55"/>
        <v>2000</v>
      </c>
      <c r="K352" s="16">
        <f t="shared" si="56"/>
        <v>250</v>
      </c>
      <c r="L352" s="100" t="s">
        <v>13</v>
      </c>
      <c r="M352" s="2"/>
      <c r="N352" s="3"/>
      <c r="O352" s="2"/>
      <c r="P352" s="3"/>
      <c r="Q352" s="3"/>
      <c r="R352" s="2"/>
      <c r="S352" s="3"/>
      <c r="T352" s="3"/>
      <c r="U352" s="1"/>
      <c r="V352" s="3"/>
      <c r="W352" s="3"/>
      <c r="X352" s="3"/>
      <c r="Y352" s="3"/>
      <c r="Z352" s="3"/>
    </row>
    <row r="353">
      <c r="A353" s="83">
        <v>2.0</v>
      </c>
      <c r="B353" s="84" t="s">
        <v>5</v>
      </c>
      <c r="C353" s="85" t="s">
        <v>259</v>
      </c>
      <c r="D353" s="22">
        <v>6000.0</v>
      </c>
      <c r="E353" s="15">
        <f t="shared" si="54"/>
        <v>12000</v>
      </c>
      <c r="F353" s="16"/>
      <c r="G353" s="25"/>
      <c r="H353" s="37"/>
      <c r="I353" s="87">
        <v>4000.0</v>
      </c>
      <c r="J353" s="16">
        <f t="shared" si="55"/>
        <v>8000</v>
      </c>
      <c r="K353" s="16">
        <f t="shared" si="56"/>
        <v>4000</v>
      </c>
      <c r="L353" s="100" t="s">
        <v>13</v>
      </c>
      <c r="M353" s="2"/>
      <c r="N353" s="3"/>
      <c r="O353" s="2"/>
      <c r="P353" s="3"/>
      <c r="Q353" s="3"/>
      <c r="R353" s="2"/>
      <c r="S353" s="3"/>
      <c r="T353" s="3"/>
      <c r="U353" s="1"/>
      <c r="V353" s="3"/>
      <c r="W353" s="3"/>
      <c r="X353" s="3"/>
      <c r="Y353" s="3"/>
      <c r="Z353" s="3"/>
    </row>
    <row r="354">
      <c r="A354" s="83">
        <v>4.0</v>
      </c>
      <c r="B354" s="84" t="s">
        <v>38</v>
      </c>
      <c r="C354" s="85" t="s">
        <v>179</v>
      </c>
      <c r="D354" s="22">
        <v>22000.0</v>
      </c>
      <c r="E354" s="15">
        <f t="shared" si="54"/>
        <v>88000</v>
      </c>
      <c r="F354" s="16"/>
      <c r="G354" s="25"/>
      <c r="H354" s="37"/>
      <c r="I354" s="22">
        <v>18000.0</v>
      </c>
      <c r="J354" s="16">
        <f t="shared" si="55"/>
        <v>72000</v>
      </c>
      <c r="K354" s="16">
        <f t="shared" si="56"/>
        <v>16000</v>
      </c>
      <c r="L354" s="100" t="s">
        <v>13</v>
      </c>
      <c r="M354" s="2"/>
      <c r="N354" s="3"/>
      <c r="O354" s="2"/>
      <c r="P354" s="3"/>
      <c r="Q354" s="3"/>
      <c r="R354" s="2"/>
      <c r="S354" s="3"/>
      <c r="T354" s="3"/>
      <c r="U354" s="1"/>
      <c r="V354" s="3"/>
      <c r="W354" s="3"/>
      <c r="X354" s="3"/>
      <c r="Y354" s="3"/>
      <c r="Z354" s="3"/>
    </row>
    <row r="355">
      <c r="A355" s="83">
        <v>1.0</v>
      </c>
      <c r="B355" s="84" t="s">
        <v>29</v>
      </c>
      <c r="C355" s="85" t="s">
        <v>72</v>
      </c>
      <c r="D355" s="22">
        <v>30000.0</v>
      </c>
      <c r="E355" s="15">
        <f t="shared" si="54"/>
        <v>30000</v>
      </c>
      <c r="F355" s="16"/>
      <c r="G355" s="25"/>
      <c r="H355" s="37"/>
      <c r="I355" s="87">
        <v>24000.0</v>
      </c>
      <c r="J355" s="16">
        <f t="shared" si="55"/>
        <v>24000</v>
      </c>
      <c r="K355" s="16">
        <f t="shared" si="56"/>
        <v>6000</v>
      </c>
      <c r="L355" s="100" t="s">
        <v>13</v>
      </c>
      <c r="M355" s="2"/>
      <c r="N355" s="3"/>
      <c r="O355" s="2"/>
      <c r="P355" s="3"/>
      <c r="Q355" s="3"/>
      <c r="R355" s="2"/>
      <c r="S355" s="3"/>
      <c r="T355" s="3"/>
      <c r="U355" s="1"/>
      <c r="V355" s="3"/>
      <c r="W355" s="3"/>
      <c r="X355" s="3"/>
      <c r="Y355" s="3"/>
      <c r="Z355" s="3"/>
    </row>
    <row r="356">
      <c r="A356" s="83">
        <v>1.0</v>
      </c>
      <c r="B356" s="84" t="s">
        <v>18</v>
      </c>
      <c r="C356" s="85" t="s">
        <v>237</v>
      </c>
      <c r="D356" s="22">
        <v>17000.0</v>
      </c>
      <c r="E356" s="15">
        <f t="shared" si="54"/>
        <v>17000</v>
      </c>
      <c r="F356" s="16"/>
      <c r="G356" s="25"/>
      <c r="H356" s="37"/>
      <c r="I356" s="87">
        <v>13000.0</v>
      </c>
      <c r="J356" s="16">
        <f t="shared" si="55"/>
        <v>13000</v>
      </c>
      <c r="K356" s="16">
        <f t="shared" si="56"/>
        <v>4000</v>
      </c>
      <c r="L356" s="100" t="s">
        <v>13</v>
      </c>
      <c r="M356" s="2"/>
      <c r="N356" s="3"/>
      <c r="O356" s="2"/>
      <c r="P356" s="3"/>
      <c r="Q356" s="3"/>
      <c r="R356" s="2"/>
      <c r="S356" s="3"/>
      <c r="T356" s="3"/>
      <c r="U356" s="1"/>
      <c r="V356" s="3"/>
      <c r="W356" s="3"/>
      <c r="X356" s="3"/>
      <c r="Y356" s="3"/>
      <c r="Z356" s="3"/>
    </row>
    <row r="357">
      <c r="A357" s="13"/>
      <c r="B357" s="12"/>
      <c r="C357" s="14"/>
      <c r="D357" s="15"/>
      <c r="E357" s="16"/>
      <c r="F357" s="16"/>
      <c r="H357" s="25"/>
      <c r="I357" s="16"/>
      <c r="J357" s="16"/>
      <c r="K357" s="16"/>
      <c r="L357" s="36"/>
      <c r="N357" s="3"/>
      <c r="O357" s="2"/>
      <c r="P357" s="3"/>
      <c r="Q357" s="3"/>
      <c r="R357" s="2"/>
      <c r="S357" s="3"/>
      <c r="T357" s="3"/>
      <c r="U357" s="1"/>
      <c r="V357" s="3"/>
      <c r="W357" s="3"/>
      <c r="X357" s="3"/>
      <c r="Y357" s="3"/>
      <c r="Z357" s="3"/>
    </row>
    <row r="358">
      <c r="A358" s="13"/>
      <c r="B358" s="12"/>
      <c r="C358" s="14"/>
      <c r="D358" s="15"/>
      <c r="E358" s="16">
        <f>SUM(E338:E357)</f>
        <v>332750</v>
      </c>
      <c r="F358" s="16"/>
      <c r="G358" s="25"/>
      <c r="H358" s="25"/>
      <c r="I358" s="16"/>
      <c r="J358" s="16"/>
      <c r="K358" s="16">
        <f>SUM(K338:K356)</f>
        <v>71270</v>
      </c>
      <c r="L358" s="36">
        <f>K358/E358</f>
        <v>0.2141848234</v>
      </c>
      <c r="M358" s="2"/>
      <c r="N358" s="3"/>
      <c r="O358" s="2"/>
      <c r="P358" s="3"/>
      <c r="Q358" s="3"/>
      <c r="R358" s="2"/>
      <c r="S358" s="3"/>
      <c r="T358" s="3"/>
      <c r="U358" s="1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3"/>
      <c r="R359" s="52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3"/>
      <c r="R360" s="2"/>
      <c r="S360" s="3"/>
      <c r="T360" s="3"/>
      <c r="U360" s="3"/>
      <c r="V360" s="3"/>
      <c r="W360" s="3"/>
      <c r="X360" s="3"/>
      <c r="Y360" s="3"/>
      <c r="Z360" s="3"/>
    </row>
    <row r="361">
      <c r="A361" s="30" t="s">
        <v>120</v>
      </c>
      <c r="B361" s="31">
        <f>E358+E332+E304+F285+E271+E248+F220+F188+F157+F128+F91+F63+F34</f>
        <v>4229040.76</v>
      </c>
      <c r="C361" s="2"/>
      <c r="D361" s="3"/>
      <c r="E361" s="3"/>
      <c r="F361" s="3"/>
      <c r="G361" s="2"/>
      <c r="H361" s="2"/>
      <c r="I361" s="2"/>
      <c r="J361" s="2"/>
      <c r="K361" s="3"/>
      <c r="L361" s="4"/>
      <c r="M361" s="2"/>
      <c r="N361" s="3"/>
      <c r="O361" s="2"/>
      <c r="P361" s="3"/>
      <c r="Q361" s="3"/>
      <c r="R361" s="2"/>
      <c r="S361" s="3"/>
      <c r="T361" s="3"/>
      <c r="U361" s="1"/>
      <c r="V361" s="3"/>
      <c r="W361" s="3"/>
      <c r="X361" s="3"/>
      <c r="Y361" s="3"/>
      <c r="Z361" s="3"/>
    </row>
    <row r="362">
      <c r="A362" s="1"/>
      <c r="B362" s="2"/>
      <c r="C362" s="2"/>
      <c r="D362" s="3"/>
      <c r="E362" s="3"/>
      <c r="F362" s="3"/>
      <c r="G362" s="2"/>
      <c r="H362" s="2"/>
      <c r="I362" s="2"/>
      <c r="J362" s="2"/>
      <c r="K362" s="3"/>
      <c r="L362" s="4"/>
      <c r="M362" s="2"/>
      <c r="N362" s="2"/>
      <c r="O362" s="2"/>
      <c r="P362" s="2"/>
      <c r="Q362" s="3"/>
      <c r="R362" s="9"/>
      <c r="S362" s="3"/>
      <c r="T362" s="3"/>
      <c r="U362" s="1"/>
      <c r="V362" s="3"/>
      <c r="W362" s="3"/>
      <c r="X362" s="3"/>
      <c r="Y362" s="3"/>
      <c r="Z362" s="3"/>
    </row>
    <row r="363">
      <c r="A363" s="30" t="s">
        <v>121</v>
      </c>
      <c r="B363" s="108">
        <f>K358+K332+K304+K285+K271+K248+K220+K188+K157+K128+K91+K63+K34</f>
        <v>1196530.223</v>
      </c>
      <c r="C363" s="2"/>
      <c r="D363" s="3"/>
      <c r="E363" s="3"/>
      <c r="F363" s="3"/>
      <c r="G363" s="109"/>
      <c r="H363" s="2"/>
      <c r="I363" s="2"/>
      <c r="J363" s="2"/>
      <c r="K363" s="3"/>
      <c r="L363" s="4"/>
      <c r="M363" s="2"/>
      <c r="N363" s="2"/>
      <c r="O363" s="2"/>
      <c r="P363" s="2"/>
      <c r="Q363" s="3"/>
      <c r="R363" s="2"/>
      <c r="S363" s="3"/>
      <c r="T363" s="3"/>
      <c r="U363" s="1"/>
      <c r="V363" s="3"/>
      <c r="W363" s="3"/>
      <c r="X363" s="3"/>
      <c r="Y363" s="3"/>
      <c r="Z363" s="3"/>
    </row>
    <row r="364">
      <c r="A364" s="1"/>
      <c r="B364" s="2"/>
      <c r="C364" s="2"/>
      <c r="D364" s="3"/>
      <c r="E364" s="3"/>
      <c r="F364" s="3"/>
      <c r="G364" s="2"/>
      <c r="H364" s="2"/>
      <c r="I364" s="2"/>
      <c r="J364" s="2"/>
      <c r="K364" s="3"/>
      <c r="L364" s="4"/>
      <c r="M364" s="2"/>
      <c r="N364" s="2"/>
      <c r="O364" s="2"/>
      <c r="P364" s="2"/>
      <c r="Q364" s="3"/>
      <c r="R364" s="2"/>
      <c r="S364" s="3"/>
      <c r="T364" s="3"/>
      <c r="U364" s="1"/>
      <c r="V364" s="3"/>
      <c r="W364" s="3"/>
      <c r="X364" s="3"/>
      <c r="Y364" s="3"/>
      <c r="Z364" s="3"/>
    </row>
    <row r="365">
      <c r="A365" s="39" t="s">
        <v>122</v>
      </c>
      <c r="B365" s="99">
        <f>E250</f>
        <v>6680</v>
      </c>
      <c r="C365" s="2"/>
      <c r="D365" s="3"/>
      <c r="E365" s="3"/>
      <c r="F365" s="3"/>
      <c r="G365" s="2"/>
      <c r="H365" s="2"/>
      <c r="I365" s="2"/>
      <c r="J365" s="2"/>
      <c r="K365" s="3"/>
      <c r="L365" s="4"/>
      <c r="M365" s="2"/>
      <c r="N365" s="2"/>
      <c r="O365" s="2"/>
      <c r="P365" s="2"/>
      <c r="Q365" s="3"/>
      <c r="R365" s="2"/>
      <c r="S365" s="3"/>
      <c r="T365" s="3"/>
      <c r="U365" s="1"/>
      <c r="V365" s="3"/>
      <c r="W365" s="3"/>
      <c r="X365" s="3"/>
      <c r="Y365" s="3"/>
      <c r="Z365" s="3"/>
    </row>
    <row r="366">
      <c r="A366" s="1"/>
      <c r="B366" s="2"/>
      <c r="C366" s="2"/>
      <c r="D366" s="3"/>
      <c r="E366" s="3"/>
      <c r="F366" s="3"/>
      <c r="G366" s="2"/>
      <c r="H366" s="2"/>
      <c r="I366" s="2"/>
      <c r="J366" s="2"/>
      <c r="K366" s="3"/>
      <c r="L366" s="4"/>
      <c r="M366" s="2"/>
      <c r="N366" s="2"/>
      <c r="O366" s="2"/>
      <c r="P366" s="2"/>
      <c r="Q366" s="3"/>
      <c r="R366" s="2"/>
      <c r="S366" s="3"/>
      <c r="T366" s="3"/>
      <c r="U366" s="1"/>
      <c r="V366" s="3"/>
      <c r="W366" s="3"/>
      <c r="X366" s="3"/>
      <c r="Y366" s="3"/>
      <c r="Z366" s="3"/>
    </row>
    <row r="367">
      <c r="A367" s="30" t="s">
        <v>123</v>
      </c>
      <c r="B367" s="41">
        <f>B363/B361</f>
        <v>0.2829318257</v>
      </c>
      <c r="C367" s="2"/>
      <c r="D367" s="3"/>
      <c r="E367" s="3"/>
      <c r="F367" s="3"/>
      <c r="G367" s="2"/>
      <c r="H367" s="2"/>
      <c r="I367" s="2"/>
      <c r="J367" s="2"/>
      <c r="K367" s="3"/>
      <c r="L367" s="4"/>
      <c r="M367" s="2"/>
      <c r="N367" s="2"/>
      <c r="O367" s="2"/>
      <c r="P367" s="2"/>
      <c r="Q367" s="2"/>
      <c r="R367" s="2"/>
      <c r="S367" s="3"/>
      <c r="T367" s="3"/>
      <c r="U367" s="1"/>
      <c r="V367" s="3"/>
      <c r="W367" s="3"/>
      <c r="X367" s="2"/>
      <c r="Y367" s="2"/>
      <c r="Z367" s="2"/>
    </row>
    <row r="368">
      <c r="A368" s="1"/>
      <c r="B368" s="2"/>
      <c r="C368" s="2"/>
      <c r="D368" s="3"/>
      <c r="E368" s="3"/>
      <c r="F368" s="3"/>
      <c r="G368" s="2"/>
      <c r="H368" s="2"/>
      <c r="I368" s="2"/>
      <c r="J368" s="2"/>
      <c r="K368" s="3"/>
      <c r="L368" s="4"/>
      <c r="M368" s="2"/>
      <c r="N368" s="2"/>
      <c r="O368" s="2"/>
      <c r="P368" s="2"/>
      <c r="Q368" s="3"/>
      <c r="R368" s="9"/>
      <c r="S368" s="3"/>
      <c r="T368" s="3"/>
      <c r="U368" s="1"/>
      <c r="V368" s="3"/>
      <c r="W368" s="3"/>
      <c r="X368" s="3"/>
      <c r="Y368" s="3"/>
      <c r="Z368" s="3"/>
    </row>
    <row r="369" ht="15.75" customHeight="1">
      <c r="A369" s="42" t="s">
        <v>124</v>
      </c>
      <c r="C369" s="4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3"/>
      <c r="R369" s="9"/>
      <c r="S369" s="3"/>
      <c r="T369" s="3"/>
      <c r="U369" s="1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3"/>
      <c r="R370" s="2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3"/>
      <c r="R371" s="2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3"/>
      <c r="R372" s="2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3"/>
      <c r="R373" s="2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3"/>
      <c r="R374" s="2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3"/>
      <c r="R375" s="2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3"/>
      <c r="R376" s="2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3"/>
      <c r="R377" s="2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3"/>
      <c r="R378" s="2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3"/>
      <c r="R379" s="2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3"/>
      <c r="R380" s="2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3"/>
      <c r="R381" s="2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3"/>
      <c r="R382" s="2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3"/>
      <c r="R383" s="2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3"/>
      <c r="R384" s="2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3"/>
      <c r="R385" s="2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3"/>
      <c r="R386" s="2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3"/>
      <c r="R387" s="2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3"/>
      <c r="R388" s="2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3"/>
      <c r="R389" s="2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3"/>
      <c r="R390" s="2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3"/>
      <c r="R392" s="2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3"/>
      <c r="R393" s="2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3"/>
      <c r="R394" s="9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3"/>
      <c r="R395" s="2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3"/>
      <c r="R396" s="2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9"/>
      <c r="T397" s="3"/>
      <c r="U397" s="2"/>
      <c r="V397" s="3"/>
      <c r="W397" s="3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3"/>
      <c r="R398" s="9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3"/>
      <c r="R399" s="9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3"/>
      <c r="R400" s="2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3"/>
      <c r="R401" s="2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3"/>
      <c r="R402" s="2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3"/>
      <c r="R403" s="2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3"/>
      <c r="R404" s="2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3"/>
      <c r="R405" s="2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3"/>
      <c r="R406" s="2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3"/>
      <c r="R407" s="2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3"/>
      <c r="R408" s="2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3"/>
      <c r="R409" s="9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3"/>
      <c r="R410" s="2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3"/>
      <c r="R411" s="2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3"/>
      <c r="R412" s="2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3"/>
      <c r="R413" s="2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9"/>
      <c r="T414" s="3"/>
      <c r="U414" s="2"/>
      <c r="V414" s="3"/>
      <c r="W414" s="3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3"/>
      <c r="R415" s="9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3"/>
      <c r="R416" s="9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3"/>
      <c r="R417" s="2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3"/>
      <c r="R418" s="2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3"/>
      <c r="R419" s="2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3"/>
      <c r="R420" s="9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3"/>
      <c r="R421" s="2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3"/>
      <c r="R422" s="2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3"/>
      <c r="R424" s="2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9"/>
      <c r="T425" s="3"/>
      <c r="U425" s="2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3"/>
      <c r="R426" s="2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3"/>
      <c r="R427" s="9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3"/>
      <c r="R428" s="2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3"/>
      <c r="R429" s="2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3"/>
      <c r="R431" s="2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3"/>
      <c r="R432" s="2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3"/>
      <c r="R433" s="2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3"/>
      <c r="R434" s="2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3"/>
      <c r="R435" s="2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3"/>
      <c r="R436" s="2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3"/>
      <c r="R437" s="2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3"/>
      <c r="R438" s="9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3"/>
      <c r="R439" s="2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3"/>
      <c r="T441" s="3"/>
      <c r="U441" s="9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3"/>
      <c r="R442" s="2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3"/>
      <c r="R443" s="9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3"/>
      <c r="R444" s="2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3"/>
      <c r="R446" s="2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3"/>
      <c r="R447" s="2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3"/>
      <c r="R448" s="2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3"/>
      <c r="R449" s="2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3"/>
      <c r="R450" s="2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3"/>
      <c r="R451" s="2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3"/>
      <c r="R452" s="9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3"/>
      <c r="R453" s="2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3"/>
      <c r="R454" s="2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3"/>
      <c r="T455" s="9"/>
      <c r="U455" s="2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3"/>
      <c r="R456" s="2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3"/>
      <c r="R457" s="9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3"/>
      <c r="R458" s="2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3"/>
      <c r="R459" s="2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3"/>
      <c r="R460" s="2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3"/>
      <c r="R461" s="2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3"/>
      <c r="R462" s="2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3"/>
      <c r="R463" s="2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3"/>
      <c r="R464" s="9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3"/>
      <c r="R465" s="9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3"/>
      <c r="R466" s="9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3"/>
      <c r="T467" s="9"/>
      <c r="U467" s="2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3"/>
      <c r="R468" s="2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3"/>
      <c r="R469" s="9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3"/>
      <c r="R470" s="2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3"/>
      <c r="R471" s="2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3"/>
      <c r="R472" s="2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3"/>
      <c r="R473" s="2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3"/>
      <c r="R474" s="2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3"/>
      <c r="R475" s="9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3"/>
      <c r="R476" s="2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3"/>
      <c r="R477" s="2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3"/>
      <c r="R478" s="2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3"/>
      <c r="R480" s="2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3"/>
      <c r="R482" s="2"/>
      <c r="S482" s="2"/>
      <c r="T482" s="3"/>
      <c r="U482" s="2"/>
      <c r="V482" s="2"/>
      <c r="W482" s="2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3"/>
      <c r="T483" s="3"/>
      <c r="U483" s="3"/>
      <c r="V483" s="2"/>
      <c r="W483" s="2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44"/>
      <c r="R485" s="44"/>
      <c r="S485" s="44"/>
      <c r="T485" s="44"/>
      <c r="U485" s="44"/>
      <c r="V485" s="44"/>
      <c r="W485" s="44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3"/>
      <c r="T486" s="3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"/>
      <c r="R487" s="2"/>
      <c r="S487" s="3"/>
      <c r="T487" s="3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4"/>
      <c r="R489" s="75"/>
      <c r="S489" s="76"/>
      <c r="T489" s="76"/>
      <c r="U489" s="76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7"/>
      <c r="R490" s="77"/>
      <c r="S490" s="77"/>
      <c r="T490" s="77"/>
      <c r="U490" s="77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52"/>
      <c r="R491" s="52"/>
      <c r="S491" s="52"/>
      <c r="T491" s="5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52"/>
      <c r="R493" s="52"/>
      <c r="S493" s="52"/>
      <c r="T493" s="52"/>
      <c r="U493" s="5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52"/>
      <c r="R494" s="52"/>
      <c r="S494" s="52"/>
      <c r="T494" s="5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52"/>
      <c r="R495" s="52"/>
      <c r="S495" s="52"/>
      <c r="T495" s="5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52"/>
      <c r="R496" s="52"/>
      <c r="S496" s="52"/>
      <c r="T496" s="5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52"/>
      <c r="R497" s="52"/>
      <c r="S497" s="52"/>
      <c r="T497" s="5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8"/>
      <c r="R498" s="78"/>
      <c r="S498" s="78"/>
      <c r="T498" s="78"/>
      <c r="U498" s="79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"/>
      <c r="R499" s="2"/>
      <c r="S499" s="3"/>
      <c r="T499" s="3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62"/>
      <c r="R501" s="62"/>
      <c r="S501" s="62"/>
      <c r="T501" s="6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62"/>
      <c r="R502" s="62"/>
      <c r="S502" s="62"/>
      <c r="T502" s="6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62"/>
      <c r="R503" s="62"/>
      <c r="S503" s="62"/>
      <c r="T503" s="6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62"/>
      <c r="R504" s="62"/>
      <c r="S504" s="62"/>
      <c r="T504" s="6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62"/>
      <c r="R505" s="62"/>
      <c r="S505" s="62"/>
      <c r="T505" s="62"/>
      <c r="U505" s="2"/>
      <c r="V505" s="2"/>
      <c r="W505" s="6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62"/>
      <c r="R506" s="62"/>
      <c r="S506" s="62"/>
      <c r="T506" s="6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62"/>
      <c r="R507" s="62"/>
      <c r="S507" s="62"/>
      <c r="T507" s="62"/>
      <c r="U507" s="2"/>
      <c r="V507" s="2"/>
      <c r="W507" s="6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62"/>
      <c r="R508" s="62"/>
      <c r="S508" s="62"/>
      <c r="T508" s="62"/>
      <c r="U508" s="2"/>
      <c r="V508" s="2"/>
      <c r="W508" s="6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52"/>
      <c r="R509" s="52"/>
      <c r="S509" s="52"/>
      <c r="T509" s="5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52"/>
      <c r="R510" s="52"/>
      <c r="S510" s="52"/>
      <c r="T510" s="52"/>
      <c r="U510" s="2"/>
      <c r="V510" s="2"/>
      <c r="W510" s="6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52"/>
      <c r="R511" s="52"/>
      <c r="S511" s="52"/>
      <c r="T511" s="5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52"/>
      <c r="R512" s="52"/>
      <c r="S512" s="52"/>
      <c r="T512" s="5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52"/>
      <c r="R513" s="52"/>
      <c r="S513" s="52"/>
      <c r="T513" s="5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52"/>
      <c r="R514" s="52"/>
      <c r="S514" s="52"/>
      <c r="T514" s="5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52"/>
      <c r="R515" s="52"/>
      <c r="S515" s="52"/>
      <c r="T515" s="5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52"/>
      <c r="R516" s="52"/>
      <c r="S516" s="52"/>
      <c r="T516" s="5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52"/>
      <c r="R517" s="52"/>
      <c r="S517" s="52"/>
      <c r="T517" s="5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"/>
      <c r="R518" s="52"/>
      <c r="S518" s="52"/>
      <c r="T518" s="5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8"/>
      <c r="R520" s="78"/>
      <c r="S520" s="78"/>
      <c r="T520" s="78"/>
      <c r="U520" s="79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7"/>
      <c r="R522" s="78"/>
      <c r="S522" s="78"/>
      <c r="T522" s="80"/>
      <c r="U522" s="80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52"/>
      <c r="R524" s="52"/>
      <c r="S524" s="52"/>
      <c r="T524" s="52"/>
      <c r="U524" s="5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5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</sheetData>
  <mergeCells count="18">
    <mergeCell ref="I93:K93"/>
    <mergeCell ref="I94:K94"/>
    <mergeCell ref="A2:C2"/>
    <mergeCell ref="I2:K2"/>
    <mergeCell ref="A36:C36"/>
    <mergeCell ref="I36:K36"/>
    <mergeCell ref="A66:C66"/>
    <mergeCell ref="I66:K66"/>
    <mergeCell ref="A94:C94"/>
    <mergeCell ref="A273:C273"/>
    <mergeCell ref="A369:B369"/>
    <mergeCell ref="A131:C131"/>
    <mergeCell ref="I131:K131"/>
    <mergeCell ref="A159:C159"/>
    <mergeCell ref="I159:K159"/>
    <mergeCell ref="A190:C190"/>
    <mergeCell ref="I190:K190"/>
    <mergeCell ref="I273:K273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88" t="s">
        <v>92</v>
      </c>
      <c r="E2" s="86" t="s">
        <v>223</v>
      </c>
      <c r="F2" s="82">
        <v>46070.0</v>
      </c>
      <c r="G2" s="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102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1.0</v>
      </c>
      <c r="B5" s="84" t="s">
        <v>18</v>
      </c>
      <c r="C5" s="85" t="s">
        <v>241</v>
      </c>
      <c r="D5" s="22">
        <v>18000.0</v>
      </c>
      <c r="E5" s="15">
        <f t="shared" ref="E5:E11" si="1">A5*D5</f>
        <v>18000</v>
      </c>
      <c r="F5" s="15">
        <f t="shared" ref="F5:F11" si="2">E5*1.105</f>
        <v>19890</v>
      </c>
      <c r="G5" s="101"/>
      <c r="H5" s="101"/>
      <c r="I5" s="22">
        <v>15000.0</v>
      </c>
      <c r="J5" s="15">
        <f t="shared" ref="J5:J11" si="3">I5*A5</f>
        <v>15000</v>
      </c>
      <c r="K5" s="15">
        <f t="shared" ref="K5:K11" si="4">F5-J5</f>
        <v>4890</v>
      </c>
      <c r="L5" s="36">
        <f t="shared" ref="L5:L11" si="5">IFERROR(K5/E5, 0)</f>
        <v>0.2716666667</v>
      </c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1.0</v>
      </c>
      <c r="B6" s="84" t="s">
        <v>18</v>
      </c>
      <c r="C6" s="85" t="s">
        <v>263</v>
      </c>
      <c r="D6" s="22">
        <v>13000.0</v>
      </c>
      <c r="E6" s="15">
        <f t="shared" si="1"/>
        <v>13000</v>
      </c>
      <c r="F6" s="15">
        <f t="shared" si="2"/>
        <v>14365</v>
      </c>
      <c r="G6" s="101"/>
      <c r="H6" s="101"/>
      <c r="I6" s="87">
        <v>9000.0</v>
      </c>
      <c r="J6" s="15">
        <f t="shared" si="3"/>
        <v>9000</v>
      </c>
      <c r="K6" s="15">
        <f t="shared" si="4"/>
        <v>5365</v>
      </c>
      <c r="L6" s="36">
        <f t="shared" si="5"/>
        <v>0.4126923077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2.0</v>
      </c>
      <c r="B7" s="84" t="s">
        <v>18</v>
      </c>
      <c r="C7" s="85" t="s">
        <v>19</v>
      </c>
      <c r="D7" s="22">
        <v>32000.0</v>
      </c>
      <c r="E7" s="15">
        <f t="shared" si="1"/>
        <v>64000</v>
      </c>
      <c r="F7" s="15">
        <f t="shared" si="2"/>
        <v>70720</v>
      </c>
      <c r="G7" s="101"/>
      <c r="H7" s="101"/>
      <c r="I7" s="22">
        <v>28000.0</v>
      </c>
      <c r="J7" s="15">
        <f t="shared" si="3"/>
        <v>56000</v>
      </c>
      <c r="K7" s="15">
        <f t="shared" si="4"/>
        <v>14720</v>
      </c>
      <c r="L7" s="36">
        <f t="shared" si="5"/>
        <v>0.23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3.0</v>
      </c>
      <c r="B8" s="84" t="s">
        <v>18</v>
      </c>
      <c r="C8" s="85" t="s">
        <v>77</v>
      </c>
      <c r="D8" s="22">
        <v>16000.0</v>
      </c>
      <c r="E8" s="15">
        <f t="shared" si="1"/>
        <v>48000</v>
      </c>
      <c r="F8" s="15">
        <f t="shared" si="2"/>
        <v>53040</v>
      </c>
      <c r="G8" s="101"/>
      <c r="H8" s="101"/>
      <c r="I8" s="22">
        <v>12000.0</v>
      </c>
      <c r="J8" s="15">
        <f t="shared" si="3"/>
        <v>36000</v>
      </c>
      <c r="K8" s="15">
        <f t="shared" si="4"/>
        <v>17040</v>
      </c>
      <c r="L8" s="36">
        <f t="shared" si="5"/>
        <v>0.355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8.0</v>
      </c>
      <c r="B9" s="84" t="s">
        <v>38</v>
      </c>
      <c r="C9" s="85" t="s">
        <v>46</v>
      </c>
      <c r="D9" s="22">
        <v>16000.0</v>
      </c>
      <c r="E9" s="15">
        <f t="shared" si="1"/>
        <v>128000</v>
      </c>
      <c r="F9" s="15">
        <f t="shared" si="2"/>
        <v>141440</v>
      </c>
      <c r="G9" s="101"/>
      <c r="H9" s="101"/>
      <c r="I9" s="22">
        <v>13000.0</v>
      </c>
      <c r="J9" s="15">
        <f t="shared" si="3"/>
        <v>104000</v>
      </c>
      <c r="K9" s="15">
        <f t="shared" si="4"/>
        <v>37440</v>
      </c>
      <c r="L9" s="36">
        <f t="shared" si="5"/>
        <v>0.2925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38</v>
      </c>
      <c r="C10" s="85" t="s">
        <v>45</v>
      </c>
      <c r="D10" s="22">
        <v>12000.0</v>
      </c>
      <c r="E10" s="15">
        <f t="shared" si="1"/>
        <v>12000</v>
      </c>
      <c r="F10" s="15">
        <f t="shared" si="2"/>
        <v>13260</v>
      </c>
      <c r="G10" s="101"/>
      <c r="H10" s="101"/>
      <c r="I10" s="22">
        <v>8000.0</v>
      </c>
      <c r="J10" s="15">
        <f t="shared" si="3"/>
        <v>8000</v>
      </c>
      <c r="K10" s="15">
        <f t="shared" si="4"/>
        <v>5260</v>
      </c>
      <c r="L10" s="36">
        <f t="shared" si="5"/>
        <v>0.4383333333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1.0</v>
      </c>
      <c r="B11" s="84" t="s">
        <v>38</v>
      </c>
      <c r="C11" s="85" t="s">
        <v>67</v>
      </c>
      <c r="D11" s="22">
        <v>12000.0</v>
      </c>
      <c r="E11" s="15">
        <f t="shared" si="1"/>
        <v>12000</v>
      </c>
      <c r="F11" s="15">
        <f t="shared" si="2"/>
        <v>13260</v>
      </c>
      <c r="G11" s="101"/>
      <c r="H11" s="101"/>
      <c r="I11" s="22">
        <v>8000.0</v>
      </c>
      <c r="J11" s="15">
        <f t="shared" si="3"/>
        <v>8000</v>
      </c>
      <c r="K11" s="15">
        <f t="shared" si="4"/>
        <v>5260</v>
      </c>
      <c r="L11" s="36">
        <f t="shared" si="5"/>
        <v>0.4383333333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03"/>
      <c r="B12" s="101"/>
      <c r="C12" s="104"/>
      <c r="D12" s="101"/>
      <c r="E12" s="101"/>
      <c r="F12" s="101"/>
      <c r="G12" s="101"/>
      <c r="H12" s="101"/>
      <c r="I12" s="101"/>
      <c r="J12" s="101"/>
      <c r="K12" s="101"/>
      <c r="L12" s="36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03"/>
      <c r="B13" s="101"/>
      <c r="C13" s="104"/>
      <c r="D13" s="101"/>
      <c r="E13" s="15">
        <f t="shared" ref="E13:F13" si="6">SUM(E5:E11)</f>
        <v>295000</v>
      </c>
      <c r="F13" s="15">
        <f t="shared" si="6"/>
        <v>325975</v>
      </c>
      <c r="G13" s="101"/>
      <c r="H13" s="101"/>
      <c r="I13" s="101"/>
      <c r="J13" s="101"/>
      <c r="K13" s="15">
        <f>SUM(K5:K11)</f>
        <v>89975</v>
      </c>
      <c r="L13" s="110">
        <f>IFERROR(K13/E13, 0)</f>
        <v>0.305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03"/>
      <c r="B14" s="101"/>
      <c r="C14" s="104"/>
      <c r="D14" s="101"/>
      <c r="E14" s="15"/>
      <c r="F14" s="15"/>
      <c r="G14" s="101"/>
      <c r="H14" s="101"/>
      <c r="I14" s="101"/>
      <c r="J14" s="101"/>
      <c r="K14" s="15"/>
      <c r="L14" s="105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26" t="s">
        <v>60</v>
      </c>
      <c r="B15" s="27">
        <v>0.04</v>
      </c>
      <c r="C15" s="2"/>
      <c r="D15" s="3"/>
      <c r="E15" s="15">
        <f>E13*0.04</f>
        <v>11800</v>
      </c>
      <c r="F15" s="3"/>
      <c r="G15" s="107"/>
      <c r="H15" s="2"/>
      <c r="I15" s="2"/>
      <c r="J15" s="2"/>
      <c r="K15" s="3"/>
      <c r="L15" s="4"/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9"/>
      <c r="B17" s="24"/>
      <c r="C17" s="24"/>
      <c r="D17" s="81"/>
      <c r="E17" s="82"/>
      <c r="F17" s="33"/>
      <c r="G17" s="25"/>
      <c r="H17" s="25"/>
      <c r="I17" s="16"/>
      <c r="J17" s="16"/>
      <c r="K17" s="16"/>
      <c r="L17" s="34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9" t="s">
        <v>206</v>
      </c>
      <c r="B18" s="24"/>
      <c r="C18" s="24"/>
      <c r="D18" s="81" t="s">
        <v>101</v>
      </c>
      <c r="E18" s="82">
        <v>46070.0</v>
      </c>
      <c r="F18" s="33" t="s">
        <v>13</v>
      </c>
      <c r="G18" s="25"/>
      <c r="H18" s="25"/>
      <c r="I18" s="16"/>
      <c r="J18" s="16"/>
      <c r="K18" s="16"/>
      <c r="L18" s="34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B19" s="25"/>
      <c r="C19" s="35"/>
      <c r="D19" s="25"/>
      <c r="E19" s="25"/>
      <c r="F19" s="25"/>
      <c r="G19" s="25"/>
      <c r="H19" s="25"/>
      <c r="I19" s="16"/>
      <c r="J19" s="16"/>
      <c r="K19" s="16"/>
      <c r="L19" s="34"/>
      <c r="M19" s="2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5" t="s">
        <v>4</v>
      </c>
      <c r="B20" s="10" t="s">
        <v>5</v>
      </c>
      <c r="C20" s="11" t="s">
        <v>6</v>
      </c>
      <c r="D20" s="12" t="s">
        <v>7</v>
      </c>
      <c r="E20" s="10" t="s">
        <v>8</v>
      </c>
      <c r="F20" s="12"/>
      <c r="G20" s="25"/>
      <c r="H20" s="25"/>
      <c r="I20" s="12" t="s">
        <v>7</v>
      </c>
      <c r="J20" s="12" t="s">
        <v>8</v>
      </c>
      <c r="K20" s="12" t="s">
        <v>10</v>
      </c>
      <c r="L20" s="34"/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1.0</v>
      </c>
      <c r="B21" s="84" t="s">
        <v>38</v>
      </c>
      <c r="C21" s="85" t="s">
        <v>45</v>
      </c>
      <c r="D21" s="22">
        <v>13000.0</v>
      </c>
      <c r="E21" s="15">
        <f t="shared" ref="E21:E30" si="7">A21*D21</f>
        <v>13000</v>
      </c>
      <c r="F21" s="16"/>
      <c r="G21" s="25"/>
      <c r="H21" s="37"/>
      <c r="I21" s="87">
        <v>8000.0</v>
      </c>
      <c r="J21" s="16">
        <f t="shared" ref="J21:J30" si="8">I21*A21</f>
        <v>8000</v>
      </c>
      <c r="K21" s="16">
        <f t="shared" ref="K21:K30" si="9">E21-J21</f>
        <v>5000</v>
      </c>
      <c r="L21" s="36">
        <f t="shared" ref="L21:L30" si="10">K21/E21</f>
        <v>0.3846153846</v>
      </c>
      <c r="M21" s="2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1.0</v>
      </c>
      <c r="B22" s="84" t="s">
        <v>38</v>
      </c>
      <c r="C22" s="85" t="s">
        <v>117</v>
      </c>
      <c r="D22" s="22">
        <v>26000.0</v>
      </c>
      <c r="E22" s="15">
        <f t="shared" si="7"/>
        <v>26000</v>
      </c>
      <c r="F22" s="16"/>
      <c r="G22" s="25"/>
      <c r="H22" s="37"/>
      <c r="I22" s="22">
        <f>105000/5</f>
        <v>21000</v>
      </c>
      <c r="J22" s="16">
        <f t="shared" si="8"/>
        <v>21000</v>
      </c>
      <c r="K22" s="16">
        <f t="shared" si="9"/>
        <v>5000</v>
      </c>
      <c r="L22" s="111">
        <f t="shared" si="10"/>
        <v>0.1923076923</v>
      </c>
      <c r="M22" s="2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2.0</v>
      </c>
      <c r="B23" s="84" t="s">
        <v>38</v>
      </c>
      <c r="C23" s="85" t="s">
        <v>179</v>
      </c>
      <c r="D23" s="22">
        <v>22000.0</v>
      </c>
      <c r="E23" s="15">
        <f t="shared" si="7"/>
        <v>44000</v>
      </c>
      <c r="F23" s="16"/>
      <c r="G23" s="25"/>
      <c r="H23" s="37"/>
      <c r="I23" s="22">
        <f>148000/8</f>
        <v>18500</v>
      </c>
      <c r="J23" s="16">
        <f t="shared" si="8"/>
        <v>37000</v>
      </c>
      <c r="K23" s="16">
        <f t="shared" si="9"/>
        <v>7000</v>
      </c>
      <c r="L23" s="111">
        <f t="shared" si="10"/>
        <v>0.1590909091</v>
      </c>
      <c r="M23" s="2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2.0</v>
      </c>
      <c r="B24" s="84" t="s">
        <v>33</v>
      </c>
      <c r="C24" s="85" t="s">
        <v>177</v>
      </c>
      <c r="D24" s="22">
        <v>1400.0</v>
      </c>
      <c r="E24" s="15">
        <f t="shared" si="7"/>
        <v>2800</v>
      </c>
      <c r="F24" s="16"/>
      <c r="G24" s="25"/>
      <c r="H24" s="37"/>
      <c r="I24" s="22">
        <v>1000.0</v>
      </c>
      <c r="J24" s="16">
        <f t="shared" si="8"/>
        <v>2000</v>
      </c>
      <c r="K24" s="16">
        <f t="shared" si="9"/>
        <v>800</v>
      </c>
      <c r="L24" s="36">
        <f t="shared" si="10"/>
        <v>0.2857142857</v>
      </c>
      <c r="M24" s="2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83">
        <v>1.0</v>
      </c>
      <c r="B25" s="84" t="s">
        <v>208</v>
      </c>
      <c r="C25" s="85" t="s">
        <v>20</v>
      </c>
      <c r="D25" s="22">
        <v>14000.0</v>
      </c>
      <c r="E25" s="15">
        <f t="shared" si="7"/>
        <v>14000</v>
      </c>
      <c r="F25" s="16"/>
      <c r="G25" s="25"/>
      <c r="H25" s="37"/>
      <c r="I25" s="87">
        <f>8000</f>
        <v>8000</v>
      </c>
      <c r="J25" s="16">
        <f t="shared" si="8"/>
        <v>8000</v>
      </c>
      <c r="K25" s="16">
        <f t="shared" si="9"/>
        <v>6000</v>
      </c>
      <c r="L25" s="36">
        <f t="shared" si="10"/>
        <v>0.4285714286</v>
      </c>
      <c r="M25" s="2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>
        <v>2.0</v>
      </c>
      <c r="B26" s="84" t="s">
        <v>18</v>
      </c>
      <c r="C26" s="85" t="s">
        <v>326</v>
      </c>
      <c r="D26" s="22">
        <v>18000.0</v>
      </c>
      <c r="E26" s="15">
        <f t="shared" si="7"/>
        <v>36000</v>
      </c>
      <c r="F26" s="16"/>
      <c r="G26" s="25"/>
      <c r="H26" s="37"/>
      <c r="I26" s="87">
        <v>15000.0</v>
      </c>
      <c r="J26" s="16">
        <f t="shared" si="8"/>
        <v>30000</v>
      </c>
      <c r="K26" s="16">
        <f t="shared" si="9"/>
        <v>6000</v>
      </c>
      <c r="L26" s="111">
        <f t="shared" si="10"/>
        <v>0.1666666667</v>
      </c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3">
        <v>2.0</v>
      </c>
      <c r="B27" s="84" t="s">
        <v>29</v>
      </c>
      <c r="C27" s="85" t="s">
        <v>72</v>
      </c>
      <c r="D27" s="22">
        <v>32000.0</v>
      </c>
      <c r="E27" s="15">
        <f t="shared" si="7"/>
        <v>64000</v>
      </c>
      <c r="F27" s="16"/>
      <c r="G27" s="25"/>
      <c r="H27" s="37"/>
      <c r="I27" s="87">
        <v>28000.0</v>
      </c>
      <c r="J27" s="16">
        <f t="shared" si="8"/>
        <v>56000</v>
      </c>
      <c r="K27" s="16">
        <f t="shared" si="9"/>
        <v>8000</v>
      </c>
      <c r="L27" s="111">
        <f t="shared" si="10"/>
        <v>0.125</v>
      </c>
      <c r="M27" s="2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83">
        <v>1.0</v>
      </c>
      <c r="B28" s="84" t="s">
        <v>33</v>
      </c>
      <c r="C28" s="85" t="s">
        <v>249</v>
      </c>
      <c r="D28" s="22">
        <v>12000.0</v>
      </c>
      <c r="E28" s="15">
        <f t="shared" si="7"/>
        <v>12000</v>
      </c>
      <c r="F28" s="16"/>
      <c r="G28" s="25"/>
      <c r="H28" s="37"/>
      <c r="I28" s="87">
        <v>9000.0</v>
      </c>
      <c r="J28" s="16">
        <f t="shared" si="8"/>
        <v>9000</v>
      </c>
      <c r="K28" s="16">
        <f t="shared" si="9"/>
        <v>3000</v>
      </c>
      <c r="L28" s="36">
        <f t="shared" si="10"/>
        <v>0.25</v>
      </c>
      <c r="M28" s="2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83">
        <v>3.0</v>
      </c>
      <c r="B29" s="84" t="s">
        <v>50</v>
      </c>
      <c r="C29" s="85" t="s">
        <v>236</v>
      </c>
      <c r="D29" s="22">
        <v>5000.0</v>
      </c>
      <c r="E29" s="15">
        <f t="shared" si="7"/>
        <v>15000</v>
      </c>
      <c r="F29" s="16"/>
      <c r="G29" s="25"/>
      <c r="H29" s="37"/>
      <c r="I29" s="87">
        <v>3400.0</v>
      </c>
      <c r="J29" s="16">
        <f t="shared" si="8"/>
        <v>10200</v>
      </c>
      <c r="K29" s="16">
        <f t="shared" si="9"/>
        <v>4800</v>
      </c>
      <c r="L29" s="36">
        <f t="shared" si="10"/>
        <v>0.32</v>
      </c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83">
        <v>3.0</v>
      </c>
      <c r="B30" s="84" t="s">
        <v>33</v>
      </c>
      <c r="C30" s="85" t="s">
        <v>86</v>
      </c>
      <c r="D30" s="22">
        <v>4000.0</v>
      </c>
      <c r="E30" s="15">
        <f t="shared" si="7"/>
        <v>12000</v>
      </c>
      <c r="F30" s="16"/>
      <c r="G30" s="25"/>
      <c r="H30" s="37"/>
      <c r="I30" s="87">
        <v>3000.0</v>
      </c>
      <c r="J30" s="16">
        <f t="shared" si="8"/>
        <v>9000</v>
      </c>
      <c r="K30" s="16">
        <f t="shared" si="9"/>
        <v>3000</v>
      </c>
      <c r="L30" s="36">
        <f t="shared" si="10"/>
        <v>0.25</v>
      </c>
      <c r="M30" s="2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3"/>
      <c r="B31" s="12"/>
      <c r="C31" s="14"/>
      <c r="D31" s="15"/>
      <c r="E31" s="16"/>
      <c r="F31" s="16"/>
      <c r="H31" s="25"/>
      <c r="I31" s="16"/>
      <c r="J31" s="16"/>
      <c r="K31" s="16"/>
      <c r="L31" s="36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3"/>
      <c r="B32" s="12"/>
      <c r="C32" s="14"/>
      <c r="D32" s="15"/>
      <c r="E32" s="16">
        <f>SUM(E21:E31)</f>
        <v>238800</v>
      </c>
      <c r="F32" s="16"/>
      <c r="G32" s="25"/>
      <c r="H32" s="25"/>
      <c r="I32" s="16"/>
      <c r="J32" s="16"/>
      <c r="K32" s="16">
        <f>SUM(K21:K30)</f>
        <v>48600</v>
      </c>
      <c r="L32" s="110">
        <f>K32/E32</f>
        <v>0.2035175879</v>
      </c>
      <c r="M32" s="2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/>
      <c r="R33" s="2"/>
      <c r="S33" s="3"/>
      <c r="T33" s="3"/>
      <c r="U33" s="1"/>
      <c r="V33" s="3"/>
      <c r="W33" s="3"/>
      <c r="X33" s="3"/>
      <c r="Y33" s="3"/>
      <c r="Z33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9"/>
      <c r="B36" s="24"/>
      <c r="C36" s="24"/>
      <c r="D36" s="81"/>
      <c r="E36" s="82"/>
      <c r="F36" s="33"/>
      <c r="G36" s="25"/>
      <c r="H36" s="25"/>
      <c r="I36" s="16"/>
      <c r="J36" s="16"/>
      <c r="K36" s="16"/>
      <c r="L36" s="34"/>
      <c r="M36" s="2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9" t="s">
        <v>319</v>
      </c>
      <c r="B37" s="24"/>
      <c r="C37" s="24"/>
      <c r="D37" s="81" t="s">
        <v>327</v>
      </c>
      <c r="E37" s="82">
        <v>46070.0</v>
      </c>
      <c r="F37" s="33" t="s">
        <v>13</v>
      </c>
      <c r="G37" s="25"/>
      <c r="H37" s="25"/>
      <c r="I37" s="16"/>
      <c r="J37" s="16"/>
      <c r="K37" s="16"/>
      <c r="L37" s="34"/>
      <c r="M37" s="2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B38" s="25"/>
      <c r="C38" s="35"/>
      <c r="D38" s="25"/>
      <c r="E38" s="25"/>
      <c r="F38" s="25"/>
      <c r="G38" s="25"/>
      <c r="H38" s="25"/>
      <c r="I38" s="16"/>
      <c r="J38" s="16"/>
      <c r="K38" s="16"/>
      <c r="L38" s="34"/>
      <c r="M38" s="2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5" t="s">
        <v>4</v>
      </c>
      <c r="B39" s="10" t="s">
        <v>5</v>
      </c>
      <c r="C39" s="11" t="s">
        <v>6</v>
      </c>
      <c r="D39" s="12" t="s">
        <v>7</v>
      </c>
      <c r="E39" s="10" t="s">
        <v>8</v>
      </c>
      <c r="F39" s="12"/>
      <c r="G39" s="25"/>
      <c r="H39" s="25"/>
      <c r="I39" s="12"/>
      <c r="J39" s="12" t="s">
        <v>8</v>
      </c>
      <c r="K39" s="12" t="s">
        <v>10</v>
      </c>
      <c r="L39" s="3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1.6</v>
      </c>
      <c r="B40" s="84" t="s">
        <v>33</v>
      </c>
      <c r="C40" s="85" t="s">
        <v>98</v>
      </c>
      <c r="D40" s="22">
        <v>1800.0</v>
      </c>
      <c r="E40" s="15">
        <f t="shared" ref="E40:E52" si="11">A40*D40</f>
        <v>2880</v>
      </c>
      <c r="F40" s="16"/>
      <c r="G40" s="25"/>
      <c r="H40" s="37"/>
      <c r="I40" s="22">
        <v>1000.0</v>
      </c>
      <c r="J40" s="16">
        <f t="shared" ref="J40:J52" si="12">I40*A40</f>
        <v>1600</v>
      </c>
      <c r="K40" s="16">
        <f t="shared" ref="K40:K52" si="13">E40-J40</f>
        <v>1280</v>
      </c>
      <c r="L40" s="36"/>
      <c r="M40" s="2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>
        <v>4.0</v>
      </c>
      <c r="B41" s="84" t="s">
        <v>50</v>
      </c>
      <c r="C41" s="85" t="s">
        <v>16</v>
      </c>
      <c r="D41" s="22">
        <v>1000.0</v>
      </c>
      <c r="E41" s="15">
        <f t="shared" si="11"/>
        <v>4000</v>
      </c>
      <c r="F41" s="16"/>
      <c r="G41" s="25"/>
      <c r="H41" s="37"/>
      <c r="I41" s="87">
        <v>600.0</v>
      </c>
      <c r="J41" s="16">
        <f t="shared" si="12"/>
        <v>2400</v>
      </c>
      <c r="K41" s="16">
        <f t="shared" si="13"/>
        <v>1600</v>
      </c>
      <c r="L41" s="36">
        <f t="shared" ref="L41:L52" si="14">K41/E41</f>
        <v>0.4</v>
      </c>
      <c r="M41" s="2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12.0</v>
      </c>
      <c r="B42" s="84" t="s">
        <v>5</v>
      </c>
      <c r="C42" s="85" t="s">
        <v>176</v>
      </c>
      <c r="D42" s="22">
        <v>900.0</v>
      </c>
      <c r="E42" s="15">
        <f t="shared" si="11"/>
        <v>10800</v>
      </c>
      <c r="F42" s="16"/>
      <c r="G42" s="25"/>
      <c r="H42" s="37"/>
      <c r="I42" s="87">
        <v>560.0</v>
      </c>
      <c r="J42" s="16">
        <f t="shared" si="12"/>
        <v>6720</v>
      </c>
      <c r="K42" s="16">
        <f t="shared" si="13"/>
        <v>4080</v>
      </c>
      <c r="L42" s="36">
        <f t="shared" si="14"/>
        <v>0.3777777778</v>
      </c>
      <c r="M42" s="2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0.5</v>
      </c>
      <c r="B43" s="84" t="s">
        <v>33</v>
      </c>
      <c r="C43" s="85" t="s">
        <v>236</v>
      </c>
      <c r="D43" s="22">
        <v>5000.0</v>
      </c>
      <c r="E43" s="15">
        <f t="shared" si="11"/>
        <v>2500</v>
      </c>
      <c r="F43" s="16"/>
      <c r="G43" s="25"/>
      <c r="H43" s="37"/>
      <c r="I43" s="87">
        <v>3400.0</v>
      </c>
      <c r="J43" s="16">
        <f t="shared" si="12"/>
        <v>1700</v>
      </c>
      <c r="K43" s="16">
        <f t="shared" si="13"/>
        <v>800</v>
      </c>
      <c r="L43" s="36">
        <f t="shared" si="14"/>
        <v>0.32</v>
      </c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9.0</v>
      </c>
      <c r="B44" s="84" t="s">
        <v>292</v>
      </c>
      <c r="C44" s="85" t="s">
        <v>85</v>
      </c>
      <c r="D44" s="22">
        <v>2500.0</v>
      </c>
      <c r="E44" s="15">
        <f t="shared" si="11"/>
        <v>22500</v>
      </c>
      <c r="F44" s="16"/>
      <c r="G44" s="25"/>
      <c r="H44" s="37"/>
      <c r="I44" s="87">
        <v>2000.0</v>
      </c>
      <c r="J44" s="16">
        <f t="shared" si="12"/>
        <v>18000</v>
      </c>
      <c r="K44" s="16">
        <f t="shared" si="13"/>
        <v>4500</v>
      </c>
      <c r="L44" s="36">
        <f t="shared" si="14"/>
        <v>0.2</v>
      </c>
      <c r="M44" s="2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3.0</v>
      </c>
      <c r="B45" s="84" t="s">
        <v>33</v>
      </c>
      <c r="C45" s="85" t="s">
        <v>24</v>
      </c>
      <c r="D45" s="22">
        <v>4500.0</v>
      </c>
      <c r="E45" s="15">
        <f t="shared" si="11"/>
        <v>13500</v>
      </c>
      <c r="F45" s="16"/>
      <c r="G45" s="25"/>
      <c r="H45" s="37"/>
      <c r="I45" s="87">
        <f>26000/7</f>
        <v>3714.285714</v>
      </c>
      <c r="J45" s="16">
        <f t="shared" si="12"/>
        <v>11142.85714</v>
      </c>
      <c r="K45" s="16">
        <f t="shared" si="13"/>
        <v>2357.142857</v>
      </c>
      <c r="L45" s="111">
        <f t="shared" si="14"/>
        <v>0.1746031746</v>
      </c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1.0</v>
      </c>
      <c r="B46" s="84" t="s">
        <v>33</v>
      </c>
      <c r="C46" s="85" t="s">
        <v>201</v>
      </c>
      <c r="D46" s="22">
        <v>4000.0</v>
      </c>
      <c r="E46" s="15">
        <f t="shared" si="11"/>
        <v>4000</v>
      </c>
      <c r="F46" s="16"/>
      <c r="G46" s="25"/>
      <c r="H46" s="98" t="s">
        <v>328</v>
      </c>
      <c r="I46" s="22"/>
      <c r="J46" s="16">
        <f t="shared" si="12"/>
        <v>0</v>
      </c>
      <c r="K46" s="16">
        <f t="shared" si="13"/>
        <v>4000</v>
      </c>
      <c r="L46" s="36">
        <f t="shared" si="14"/>
        <v>1</v>
      </c>
      <c r="M46" s="2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5.0</v>
      </c>
      <c r="B47" s="84" t="s">
        <v>50</v>
      </c>
      <c r="C47" s="85" t="s">
        <v>65</v>
      </c>
      <c r="D47" s="22">
        <v>400.0</v>
      </c>
      <c r="E47" s="15">
        <f t="shared" si="11"/>
        <v>2000</v>
      </c>
      <c r="F47" s="16"/>
      <c r="G47" s="25"/>
      <c r="H47" s="37"/>
      <c r="I47" s="87">
        <f>4000/24</f>
        <v>166.6666667</v>
      </c>
      <c r="J47" s="16">
        <f t="shared" si="12"/>
        <v>833.3333333</v>
      </c>
      <c r="K47" s="16">
        <f t="shared" si="13"/>
        <v>1166.666667</v>
      </c>
      <c r="L47" s="36">
        <f t="shared" si="14"/>
        <v>0.5833333333</v>
      </c>
      <c r="M47" s="2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3.0</v>
      </c>
      <c r="B48" s="84" t="s">
        <v>33</v>
      </c>
      <c r="C48" s="85" t="s">
        <v>20</v>
      </c>
      <c r="D48" s="22">
        <v>3500.0</v>
      </c>
      <c r="E48" s="15">
        <f t="shared" si="11"/>
        <v>10500</v>
      </c>
      <c r="F48" s="16"/>
      <c r="G48" s="25"/>
      <c r="H48" s="37"/>
      <c r="I48" s="15">
        <f>16000/7</f>
        <v>2285.714286</v>
      </c>
      <c r="J48" s="16">
        <f t="shared" si="12"/>
        <v>6857.142857</v>
      </c>
      <c r="K48" s="16">
        <f t="shared" si="13"/>
        <v>3642.857143</v>
      </c>
      <c r="L48" s="36">
        <f t="shared" si="14"/>
        <v>0.3469387755</v>
      </c>
      <c r="M48" s="2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2.0</v>
      </c>
      <c r="B49" s="84" t="s">
        <v>33</v>
      </c>
      <c r="C49" s="85" t="s">
        <v>57</v>
      </c>
      <c r="D49" s="22">
        <v>5500.0</v>
      </c>
      <c r="E49" s="15">
        <f t="shared" si="11"/>
        <v>11000</v>
      </c>
      <c r="F49" s="16"/>
      <c r="G49" s="25"/>
      <c r="H49" s="98"/>
      <c r="I49" s="87">
        <f>20000/5</f>
        <v>4000</v>
      </c>
      <c r="J49" s="16">
        <f t="shared" si="12"/>
        <v>8000</v>
      </c>
      <c r="K49" s="16">
        <f t="shared" si="13"/>
        <v>3000</v>
      </c>
      <c r="L49" s="36">
        <f t="shared" si="14"/>
        <v>0.2727272727</v>
      </c>
      <c r="M49" s="2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3.0</v>
      </c>
      <c r="B50" s="84" t="s">
        <v>18</v>
      </c>
      <c r="C50" s="85" t="s">
        <v>329</v>
      </c>
      <c r="D50" s="22">
        <v>23000.0</v>
      </c>
      <c r="E50" s="15">
        <f t="shared" si="11"/>
        <v>69000</v>
      </c>
      <c r="F50" s="16"/>
      <c r="G50" s="25"/>
      <c r="H50" s="37"/>
      <c r="I50" s="22">
        <v>20000.0</v>
      </c>
      <c r="J50" s="16">
        <f t="shared" si="12"/>
        <v>60000</v>
      </c>
      <c r="K50" s="16">
        <f t="shared" si="13"/>
        <v>9000</v>
      </c>
      <c r="L50" s="111">
        <f t="shared" si="14"/>
        <v>0.1304347826</v>
      </c>
      <c r="M50" s="2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84" t="s">
        <v>29</v>
      </c>
      <c r="C51" s="85" t="s">
        <v>72</v>
      </c>
      <c r="D51" s="22">
        <v>32000.0</v>
      </c>
      <c r="E51" s="15">
        <f t="shared" si="11"/>
        <v>32000</v>
      </c>
      <c r="F51" s="16"/>
      <c r="G51" s="25"/>
      <c r="H51" s="37"/>
      <c r="I51" s="22">
        <v>28000.0</v>
      </c>
      <c r="J51" s="16">
        <f t="shared" si="12"/>
        <v>28000</v>
      </c>
      <c r="K51" s="16">
        <f t="shared" si="13"/>
        <v>4000</v>
      </c>
      <c r="L51" s="111">
        <f t="shared" si="14"/>
        <v>0.125</v>
      </c>
      <c r="M51" s="2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1.0</v>
      </c>
      <c r="B52" s="84" t="s">
        <v>50</v>
      </c>
      <c r="C52" s="85" t="s">
        <v>205</v>
      </c>
      <c r="D52" s="22">
        <v>3000.0</v>
      </c>
      <c r="E52" s="15">
        <f t="shared" si="11"/>
        <v>3000</v>
      </c>
      <c r="F52" s="16"/>
      <c r="G52" s="25"/>
      <c r="H52" s="37"/>
      <c r="I52" s="22">
        <v>2000.0</v>
      </c>
      <c r="J52" s="16">
        <f t="shared" si="12"/>
        <v>2000</v>
      </c>
      <c r="K52" s="16">
        <f t="shared" si="13"/>
        <v>1000</v>
      </c>
      <c r="L52" s="36">
        <f t="shared" si="14"/>
        <v>0.3333333333</v>
      </c>
      <c r="M52" s="2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13"/>
      <c r="B53" s="12"/>
      <c r="C53" s="14"/>
      <c r="D53" s="15"/>
      <c r="E53" s="16"/>
      <c r="F53" s="16"/>
      <c r="H53" s="25"/>
      <c r="I53" s="16"/>
      <c r="J53" s="16"/>
      <c r="K53" s="16"/>
      <c r="L53" s="36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3"/>
      <c r="B54" s="12"/>
      <c r="C54" s="14"/>
      <c r="D54" s="15"/>
      <c r="E54" s="16">
        <f>SUM(E40:E53)</f>
        <v>187680</v>
      </c>
      <c r="F54" s="16"/>
      <c r="G54" s="25"/>
      <c r="H54" s="25"/>
      <c r="I54" s="16"/>
      <c r="J54" s="16"/>
      <c r="K54" s="16">
        <f>SUM(K40:K52)</f>
        <v>40426.66667</v>
      </c>
      <c r="L54" s="110">
        <f>K54/E54</f>
        <v>0.2154021029</v>
      </c>
      <c r="M54" s="2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3"/>
      <c r="R55" s="2"/>
      <c r="S55" s="3"/>
      <c r="T55" s="3"/>
      <c r="U55" s="3"/>
      <c r="V55" s="3"/>
      <c r="W55" s="3"/>
      <c r="X55" s="3"/>
      <c r="Y55" s="3"/>
      <c r="Z55" s="3"/>
    </row>
    <row r="56">
      <c r="A56" s="89"/>
      <c r="B56" s="24"/>
      <c r="C56" s="24"/>
      <c r="D56" s="81"/>
      <c r="E56" s="82"/>
      <c r="F56" s="33"/>
      <c r="G56" s="25"/>
      <c r="H56" s="25"/>
      <c r="I56" s="16"/>
      <c r="J56" s="16"/>
      <c r="K56" s="16"/>
      <c r="L56" s="34"/>
      <c r="M56" s="2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9" t="s">
        <v>190</v>
      </c>
      <c r="B57" s="24"/>
      <c r="C57" s="24"/>
      <c r="D57" s="81" t="s">
        <v>285</v>
      </c>
      <c r="E57" s="82">
        <v>46070.0</v>
      </c>
      <c r="F57" s="33" t="s">
        <v>13</v>
      </c>
      <c r="G57" s="25"/>
      <c r="H57" s="25"/>
      <c r="I57" s="16"/>
      <c r="J57" s="16"/>
      <c r="K57" s="16"/>
      <c r="L57" s="34"/>
      <c r="M57" s="2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B58" s="25"/>
      <c r="C58" s="35"/>
      <c r="D58" s="25"/>
      <c r="E58" s="25"/>
      <c r="F58" s="25"/>
      <c r="G58" s="25"/>
      <c r="H58" s="25"/>
      <c r="I58" s="16"/>
      <c r="J58" s="16"/>
      <c r="K58" s="16"/>
      <c r="L58" s="34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5" t="s">
        <v>4</v>
      </c>
      <c r="B59" s="92" t="s">
        <v>18</v>
      </c>
      <c r="C59" s="11" t="s">
        <v>6</v>
      </c>
      <c r="D59" s="12" t="s">
        <v>7</v>
      </c>
      <c r="E59" s="10" t="s">
        <v>8</v>
      </c>
      <c r="F59" s="12"/>
      <c r="G59" s="25"/>
      <c r="H59" s="25"/>
      <c r="I59" s="12" t="s">
        <v>7</v>
      </c>
      <c r="J59" s="12" t="s">
        <v>8</v>
      </c>
      <c r="K59" s="12" t="s">
        <v>10</v>
      </c>
      <c r="L59" s="34"/>
      <c r="M59" s="2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83">
        <v>1.0</v>
      </c>
      <c r="B60" s="84" t="s">
        <v>18</v>
      </c>
      <c r="C60" s="85" t="s">
        <v>48</v>
      </c>
      <c r="D60" s="22">
        <v>13000.0</v>
      </c>
      <c r="E60" s="15">
        <f t="shared" ref="E60:E82" si="15">A60*D60</f>
        <v>13000</v>
      </c>
      <c r="F60" s="16"/>
      <c r="G60" s="25"/>
      <c r="H60" s="37"/>
      <c r="I60" s="22">
        <v>8000.0</v>
      </c>
      <c r="J60" s="16">
        <f t="shared" ref="J60:J82" si="16">I60*A60</f>
        <v>8000</v>
      </c>
      <c r="K60" s="16">
        <f t="shared" ref="K60:K82" si="17">E60-J60</f>
        <v>5000</v>
      </c>
      <c r="L60" s="36">
        <f t="shared" ref="L60:L82" si="18">K60/E60</f>
        <v>0.3846153846</v>
      </c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83">
        <v>1.0</v>
      </c>
      <c r="B61" s="84" t="s">
        <v>18</v>
      </c>
      <c r="C61" s="85" t="s">
        <v>330</v>
      </c>
      <c r="D61" s="22">
        <v>16000.0</v>
      </c>
      <c r="E61" s="15">
        <f t="shared" si="15"/>
        <v>16000</v>
      </c>
      <c r="F61" s="16"/>
      <c r="G61" s="25"/>
      <c r="H61" s="37"/>
      <c r="I61" s="22">
        <v>13000.0</v>
      </c>
      <c r="J61" s="16">
        <f t="shared" si="16"/>
        <v>13000</v>
      </c>
      <c r="K61" s="16">
        <f t="shared" si="17"/>
        <v>3000</v>
      </c>
      <c r="L61" s="111">
        <f t="shared" si="18"/>
        <v>0.1875</v>
      </c>
      <c r="M61" s="2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83">
        <v>1.0</v>
      </c>
      <c r="B62" s="84" t="s">
        <v>18</v>
      </c>
      <c r="C62" s="85" t="s">
        <v>20</v>
      </c>
      <c r="D62" s="22">
        <v>22000.0</v>
      </c>
      <c r="E62" s="15">
        <f t="shared" si="15"/>
        <v>22000</v>
      </c>
      <c r="F62" s="16"/>
      <c r="G62" s="25"/>
      <c r="H62" s="37"/>
      <c r="I62" s="87">
        <v>16000.0</v>
      </c>
      <c r="J62" s="16">
        <f t="shared" si="16"/>
        <v>16000</v>
      </c>
      <c r="K62" s="16">
        <f t="shared" si="17"/>
        <v>6000</v>
      </c>
      <c r="L62" s="36">
        <f t="shared" si="18"/>
        <v>0.2727272727</v>
      </c>
      <c r="M62" s="2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83">
        <v>1.0</v>
      </c>
      <c r="B63" s="84" t="s">
        <v>18</v>
      </c>
      <c r="C63" s="85" t="s">
        <v>64</v>
      </c>
      <c r="D63" s="22">
        <v>28000.0</v>
      </c>
      <c r="E63" s="15">
        <f t="shared" si="15"/>
        <v>28000</v>
      </c>
      <c r="F63" s="16"/>
      <c r="G63" s="25"/>
      <c r="H63" s="37"/>
      <c r="I63" s="87">
        <v>24000.0</v>
      </c>
      <c r="J63" s="16">
        <f t="shared" si="16"/>
        <v>24000</v>
      </c>
      <c r="K63" s="16">
        <f t="shared" si="17"/>
        <v>4000</v>
      </c>
      <c r="L63" s="111">
        <f t="shared" si="18"/>
        <v>0.1428571429</v>
      </c>
      <c r="M63" s="2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83">
        <v>3.0</v>
      </c>
      <c r="B64" s="84" t="s">
        <v>38</v>
      </c>
      <c r="C64" s="85" t="s">
        <v>117</v>
      </c>
      <c r="D64" s="22">
        <v>27000.0</v>
      </c>
      <c r="E64" s="15">
        <f t="shared" si="15"/>
        <v>81000</v>
      </c>
      <c r="F64" s="16"/>
      <c r="G64" s="25"/>
      <c r="H64" s="37"/>
      <c r="I64" s="87">
        <v>21000.0</v>
      </c>
      <c r="J64" s="16">
        <f t="shared" si="16"/>
        <v>63000</v>
      </c>
      <c r="K64" s="16">
        <f t="shared" si="17"/>
        <v>18000</v>
      </c>
      <c r="L64" s="112">
        <f t="shared" si="18"/>
        <v>0.2222222222</v>
      </c>
      <c r="M64" s="2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3">
        <v>3.0</v>
      </c>
      <c r="B65" s="84" t="s">
        <v>38</v>
      </c>
      <c r="C65" s="85" t="s">
        <v>180</v>
      </c>
      <c r="D65" s="22">
        <v>13000.0</v>
      </c>
      <c r="E65" s="15">
        <f t="shared" si="15"/>
        <v>39000</v>
      </c>
      <c r="F65" s="16"/>
      <c r="G65" s="25"/>
      <c r="H65" s="37"/>
      <c r="I65" s="87">
        <v>9000.0</v>
      </c>
      <c r="J65" s="16">
        <f t="shared" si="16"/>
        <v>27000</v>
      </c>
      <c r="K65" s="16">
        <f t="shared" si="17"/>
        <v>12000</v>
      </c>
      <c r="L65" s="36">
        <f t="shared" si="18"/>
        <v>0.3076923077</v>
      </c>
      <c r="M65" s="2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83">
        <v>1.0</v>
      </c>
      <c r="B66" s="84" t="s">
        <v>18</v>
      </c>
      <c r="C66" s="85" t="s">
        <v>97</v>
      </c>
      <c r="D66" s="22">
        <v>90000.0</v>
      </c>
      <c r="E66" s="15">
        <f t="shared" si="15"/>
        <v>90000</v>
      </c>
      <c r="F66" s="16"/>
      <c r="G66" s="25"/>
      <c r="H66" s="37"/>
      <c r="I66" s="22">
        <v>80000.0</v>
      </c>
      <c r="J66" s="16">
        <f t="shared" si="16"/>
        <v>80000</v>
      </c>
      <c r="K66" s="16">
        <f t="shared" si="17"/>
        <v>10000</v>
      </c>
      <c r="L66" s="111">
        <f t="shared" si="18"/>
        <v>0.1111111111</v>
      </c>
      <c r="M66" s="2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83">
        <v>10.0</v>
      </c>
      <c r="B67" s="84" t="s">
        <v>38</v>
      </c>
      <c r="C67" s="85" t="s">
        <v>45</v>
      </c>
      <c r="D67" s="22">
        <v>12000.0</v>
      </c>
      <c r="E67" s="15">
        <f t="shared" si="15"/>
        <v>120000</v>
      </c>
      <c r="F67" s="16"/>
      <c r="G67" s="25"/>
      <c r="H67" s="22"/>
      <c r="I67" s="22">
        <v>8000.0</v>
      </c>
      <c r="J67" s="16">
        <f t="shared" si="16"/>
        <v>80000</v>
      </c>
      <c r="K67" s="16">
        <f t="shared" si="17"/>
        <v>40000</v>
      </c>
      <c r="L67" s="36">
        <f t="shared" si="18"/>
        <v>0.3333333333</v>
      </c>
      <c r="M67" s="2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83">
        <v>2.0</v>
      </c>
      <c r="B68" s="84" t="s">
        <v>50</v>
      </c>
      <c r="C68" s="85" t="s">
        <v>68</v>
      </c>
      <c r="D68" s="22">
        <v>3000.0</v>
      </c>
      <c r="E68" s="15">
        <f t="shared" si="15"/>
        <v>6000</v>
      </c>
      <c r="F68" s="16"/>
      <c r="G68" s="25"/>
      <c r="H68" s="37"/>
      <c r="I68" s="22">
        <v>2000.0</v>
      </c>
      <c r="J68" s="16">
        <f t="shared" si="16"/>
        <v>4000</v>
      </c>
      <c r="K68" s="16">
        <f t="shared" si="17"/>
        <v>2000</v>
      </c>
      <c r="L68" s="36">
        <f t="shared" si="18"/>
        <v>0.3333333333</v>
      </c>
      <c r="M68" s="2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6.0</v>
      </c>
      <c r="B69" s="84" t="s">
        <v>38</v>
      </c>
      <c r="C69" s="85" t="s">
        <v>272</v>
      </c>
      <c r="D69" s="22">
        <v>16000.0</v>
      </c>
      <c r="E69" s="15">
        <f t="shared" si="15"/>
        <v>96000</v>
      </c>
      <c r="F69" s="16"/>
      <c r="G69" s="25"/>
      <c r="H69" s="37"/>
      <c r="I69" s="22">
        <v>10000.0</v>
      </c>
      <c r="J69" s="16">
        <f t="shared" si="16"/>
        <v>60000</v>
      </c>
      <c r="K69" s="16">
        <f t="shared" si="17"/>
        <v>36000</v>
      </c>
      <c r="L69" s="36">
        <f t="shared" si="18"/>
        <v>0.375</v>
      </c>
      <c r="M69" s="2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3">
        <v>5.0</v>
      </c>
      <c r="B70" s="84" t="s">
        <v>38</v>
      </c>
      <c r="C70" s="85" t="s">
        <v>331</v>
      </c>
      <c r="D70" s="22">
        <v>11000.0</v>
      </c>
      <c r="E70" s="15">
        <f t="shared" si="15"/>
        <v>55000</v>
      </c>
      <c r="F70" s="16"/>
      <c r="G70" s="25"/>
      <c r="H70" s="37"/>
      <c r="I70" s="87">
        <v>8000.0</v>
      </c>
      <c r="J70" s="16">
        <f t="shared" si="16"/>
        <v>40000</v>
      </c>
      <c r="K70" s="16">
        <f t="shared" si="17"/>
        <v>15000</v>
      </c>
      <c r="L70" s="36">
        <f t="shared" si="18"/>
        <v>0.2727272727</v>
      </c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83">
        <v>2.0</v>
      </c>
      <c r="B71" s="84" t="s">
        <v>18</v>
      </c>
      <c r="C71" s="85" t="s">
        <v>23</v>
      </c>
      <c r="D71" s="22">
        <v>10000.0</v>
      </c>
      <c r="E71" s="15">
        <f t="shared" si="15"/>
        <v>20000</v>
      </c>
      <c r="F71" s="16"/>
      <c r="G71" s="25"/>
      <c r="H71" s="37"/>
      <c r="I71" s="87">
        <v>7000.0</v>
      </c>
      <c r="J71" s="16">
        <f t="shared" si="16"/>
        <v>14000</v>
      </c>
      <c r="K71" s="16">
        <f t="shared" si="17"/>
        <v>6000</v>
      </c>
      <c r="L71" s="36">
        <f t="shared" si="18"/>
        <v>0.3</v>
      </c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83">
        <v>2.0</v>
      </c>
      <c r="B72" s="84" t="s">
        <v>18</v>
      </c>
      <c r="C72" s="85" t="s">
        <v>22</v>
      </c>
      <c r="D72" s="22">
        <v>11000.0</v>
      </c>
      <c r="E72" s="15">
        <f t="shared" si="15"/>
        <v>22000</v>
      </c>
      <c r="F72" s="16"/>
      <c r="G72" s="25"/>
      <c r="H72" s="37"/>
      <c r="I72" s="87">
        <v>7000.0</v>
      </c>
      <c r="J72" s="16">
        <f t="shared" si="16"/>
        <v>14000</v>
      </c>
      <c r="K72" s="16">
        <f t="shared" si="17"/>
        <v>8000</v>
      </c>
      <c r="L72" s="36">
        <f t="shared" si="18"/>
        <v>0.3636363636</v>
      </c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3">
        <v>3.0</v>
      </c>
      <c r="B73" s="84" t="s">
        <v>18</v>
      </c>
      <c r="C73" s="85" t="s">
        <v>95</v>
      </c>
      <c r="D73" s="22">
        <v>18000.0</v>
      </c>
      <c r="E73" s="15">
        <f t="shared" si="15"/>
        <v>54000</v>
      </c>
      <c r="F73" s="16"/>
      <c r="G73" s="25"/>
      <c r="H73" s="37"/>
      <c r="I73" s="87">
        <v>15000.0</v>
      </c>
      <c r="J73" s="16">
        <f t="shared" si="16"/>
        <v>45000</v>
      </c>
      <c r="K73" s="16">
        <f t="shared" si="17"/>
        <v>9000</v>
      </c>
      <c r="L73" s="111">
        <f t="shared" si="18"/>
        <v>0.1666666667</v>
      </c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1.0</v>
      </c>
      <c r="B74" s="84" t="s">
        <v>18</v>
      </c>
      <c r="C74" s="85" t="s">
        <v>289</v>
      </c>
      <c r="D74" s="22">
        <v>15000.0</v>
      </c>
      <c r="E74" s="15">
        <f t="shared" si="15"/>
        <v>15000</v>
      </c>
      <c r="F74" s="16"/>
      <c r="G74" s="25"/>
      <c r="H74" s="37"/>
      <c r="I74" s="87">
        <v>11000.0</v>
      </c>
      <c r="J74" s="16">
        <f t="shared" si="16"/>
        <v>11000</v>
      </c>
      <c r="K74" s="16">
        <f t="shared" si="17"/>
        <v>4000</v>
      </c>
      <c r="L74" s="36">
        <f t="shared" si="18"/>
        <v>0.2666666667</v>
      </c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5.0</v>
      </c>
      <c r="B75" s="84" t="s">
        <v>18</v>
      </c>
      <c r="C75" s="85" t="s">
        <v>77</v>
      </c>
      <c r="D75" s="22">
        <v>15000.0</v>
      </c>
      <c r="E75" s="15">
        <f t="shared" si="15"/>
        <v>75000</v>
      </c>
      <c r="F75" s="16"/>
      <c r="G75" s="25"/>
      <c r="H75" s="37"/>
      <c r="I75" s="22">
        <v>12000.0</v>
      </c>
      <c r="J75" s="16">
        <f t="shared" si="16"/>
        <v>60000</v>
      </c>
      <c r="K75" s="16">
        <f t="shared" si="17"/>
        <v>15000</v>
      </c>
      <c r="L75" s="36">
        <f t="shared" si="18"/>
        <v>0.2</v>
      </c>
      <c r="M75" s="2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2.0</v>
      </c>
      <c r="B76" s="84" t="s">
        <v>50</v>
      </c>
      <c r="C76" s="85" t="s">
        <v>236</v>
      </c>
      <c r="D76" s="22">
        <v>4500.0</v>
      </c>
      <c r="E76" s="15">
        <f t="shared" si="15"/>
        <v>9000</v>
      </c>
      <c r="F76" s="16"/>
      <c r="G76" s="25"/>
      <c r="H76" s="22"/>
      <c r="I76" s="22">
        <v>3400.0</v>
      </c>
      <c r="J76" s="16">
        <f t="shared" si="16"/>
        <v>6800</v>
      </c>
      <c r="K76" s="16">
        <f t="shared" si="17"/>
        <v>2200</v>
      </c>
      <c r="L76" s="36">
        <f t="shared" si="18"/>
        <v>0.2444444444</v>
      </c>
      <c r="M76" s="2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4.0</v>
      </c>
      <c r="B77" s="84" t="s">
        <v>84</v>
      </c>
      <c r="C77" s="85" t="s">
        <v>85</v>
      </c>
      <c r="D77" s="22">
        <v>2500.0</v>
      </c>
      <c r="E77" s="15">
        <f t="shared" si="15"/>
        <v>10000</v>
      </c>
      <c r="F77" s="16"/>
      <c r="G77" s="25"/>
      <c r="H77" s="37"/>
      <c r="I77" s="22">
        <v>2000.0</v>
      </c>
      <c r="J77" s="16">
        <f t="shared" si="16"/>
        <v>8000</v>
      </c>
      <c r="K77" s="16">
        <f t="shared" si="17"/>
        <v>2000</v>
      </c>
      <c r="L77" s="36">
        <f t="shared" si="18"/>
        <v>0.2</v>
      </c>
      <c r="M77" s="2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1.0</v>
      </c>
      <c r="B78" s="84" t="s">
        <v>18</v>
      </c>
      <c r="C78" s="85" t="s">
        <v>57</v>
      </c>
      <c r="D78" s="22">
        <v>25000.0</v>
      </c>
      <c r="E78" s="15">
        <f t="shared" si="15"/>
        <v>25000</v>
      </c>
      <c r="F78" s="16"/>
      <c r="G78" s="25"/>
      <c r="H78" s="37"/>
      <c r="I78" s="22">
        <v>20000.0</v>
      </c>
      <c r="J78" s="16">
        <f t="shared" si="16"/>
        <v>20000</v>
      </c>
      <c r="K78" s="16">
        <f t="shared" si="17"/>
        <v>5000</v>
      </c>
      <c r="L78" s="36">
        <f t="shared" si="18"/>
        <v>0.2</v>
      </c>
      <c r="M78" s="2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0.5</v>
      </c>
      <c r="B79" s="84" t="s">
        <v>18</v>
      </c>
      <c r="C79" s="85" t="s">
        <v>53</v>
      </c>
      <c r="D79" s="22">
        <v>70000.0</v>
      </c>
      <c r="E79" s="15">
        <f t="shared" si="15"/>
        <v>35000</v>
      </c>
      <c r="F79" s="16"/>
      <c r="G79" s="25"/>
      <c r="H79" s="37"/>
      <c r="I79" s="87">
        <v>60000.0</v>
      </c>
      <c r="J79" s="16">
        <f t="shared" si="16"/>
        <v>30000</v>
      </c>
      <c r="K79" s="16">
        <f t="shared" si="17"/>
        <v>5000</v>
      </c>
      <c r="L79" s="36">
        <f t="shared" si="18"/>
        <v>0.1428571429</v>
      </c>
      <c r="M79" s="2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1.0</v>
      </c>
      <c r="B80" s="84" t="s">
        <v>29</v>
      </c>
      <c r="C80" s="85" t="s">
        <v>332</v>
      </c>
      <c r="D80" s="22">
        <v>39000.0</v>
      </c>
      <c r="E80" s="15">
        <f t="shared" si="15"/>
        <v>39000</v>
      </c>
      <c r="F80" s="16"/>
      <c r="G80" s="25"/>
      <c r="H80" s="37"/>
      <c r="I80" s="87">
        <v>33000.0</v>
      </c>
      <c r="J80" s="16">
        <f t="shared" si="16"/>
        <v>33000</v>
      </c>
      <c r="K80" s="16">
        <f t="shared" si="17"/>
        <v>6000</v>
      </c>
      <c r="L80" s="111">
        <f t="shared" si="18"/>
        <v>0.1538461538</v>
      </c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0.5</v>
      </c>
      <c r="B81" s="84" t="s">
        <v>18</v>
      </c>
      <c r="C81" s="85" t="s">
        <v>55</v>
      </c>
      <c r="D81" s="22">
        <v>35000.0</v>
      </c>
      <c r="E81" s="15">
        <f t="shared" si="15"/>
        <v>17500</v>
      </c>
      <c r="F81" s="16"/>
      <c r="G81" s="25"/>
      <c r="H81" s="37"/>
      <c r="I81" s="87">
        <v>28000.0</v>
      </c>
      <c r="J81" s="16">
        <f t="shared" si="16"/>
        <v>14000</v>
      </c>
      <c r="K81" s="16">
        <f t="shared" si="17"/>
        <v>3500</v>
      </c>
      <c r="L81" s="112">
        <f t="shared" si="18"/>
        <v>0.2</v>
      </c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0.5</v>
      </c>
      <c r="B82" s="84" t="s">
        <v>18</v>
      </c>
      <c r="C82" s="85" t="s">
        <v>78</v>
      </c>
      <c r="D82" s="22">
        <v>70000.0</v>
      </c>
      <c r="E82" s="15">
        <f t="shared" si="15"/>
        <v>35000</v>
      </c>
      <c r="F82" s="16"/>
      <c r="G82" s="25"/>
      <c r="H82" s="37"/>
      <c r="I82" s="87">
        <v>65000.0</v>
      </c>
      <c r="J82" s="16">
        <f t="shared" si="16"/>
        <v>32500</v>
      </c>
      <c r="K82" s="16">
        <f t="shared" si="17"/>
        <v>2500</v>
      </c>
      <c r="L82" s="111">
        <f t="shared" si="18"/>
        <v>0.07142857143</v>
      </c>
      <c r="M82" s="2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/>
      <c r="B83" s="12"/>
      <c r="C83" s="14"/>
      <c r="D83" s="15"/>
      <c r="E83" s="16"/>
      <c r="F83" s="16">
        <f>186+279+922</f>
        <v>1387</v>
      </c>
      <c r="H83" s="25"/>
      <c r="I83" s="16"/>
      <c r="J83" s="16"/>
      <c r="K83" s="16"/>
      <c r="L83" s="36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3"/>
      <c r="B84" s="12"/>
      <c r="C84" s="14"/>
      <c r="D84" s="15"/>
      <c r="E84" s="16">
        <f>SUM(E60:E83)</f>
        <v>922500</v>
      </c>
      <c r="F84" s="16"/>
      <c r="G84" s="25"/>
      <c r="H84" s="25"/>
      <c r="I84" s="16"/>
      <c r="J84" s="16"/>
      <c r="K84" s="16">
        <f>SUM(K60:K82)</f>
        <v>219200</v>
      </c>
      <c r="L84" s="110">
        <f>K84/E84</f>
        <v>0.2376151762</v>
      </c>
      <c r="M84" s="2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9"/>
      <c r="S85" s="3"/>
      <c r="T85" s="3"/>
      <c r="U85" s="3"/>
      <c r="V85" s="3"/>
      <c r="W85" s="3"/>
      <c r="X85" s="3"/>
      <c r="Y85" s="3"/>
      <c r="Z85" s="3"/>
    </row>
    <row r="86">
      <c r="A86" s="89"/>
      <c r="B86" s="24"/>
      <c r="C86" s="24"/>
      <c r="D86" s="81"/>
      <c r="E86" s="82"/>
      <c r="F86" s="33"/>
      <c r="G86" s="25"/>
      <c r="H86" s="25"/>
      <c r="I86" s="16"/>
      <c r="J86" s="16"/>
      <c r="K86" s="16"/>
      <c r="L86" s="34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89" t="s">
        <v>115</v>
      </c>
      <c r="B87" s="24"/>
      <c r="C87" s="24"/>
      <c r="D87" s="81" t="s">
        <v>333</v>
      </c>
      <c r="E87" s="82">
        <v>46070.0</v>
      </c>
      <c r="F87" s="33" t="s">
        <v>13</v>
      </c>
      <c r="G87" s="25"/>
      <c r="H87" s="25"/>
      <c r="I87" s="16"/>
      <c r="J87" s="16"/>
      <c r="K87" s="16"/>
      <c r="L87" s="3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B88" s="25"/>
      <c r="C88" s="35"/>
      <c r="D88" s="25"/>
      <c r="E88" s="25"/>
      <c r="F88" s="25"/>
      <c r="G88" s="25"/>
      <c r="H88" s="25"/>
      <c r="I88" s="16"/>
      <c r="J88" s="16"/>
      <c r="K88" s="16"/>
      <c r="L88" s="34"/>
      <c r="M88" s="2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5" t="s">
        <v>4</v>
      </c>
      <c r="B89" s="10" t="s">
        <v>5</v>
      </c>
      <c r="C89" s="11" t="s">
        <v>6</v>
      </c>
      <c r="D89" s="12" t="s">
        <v>7</v>
      </c>
      <c r="E89" s="10" t="s">
        <v>8</v>
      </c>
      <c r="F89" s="12"/>
      <c r="G89" s="25"/>
      <c r="H89" s="25"/>
      <c r="I89" s="12" t="s">
        <v>7</v>
      </c>
      <c r="J89" s="12" t="s">
        <v>8</v>
      </c>
      <c r="K89" s="12" t="s">
        <v>10</v>
      </c>
      <c r="L89" s="34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83">
        <v>7.0</v>
      </c>
      <c r="B90" s="84" t="s">
        <v>33</v>
      </c>
      <c r="C90" s="85" t="s">
        <v>117</v>
      </c>
      <c r="D90" s="22">
        <v>2800.0</v>
      </c>
      <c r="E90" s="15">
        <f t="shared" ref="E90:E119" si="19">A90*D90</f>
        <v>19600</v>
      </c>
      <c r="F90" s="16"/>
      <c r="G90" s="25"/>
      <c r="H90" s="37"/>
      <c r="I90" s="87">
        <f>21000/11</f>
        <v>1909.090909</v>
      </c>
      <c r="J90" s="16">
        <f t="shared" ref="J90:J119" si="20">I90*A90</f>
        <v>13363.63636</v>
      </c>
      <c r="K90" s="16">
        <f t="shared" ref="K90:K119" si="21">E90-J90</f>
        <v>6236.363636</v>
      </c>
      <c r="L90" s="36">
        <f t="shared" ref="L90:L119" si="22">K90/E90</f>
        <v>0.3181818182</v>
      </c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83">
        <v>6.0</v>
      </c>
      <c r="B91" s="84" t="s">
        <v>33</v>
      </c>
      <c r="C91" s="85" t="s">
        <v>64</v>
      </c>
      <c r="D91" s="22">
        <v>2200.0</v>
      </c>
      <c r="E91" s="15">
        <f t="shared" si="19"/>
        <v>13200</v>
      </c>
      <c r="F91" s="16"/>
      <c r="G91" s="25"/>
      <c r="H91" s="37"/>
      <c r="I91" s="87">
        <f>24000/15</f>
        <v>1600</v>
      </c>
      <c r="J91" s="16">
        <f t="shared" si="20"/>
        <v>9600</v>
      </c>
      <c r="K91" s="16">
        <f t="shared" si="21"/>
        <v>3600</v>
      </c>
      <c r="L91" s="36">
        <f t="shared" si="22"/>
        <v>0.2727272727</v>
      </c>
      <c r="M91" s="2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83">
        <v>1.0</v>
      </c>
      <c r="B92" s="84" t="s">
        <v>94</v>
      </c>
      <c r="C92" s="85" t="s">
        <v>271</v>
      </c>
      <c r="D92" s="22">
        <v>3000.0</v>
      </c>
      <c r="E92" s="15">
        <f t="shared" si="19"/>
        <v>3000</v>
      </c>
      <c r="F92" s="16"/>
      <c r="G92" s="25"/>
      <c r="H92" s="37"/>
      <c r="I92" s="87">
        <v>2000.0</v>
      </c>
      <c r="J92" s="16">
        <f t="shared" si="20"/>
        <v>2000</v>
      </c>
      <c r="K92" s="16">
        <f t="shared" si="21"/>
        <v>1000</v>
      </c>
      <c r="L92" s="36">
        <f t="shared" si="22"/>
        <v>0.3333333333</v>
      </c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3">
        <v>2.0</v>
      </c>
      <c r="B93" s="84" t="s">
        <v>5</v>
      </c>
      <c r="C93" s="85" t="s">
        <v>289</v>
      </c>
      <c r="D93" s="22">
        <v>2000.0</v>
      </c>
      <c r="E93" s="15">
        <f t="shared" si="19"/>
        <v>4000</v>
      </c>
      <c r="F93" s="16"/>
      <c r="G93" s="25"/>
      <c r="H93" s="98" t="s">
        <v>274</v>
      </c>
      <c r="I93" s="87"/>
      <c r="J93" s="16">
        <f t="shared" si="20"/>
        <v>0</v>
      </c>
      <c r="K93" s="16">
        <f t="shared" si="21"/>
        <v>4000</v>
      </c>
      <c r="L93" s="36">
        <f t="shared" si="22"/>
        <v>1</v>
      </c>
      <c r="M93" s="2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3">
        <v>3.0</v>
      </c>
      <c r="B94" s="84" t="s">
        <v>33</v>
      </c>
      <c r="C94" s="85" t="s">
        <v>118</v>
      </c>
      <c r="D94" s="22">
        <v>2500.0</v>
      </c>
      <c r="E94" s="15">
        <f t="shared" si="19"/>
        <v>7500</v>
      </c>
      <c r="F94" s="16"/>
      <c r="G94" s="25"/>
      <c r="H94" s="37"/>
      <c r="I94" s="87">
        <f>20000/12</f>
        <v>1666.666667</v>
      </c>
      <c r="J94" s="16">
        <f t="shared" si="20"/>
        <v>5000</v>
      </c>
      <c r="K94" s="16">
        <f t="shared" si="21"/>
        <v>2500</v>
      </c>
      <c r="L94" s="36">
        <f t="shared" si="22"/>
        <v>0.3333333333</v>
      </c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0.25</v>
      </c>
      <c r="B95" s="84" t="s">
        <v>33</v>
      </c>
      <c r="C95" s="85" t="s">
        <v>249</v>
      </c>
      <c r="D95" s="22">
        <v>12000.0</v>
      </c>
      <c r="E95" s="15">
        <f t="shared" si="19"/>
        <v>3000</v>
      </c>
      <c r="F95" s="16"/>
      <c r="G95" s="25"/>
      <c r="H95" s="37"/>
      <c r="I95" s="87">
        <v>9000.0</v>
      </c>
      <c r="J95" s="16">
        <f t="shared" si="20"/>
        <v>2250</v>
      </c>
      <c r="K95" s="16">
        <f t="shared" si="21"/>
        <v>750</v>
      </c>
      <c r="L95" s="36">
        <f t="shared" si="22"/>
        <v>0.25</v>
      </c>
      <c r="M95" s="2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2.0</v>
      </c>
      <c r="B96" s="84" t="s">
        <v>33</v>
      </c>
      <c r="C96" s="85" t="s">
        <v>97</v>
      </c>
      <c r="D96" s="22">
        <v>21000.0</v>
      </c>
      <c r="E96" s="15">
        <f t="shared" si="19"/>
        <v>42000</v>
      </c>
      <c r="F96" s="16"/>
      <c r="G96" s="25"/>
      <c r="H96" s="37"/>
      <c r="I96" s="87">
        <v>18000.0</v>
      </c>
      <c r="J96" s="16">
        <f t="shared" si="20"/>
        <v>36000</v>
      </c>
      <c r="K96" s="16">
        <f t="shared" si="21"/>
        <v>6000</v>
      </c>
      <c r="L96" s="111">
        <f t="shared" si="22"/>
        <v>0.1428571429</v>
      </c>
      <c r="M96" s="2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2.0</v>
      </c>
      <c r="B97" s="84" t="s">
        <v>18</v>
      </c>
      <c r="C97" s="85" t="s">
        <v>318</v>
      </c>
      <c r="D97" s="22">
        <v>23000.0</v>
      </c>
      <c r="E97" s="15">
        <f t="shared" si="19"/>
        <v>46000</v>
      </c>
      <c r="F97" s="16"/>
      <c r="G97" s="25"/>
      <c r="H97" s="37"/>
      <c r="I97" s="87">
        <v>20000.0</v>
      </c>
      <c r="J97" s="16">
        <f t="shared" si="20"/>
        <v>40000</v>
      </c>
      <c r="K97" s="16">
        <f t="shared" si="21"/>
        <v>6000</v>
      </c>
      <c r="L97" s="111">
        <f t="shared" si="22"/>
        <v>0.1304347826</v>
      </c>
      <c r="M97" s="2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1.0</v>
      </c>
      <c r="B98" s="84" t="s">
        <v>18</v>
      </c>
      <c r="C98" s="85" t="s">
        <v>194</v>
      </c>
      <c r="D98" s="22">
        <v>14000.0</v>
      </c>
      <c r="E98" s="15">
        <f t="shared" si="19"/>
        <v>14000</v>
      </c>
      <c r="F98" s="16"/>
      <c r="G98" s="25"/>
      <c r="H98" s="37"/>
      <c r="I98" s="87">
        <v>8000.0</v>
      </c>
      <c r="J98" s="16">
        <f t="shared" si="20"/>
        <v>8000</v>
      </c>
      <c r="K98" s="16">
        <f t="shared" si="21"/>
        <v>6000</v>
      </c>
      <c r="L98" s="36">
        <f t="shared" si="22"/>
        <v>0.4285714286</v>
      </c>
      <c r="M98" s="2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1.0</v>
      </c>
      <c r="B99" s="84" t="s">
        <v>18</v>
      </c>
      <c r="C99" s="85" t="s">
        <v>195</v>
      </c>
      <c r="D99" s="22">
        <v>13000.0</v>
      </c>
      <c r="E99" s="15">
        <f t="shared" si="19"/>
        <v>13000</v>
      </c>
      <c r="F99" s="16"/>
      <c r="G99" s="25"/>
      <c r="H99" s="37"/>
      <c r="I99" s="87">
        <f>10500</f>
        <v>10500</v>
      </c>
      <c r="J99" s="16">
        <f t="shared" si="20"/>
        <v>10500</v>
      </c>
      <c r="K99" s="16">
        <f t="shared" si="21"/>
        <v>2500</v>
      </c>
      <c r="L99" s="36">
        <f t="shared" si="22"/>
        <v>0.1923076923</v>
      </c>
      <c r="M99" s="2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1.0</v>
      </c>
      <c r="B100" s="84" t="s">
        <v>288</v>
      </c>
      <c r="C100" s="85" t="s">
        <v>65</v>
      </c>
      <c r="D100" s="22">
        <v>9000.0</v>
      </c>
      <c r="E100" s="15">
        <f t="shared" si="19"/>
        <v>9000</v>
      </c>
      <c r="F100" s="16"/>
      <c r="G100" s="25"/>
      <c r="H100" s="37"/>
      <c r="I100" s="87">
        <v>4000.0</v>
      </c>
      <c r="J100" s="16">
        <f t="shared" si="20"/>
        <v>4000</v>
      </c>
      <c r="K100" s="16">
        <f t="shared" si="21"/>
        <v>5000</v>
      </c>
      <c r="L100" s="36">
        <f t="shared" si="22"/>
        <v>0.5555555556</v>
      </c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5.0</v>
      </c>
      <c r="B101" s="84" t="s">
        <v>18</v>
      </c>
      <c r="C101" s="85" t="s">
        <v>103</v>
      </c>
      <c r="D101" s="22">
        <v>16000.0</v>
      </c>
      <c r="E101" s="15">
        <f t="shared" si="19"/>
        <v>80000</v>
      </c>
      <c r="F101" s="16"/>
      <c r="G101" s="25"/>
      <c r="H101" s="37"/>
      <c r="I101" s="87">
        <v>13000.0</v>
      </c>
      <c r="J101" s="16">
        <f t="shared" si="20"/>
        <v>65000</v>
      </c>
      <c r="K101" s="16">
        <f t="shared" si="21"/>
        <v>15000</v>
      </c>
      <c r="L101" s="111">
        <f t="shared" si="22"/>
        <v>0.1875</v>
      </c>
      <c r="M101" s="2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2.0</v>
      </c>
      <c r="B102" s="84" t="s">
        <v>38</v>
      </c>
      <c r="C102" s="85" t="s">
        <v>179</v>
      </c>
      <c r="D102" s="22">
        <v>22000.0</v>
      </c>
      <c r="E102" s="15">
        <f t="shared" si="19"/>
        <v>44000</v>
      </c>
      <c r="F102" s="16"/>
      <c r="G102" s="25"/>
      <c r="H102" s="37"/>
      <c r="I102" s="87">
        <v>18500.0</v>
      </c>
      <c r="J102" s="16">
        <f t="shared" si="20"/>
        <v>37000</v>
      </c>
      <c r="K102" s="16">
        <f t="shared" si="21"/>
        <v>7000</v>
      </c>
      <c r="L102" s="111">
        <f t="shared" si="22"/>
        <v>0.1590909091</v>
      </c>
      <c r="M102" s="2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2.0</v>
      </c>
      <c r="B103" s="84" t="s">
        <v>5</v>
      </c>
      <c r="C103" s="85" t="s">
        <v>16</v>
      </c>
      <c r="D103" s="22">
        <v>1000.0</v>
      </c>
      <c r="E103" s="15">
        <f t="shared" si="19"/>
        <v>2000</v>
      </c>
      <c r="F103" s="16"/>
      <c r="G103" s="25"/>
      <c r="H103" s="37"/>
      <c r="I103" s="87">
        <v>600.0</v>
      </c>
      <c r="J103" s="16">
        <f t="shared" si="20"/>
        <v>1200</v>
      </c>
      <c r="K103" s="16">
        <f t="shared" si="21"/>
        <v>800</v>
      </c>
      <c r="L103" s="36">
        <f t="shared" si="22"/>
        <v>0.4</v>
      </c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1.0</v>
      </c>
      <c r="B104" s="84" t="s">
        <v>50</v>
      </c>
      <c r="C104" s="85" t="s">
        <v>89</v>
      </c>
      <c r="D104" s="22">
        <v>6000.0</v>
      </c>
      <c r="E104" s="15">
        <f t="shared" si="19"/>
        <v>6000</v>
      </c>
      <c r="F104" s="16"/>
      <c r="G104" s="25"/>
      <c r="H104" s="37"/>
      <c r="I104" s="22">
        <v>3500.0</v>
      </c>
      <c r="J104" s="16">
        <f t="shared" si="20"/>
        <v>3500</v>
      </c>
      <c r="K104" s="16">
        <f t="shared" si="21"/>
        <v>2500</v>
      </c>
      <c r="L104" s="36">
        <f t="shared" si="22"/>
        <v>0.4166666667</v>
      </c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1.0</v>
      </c>
      <c r="B105" s="84" t="s">
        <v>50</v>
      </c>
      <c r="C105" s="85" t="s">
        <v>104</v>
      </c>
      <c r="D105" s="22">
        <v>2500.0</v>
      </c>
      <c r="E105" s="15">
        <f t="shared" si="19"/>
        <v>2500</v>
      </c>
      <c r="F105" s="16"/>
      <c r="G105" s="25"/>
      <c r="H105" s="37"/>
      <c r="I105" s="22">
        <v>1500.0</v>
      </c>
      <c r="J105" s="16">
        <f t="shared" si="20"/>
        <v>1500</v>
      </c>
      <c r="K105" s="16">
        <f t="shared" si="21"/>
        <v>1000</v>
      </c>
      <c r="L105" s="36">
        <f t="shared" si="22"/>
        <v>0.4</v>
      </c>
      <c r="M105" s="2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83">
        <v>6.0</v>
      </c>
      <c r="B106" s="84" t="s">
        <v>5</v>
      </c>
      <c r="C106" s="85" t="s">
        <v>176</v>
      </c>
      <c r="D106" s="22">
        <v>1200.0</v>
      </c>
      <c r="E106" s="15">
        <f t="shared" si="19"/>
        <v>7200</v>
      </c>
      <c r="F106" s="16"/>
      <c r="G106" s="25"/>
      <c r="H106" s="37"/>
      <c r="I106" s="87">
        <v>560.0</v>
      </c>
      <c r="J106" s="16">
        <f t="shared" si="20"/>
        <v>3360</v>
      </c>
      <c r="K106" s="16">
        <f t="shared" si="21"/>
        <v>3840</v>
      </c>
      <c r="L106" s="36">
        <f t="shared" si="22"/>
        <v>0.5333333333</v>
      </c>
      <c r="M106" s="2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83">
        <v>4.0</v>
      </c>
      <c r="B107" s="84" t="s">
        <v>33</v>
      </c>
      <c r="C107" s="85" t="s">
        <v>24</v>
      </c>
      <c r="D107" s="22">
        <v>4500.0</v>
      </c>
      <c r="E107" s="15">
        <f t="shared" si="19"/>
        <v>18000</v>
      </c>
      <c r="F107" s="16"/>
      <c r="G107" s="25"/>
      <c r="H107" s="37"/>
      <c r="I107" s="87">
        <f>26000/7</f>
        <v>3714.285714</v>
      </c>
      <c r="J107" s="16">
        <f t="shared" si="20"/>
        <v>14857.14286</v>
      </c>
      <c r="K107" s="16">
        <f t="shared" si="21"/>
        <v>3142.857143</v>
      </c>
      <c r="L107" s="111">
        <f t="shared" si="22"/>
        <v>0.1746031746</v>
      </c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83">
        <v>1.0</v>
      </c>
      <c r="B108" s="84" t="s">
        <v>33</v>
      </c>
      <c r="C108" s="85" t="s">
        <v>25</v>
      </c>
      <c r="D108" s="22">
        <v>3000.0</v>
      </c>
      <c r="E108" s="15">
        <f t="shared" si="19"/>
        <v>3000</v>
      </c>
      <c r="F108" s="16"/>
      <c r="G108" s="25"/>
      <c r="H108" s="37"/>
      <c r="I108" s="87">
        <f>12000/8</f>
        <v>1500</v>
      </c>
      <c r="J108" s="16">
        <f t="shared" si="20"/>
        <v>1500</v>
      </c>
      <c r="K108" s="16">
        <f t="shared" si="21"/>
        <v>1500</v>
      </c>
      <c r="L108" s="36">
        <f t="shared" si="22"/>
        <v>0.5</v>
      </c>
      <c r="M108" s="2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83">
        <v>1.0</v>
      </c>
      <c r="B109" s="84" t="s">
        <v>33</v>
      </c>
      <c r="C109" s="85" t="s">
        <v>26</v>
      </c>
      <c r="D109" s="22">
        <v>4000.0</v>
      </c>
      <c r="E109" s="15">
        <f t="shared" si="19"/>
        <v>4000</v>
      </c>
      <c r="F109" s="16"/>
      <c r="G109" s="25"/>
      <c r="H109" s="37"/>
      <c r="I109" s="87">
        <f>20000/8</f>
        <v>2500</v>
      </c>
      <c r="J109" s="16">
        <f t="shared" si="20"/>
        <v>2500</v>
      </c>
      <c r="K109" s="16">
        <f t="shared" si="21"/>
        <v>1500</v>
      </c>
      <c r="L109" s="36">
        <f t="shared" si="22"/>
        <v>0.375</v>
      </c>
      <c r="M109" s="2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83">
        <v>6.0</v>
      </c>
      <c r="B110" s="84" t="s">
        <v>33</v>
      </c>
      <c r="C110" s="85" t="s">
        <v>174</v>
      </c>
      <c r="D110" s="22">
        <v>1600.0</v>
      </c>
      <c r="E110" s="15">
        <f t="shared" si="19"/>
        <v>9600</v>
      </c>
      <c r="F110" s="16"/>
      <c r="G110" s="25"/>
      <c r="H110" s="37"/>
      <c r="I110" s="87">
        <f>13000/15</f>
        <v>866.6666667</v>
      </c>
      <c r="J110" s="16">
        <f t="shared" si="20"/>
        <v>5200</v>
      </c>
      <c r="K110" s="16">
        <f t="shared" si="21"/>
        <v>4400</v>
      </c>
      <c r="L110" s="36">
        <f t="shared" si="22"/>
        <v>0.4583333333</v>
      </c>
      <c r="M110" s="2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83">
        <v>1.0</v>
      </c>
      <c r="B111" s="84" t="s">
        <v>38</v>
      </c>
      <c r="C111" s="85" t="s">
        <v>67</v>
      </c>
      <c r="D111" s="22">
        <v>800.0</v>
      </c>
      <c r="E111" s="15">
        <f t="shared" si="19"/>
        <v>800</v>
      </c>
      <c r="F111" s="16"/>
      <c r="G111" s="25"/>
      <c r="H111" s="37"/>
      <c r="I111" s="87">
        <f>8000/17</f>
        <v>470.5882353</v>
      </c>
      <c r="J111" s="16">
        <f t="shared" si="20"/>
        <v>470.5882353</v>
      </c>
      <c r="K111" s="16">
        <f t="shared" si="21"/>
        <v>329.4117647</v>
      </c>
      <c r="L111" s="36">
        <f t="shared" si="22"/>
        <v>0.4117647059</v>
      </c>
      <c r="M111" s="2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83">
        <v>1.5</v>
      </c>
      <c r="B112" s="84" t="s">
        <v>33</v>
      </c>
      <c r="C112" s="85" t="s">
        <v>86</v>
      </c>
      <c r="D112" s="22">
        <v>4000.0</v>
      </c>
      <c r="E112" s="15">
        <f t="shared" si="19"/>
        <v>6000</v>
      </c>
      <c r="F112" s="16"/>
      <c r="G112" s="25"/>
      <c r="H112" s="37"/>
      <c r="I112" s="87">
        <v>3000.0</v>
      </c>
      <c r="J112" s="16">
        <f t="shared" si="20"/>
        <v>4500</v>
      </c>
      <c r="K112" s="16">
        <f t="shared" si="21"/>
        <v>1500</v>
      </c>
      <c r="L112" s="36">
        <f t="shared" si="22"/>
        <v>0.25</v>
      </c>
      <c r="M112" s="2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83">
        <v>1.0</v>
      </c>
      <c r="B113" s="84" t="s">
        <v>50</v>
      </c>
      <c r="C113" s="85" t="s">
        <v>12</v>
      </c>
      <c r="D113" s="22">
        <v>3000.0</v>
      </c>
      <c r="E113" s="15">
        <f t="shared" si="19"/>
        <v>3000</v>
      </c>
      <c r="F113" s="16"/>
      <c r="G113" s="25"/>
      <c r="H113" s="37"/>
      <c r="I113" s="87">
        <v>2000.0</v>
      </c>
      <c r="J113" s="16">
        <f t="shared" si="20"/>
        <v>2000</v>
      </c>
      <c r="K113" s="16">
        <f t="shared" si="21"/>
        <v>1000</v>
      </c>
      <c r="L113" s="36">
        <f t="shared" si="22"/>
        <v>0.3333333333</v>
      </c>
      <c r="M113" s="2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83">
        <v>12.0</v>
      </c>
      <c r="B114" s="84" t="s">
        <v>5</v>
      </c>
      <c r="C114" s="85" t="s">
        <v>87</v>
      </c>
      <c r="D114" s="22">
        <v>1400.0</v>
      </c>
      <c r="E114" s="15">
        <f t="shared" si="19"/>
        <v>16800</v>
      </c>
      <c r="F114" s="16"/>
      <c r="G114" s="25"/>
      <c r="H114" s="37"/>
      <c r="I114" s="87">
        <f>65000/70</f>
        <v>928.5714286</v>
      </c>
      <c r="J114" s="16">
        <f t="shared" si="20"/>
        <v>11142.85714</v>
      </c>
      <c r="K114" s="16">
        <f t="shared" si="21"/>
        <v>5657.142857</v>
      </c>
      <c r="L114" s="36">
        <f t="shared" si="22"/>
        <v>0.3367346939</v>
      </c>
      <c r="M114" s="2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83">
        <v>1.0</v>
      </c>
      <c r="B115" s="84" t="s">
        <v>50</v>
      </c>
      <c r="C115" s="85" t="s">
        <v>235</v>
      </c>
      <c r="D115" s="22">
        <v>3500.0</v>
      </c>
      <c r="E115" s="15">
        <f t="shared" si="19"/>
        <v>3500</v>
      </c>
      <c r="F115" s="16"/>
      <c r="G115" s="25"/>
      <c r="H115" s="37"/>
      <c r="I115" s="87">
        <v>2500.0</v>
      </c>
      <c r="J115" s="16">
        <f t="shared" si="20"/>
        <v>2500</v>
      </c>
      <c r="K115" s="16">
        <f t="shared" si="21"/>
        <v>1000</v>
      </c>
      <c r="L115" s="36">
        <f t="shared" si="22"/>
        <v>0.2857142857</v>
      </c>
      <c r="M115" s="2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83">
        <v>1.0</v>
      </c>
      <c r="B116" s="84" t="s">
        <v>18</v>
      </c>
      <c r="C116" s="85" t="s">
        <v>20</v>
      </c>
      <c r="D116" s="22">
        <v>28000.0</v>
      </c>
      <c r="E116" s="15">
        <f t="shared" si="19"/>
        <v>28000</v>
      </c>
      <c r="F116" s="16"/>
      <c r="G116" s="25"/>
      <c r="H116" s="37"/>
      <c r="I116" s="22">
        <v>16000.0</v>
      </c>
      <c r="J116" s="16">
        <f t="shared" si="20"/>
        <v>16000</v>
      </c>
      <c r="K116" s="16">
        <f t="shared" si="21"/>
        <v>12000</v>
      </c>
      <c r="L116" s="36">
        <f t="shared" si="22"/>
        <v>0.4285714286</v>
      </c>
      <c r="M116" s="2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>
        <v>0.5</v>
      </c>
      <c r="B117" s="84" t="s">
        <v>18</v>
      </c>
      <c r="C117" s="85" t="s">
        <v>281</v>
      </c>
      <c r="D117" s="22">
        <v>18000.0</v>
      </c>
      <c r="E117" s="15">
        <f t="shared" si="19"/>
        <v>9000</v>
      </c>
      <c r="F117" s="16"/>
      <c r="G117" s="25"/>
      <c r="H117" s="37"/>
      <c r="I117" s="22">
        <v>15000.0</v>
      </c>
      <c r="J117" s="16">
        <f t="shared" si="20"/>
        <v>7500</v>
      </c>
      <c r="K117" s="16">
        <f t="shared" si="21"/>
        <v>1500</v>
      </c>
      <c r="L117" s="111">
        <f t="shared" si="22"/>
        <v>0.1666666667</v>
      </c>
      <c r="M117" s="2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83">
        <v>1.0</v>
      </c>
      <c r="B118" s="84" t="s">
        <v>18</v>
      </c>
      <c r="C118" s="85" t="s">
        <v>72</v>
      </c>
      <c r="D118" s="22">
        <v>32000.0</v>
      </c>
      <c r="E118" s="15">
        <f t="shared" si="19"/>
        <v>32000</v>
      </c>
      <c r="F118" s="16"/>
      <c r="G118" s="25"/>
      <c r="H118" s="37"/>
      <c r="I118" s="22">
        <v>28000.0</v>
      </c>
      <c r="J118" s="16">
        <f t="shared" si="20"/>
        <v>28000</v>
      </c>
      <c r="K118" s="16">
        <f t="shared" si="21"/>
        <v>4000</v>
      </c>
      <c r="L118" s="111">
        <f t="shared" si="22"/>
        <v>0.125</v>
      </c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0.5</v>
      </c>
      <c r="B119" s="84" t="s">
        <v>33</v>
      </c>
      <c r="C119" s="85" t="s">
        <v>177</v>
      </c>
      <c r="D119" s="22">
        <v>1500.0</v>
      </c>
      <c r="E119" s="15">
        <f t="shared" si="19"/>
        <v>750</v>
      </c>
      <c r="F119" s="16"/>
      <c r="G119" s="25"/>
      <c r="H119" s="37"/>
      <c r="I119" s="22">
        <v>1000.0</v>
      </c>
      <c r="J119" s="16">
        <f t="shared" si="20"/>
        <v>500</v>
      </c>
      <c r="K119" s="16">
        <f t="shared" si="21"/>
        <v>250</v>
      </c>
      <c r="L119" s="36">
        <f t="shared" si="22"/>
        <v>0.3333333333</v>
      </c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13"/>
      <c r="B120" s="12"/>
      <c r="C120" s="14"/>
      <c r="D120" s="15"/>
      <c r="E120" s="16"/>
      <c r="F120" s="16"/>
      <c r="H120" s="25"/>
      <c r="I120" s="16"/>
      <c r="J120" s="16"/>
      <c r="K120" s="16"/>
      <c r="L120" s="36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3"/>
      <c r="B121" s="12"/>
      <c r="C121" s="14"/>
      <c r="D121" s="15"/>
      <c r="E121" s="16">
        <f>SUM(E90:E120)</f>
        <v>450450</v>
      </c>
      <c r="F121" s="16"/>
      <c r="G121" s="25"/>
      <c r="H121" s="25"/>
      <c r="I121" s="16"/>
      <c r="J121" s="16"/>
      <c r="K121" s="16">
        <f>SUM(K90:K119)</f>
        <v>111505.7754</v>
      </c>
      <c r="L121" s="110">
        <f>K121/E121</f>
        <v>0.2475430689</v>
      </c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52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52"/>
      <c r="S123" s="3"/>
      <c r="T123" s="3"/>
      <c r="U123" s="3"/>
      <c r="V123" s="3"/>
      <c r="W123" s="3"/>
      <c r="X123" s="3"/>
      <c r="Y123" s="3"/>
      <c r="Z123" s="3"/>
    </row>
    <row r="124">
      <c r="A124" s="89" t="s">
        <v>108</v>
      </c>
      <c r="B124" s="24"/>
      <c r="C124" s="24"/>
      <c r="D124" s="81" t="s">
        <v>296</v>
      </c>
      <c r="E124" s="82">
        <v>46070.0</v>
      </c>
      <c r="F124" s="33" t="s">
        <v>13</v>
      </c>
      <c r="G124" s="25"/>
      <c r="H124" s="25"/>
      <c r="I124" s="16"/>
      <c r="J124" s="16"/>
      <c r="K124" s="16"/>
      <c r="L124" s="34"/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B125" s="25"/>
      <c r="C125" s="35"/>
      <c r="D125" s="25"/>
      <c r="E125" s="25"/>
      <c r="F125" s="25"/>
      <c r="G125" s="25"/>
      <c r="H125" s="25"/>
      <c r="I125" s="16"/>
      <c r="J125" s="16"/>
      <c r="K125" s="16"/>
      <c r="L125" s="34"/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5" t="s">
        <v>4</v>
      </c>
      <c r="B126" s="10" t="s">
        <v>5</v>
      </c>
      <c r="C126" s="11" t="s">
        <v>6</v>
      </c>
      <c r="D126" s="12" t="s">
        <v>7</v>
      </c>
      <c r="E126" s="10" t="s">
        <v>8</v>
      </c>
      <c r="F126" s="12"/>
      <c r="G126" s="25"/>
      <c r="H126" s="25"/>
      <c r="I126" s="12" t="s">
        <v>7</v>
      </c>
      <c r="J126" s="12" t="s">
        <v>8</v>
      </c>
      <c r="K126" s="12" t="s">
        <v>10</v>
      </c>
      <c r="L126" s="34"/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>
        <v>1.0</v>
      </c>
      <c r="B127" s="84" t="s">
        <v>38</v>
      </c>
      <c r="C127" s="85" t="s">
        <v>67</v>
      </c>
      <c r="D127" s="22">
        <v>13000.0</v>
      </c>
      <c r="E127" s="15">
        <f t="shared" ref="E127:E144" si="23">A127*D127</f>
        <v>13000</v>
      </c>
      <c r="F127" s="16"/>
      <c r="G127" s="25"/>
      <c r="H127" s="37"/>
      <c r="I127" s="87">
        <v>8000.0</v>
      </c>
      <c r="J127" s="16">
        <f t="shared" ref="J127:J144" si="24">I127*A127</f>
        <v>8000</v>
      </c>
      <c r="K127" s="16">
        <f t="shared" ref="K127:K144" si="25">E127-J127</f>
        <v>5000</v>
      </c>
      <c r="L127" s="36">
        <f t="shared" ref="L127:L144" si="26">K127/E127</f>
        <v>0.3846153846</v>
      </c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>
        <v>6.0</v>
      </c>
      <c r="B128" s="84" t="s">
        <v>33</v>
      </c>
      <c r="C128" s="85" t="s">
        <v>24</v>
      </c>
      <c r="D128" s="22">
        <v>4500.0</v>
      </c>
      <c r="E128" s="15">
        <f t="shared" si="23"/>
        <v>27000</v>
      </c>
      <c r="F128" s="16"/>
      <c r="G128" s="25"/>
      <c r="H128" s="37"/>
      <c r="I128" s="87">
        <f>26000/8</f>
        <v>3250</v>
      </c>
      <c r="J128" s="16">
        <f t="shared" si="24"/>
        <v>19500</v>
      </c>
      <c r="K128" s="16">
        <f t="shared" si="25"/>
        <v>7500</v>
      </c>
      <c r="L128" s="36">
        <f t="shared" si="26"/>
        <v>0.2777777778</v>
      </c>
      <c r="M128" s="2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83">
        <v>4.0</v>
      </c>
      <c r="B129" s="84" t="s">
        <v>33</v>
      </c>
      <c r="C129" s="85" t="s">
        <v>26</v>
      </c>
      <c r="D129" s="22">
        <v>4000.0</v>
      </c>
      <c r="E129" s="15">
        <f t="shared" si="23"/>
        <v>16000</v>
      </c>
      <c r="F129" s="16"/>
      <c r="G129" s="25"/>
      <c r="H129" s="37"/>
      <c r="I129" s="87">
        <f>20000/7</f>
        <v>2857.142857</v>
      </c>
      <c r="J129" s="16">
        <f t="shared" si="24"/>
        <v>11428.57143</v>
      </c>
      <c r="K129" s="16">
        <f t="shared" si="25"/>
        <v>4571.428571</v>
      </c>
      <c r="L129" s="36">
        <f t="shared" si="26"/>
        <v>0.2857142857</v>
      </c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83">
        <v>4.0</v>
      </c>
      <c r="B130" s="84" t="s">
        <v>33</v>
      </c>
      <c r="C130" s="85" t="s">
        <v>25</v>
      </c>
      <c r="D130" s="22">
        <v>3000.0</v>
      </c>
      <c r="E130" s="15">
        <f t="shared" si="23"/>
        <v>12000</v>
      </c>
      <c r="F130" s="16"/>
      <c r="G130" s="25"/>
      <c r="H130" s="37"/>
      <c r="I130" s="87">
        <f>12000/7</f>
        <v>1714.285714</v>
      </c>
      <c r="J130" s="16">
        <f t="shared" si="24"/>
        <v>6857.142857</v>
      </c>
      <c r="K130" s="16">
        <f t="shared" si="25"/>
        <v>5142.857143</v>
      </c>
      <c r="L130" s="36">
        <f t="shared" si="26"/>
        <v>0.4285714286</v>
      </c>
      <c r="M130" s="2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83">
        <v>2.0</v>
      </c>
      <c r="B131" s="84" t="s">
        <v>33</v>
      </c>
      <c r="C131" s="85" t="s">
        <v>22</v>
      </c>
      <c r="D131" s="22">
        <v>1500.0</v>
      </c>
      <c r="E131" s="15">
        <f t="shared" si="23"/>
        <v>3000</v>
      </c>
      <c r="F131" s="16"/>
      <c r="G131" s="25"/>
      <c r="H131" s="98" t="s">
        <v>274</v>
      </c>
      <c r="I131" s="87">
        <v>0.0</v>
      </c>
      <c r="J131" s="16">
        <f t="shared" si="24"/>
        <v>0</v>
      </c>
      <c r="K131" s="16">
        <f t="shared" si="25"/>
        <v>3000</v>
      </c>
      <c r="L131" s="36">
        <f t="shared" si="26"/>
        <v>1</v>
      </c>
      <c r="M131" s="2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83">
        <v>2.0</v>
      </c>
      <c r="B132" s="84" t="s">
        <v>33</v>
      </c>
      <c r="C132" s="85" t="s">
        <v>23</v>
      </c>
      <c r="D132" s="22">
        <v>1800.0</v>
      </c>
      <c r="E132" s="15">
        <f t="shared" si="23"/>
        <v>3600</v>
      </c>
      <c r="F132" s="16"/>
      <c r="G132" s="25"/>
      <c r="H132" s="37"/>
      <c r="I132" s="87">
        <f>7000/8</f>
        <v>875</v>
      </c>
      <c r="J132" s="16">
        <f t="shared" si="24"/>
        <v>1750</v>
      </c>
      <c r="K132" s="16">
        <f t="shared" si="25"/>
        <v>1850</v>
      </c>
      <c r="L132" s="36">
        <f t="shared" si="26"/>
        <v>0.5138888889</v>
      </c>
      <c r="M132" s="2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83">
        <v>5.0</v>
      </c>
      <c r="B133" s="84" t="s">
        <v>33</v>
      </c>
      <c r="C133" s="85" t="s">
        <v>47</v>
      </c>
      <c r="D133" s="22">
        <v>1500.0</v>
      </c>
      <c r="E133" s="15">
        <f t="shared" si="23"/>
        <v>7500</v>
      </c>
      <c r="F133" s="16"/>
      <c r="G133" s="25"/>
      <c r="H133" s="37"/>
      <c r="I133" s="22">
        <f>8000/9</f>
        <v>888.8888889</v>
      </c>
      <c r="J133" s="16">
        <f t="shared" si="24"/>
        <v>4444.444444</v>
      </c>
      <c r="K133" s="16">
        <f t="shared" si="25"/>
        <v>3055.555556</v>
      </c>
      <c r="L133" s="36">
        <f t="shared" si="26"/>
        <v>0.4074074074</v>
      </c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83">
        <v>1.0</v>
      </c>
      <c r="B134" s="84" t="s">
        <v>18</v>
      </c>
      <c r="C134" s="85" t="s">
        <v>65</v>
      </c>
      <c r="D134" s="22">
        <v>9000.0</v>
      </c>
      <c r="E134" s="15">
        <f t="shared" si="23"/>
        <v>9000</v>
      </c>
      <c r="F134" s="16"/>
      <c r="G134" s="25"/>
      <c r="H134" s="37"/>
      <c r="I134" s="87">
        <v>4000.0</v>
      </c>
      <c r="J134" s="16">
        <f t="shared" si="24"/>
        <v>4000</v>
      </c>
      <c r="K134" s="16">
        <f t="shared" si="25"/>
        <v>5000</v>
      </c>
      <c r="L134" s="36">
        <f t="shared" si="26"/>
        <v>0.5555555556</v>
      </c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3">
        <v>1.0</v>
      </c>
      <c r="B135" s="84" t="s">
        <v>18</v>
      </c>
      <c r="C135" s="85" t="s">
        <v>195</v>
      </c>
      <c r="D135" s="22">
        <v>13000.0</v>
      </c>
      <c r="E135" s="15">
        <f t="shared" si="23"/>
        <v>13000</v>
      </c>
      <c r="F135" s="16"/>
      <c r="G135" s="25"/>
      <c r="H135" s="37"/>
      <c r="I135" s="87">
        <v>11000.0</v>
      </c>
      <c r="J135" s="16">
        <f t="shared" si="24"/>
        <v>11000</v>
      </c>
      <c r="K135" s="16">
        <f t="shared" si="25"/>
        <v>2000</v>
      </c>
      <c r="L135" s="111">
        <f t="shared" si="26"/>
        <v>0.1538461538</v>
      </c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83">
        <v>1.0</v>
      </c>
      <c r="B136" s="84" t="s">
        <v>18</v>
      </c>
      <c r="C136" s="85" t="s">
        <v>194</v>
      </c>
      <c r="D136" s="22">
        <v>14000.0</v>
      </c>
      <c r="E136" s="15">
        <f t="shared" si="23"/>
        <v>14000</v>
      </c>
      <c r="F136" s="16"/>
      <c r="G136" s="25"/>
      <c r="H136" s="37"/>
      <c r="I136" s="87">
        <v>8000.0</v>
      </c>
      <c r="J136" s="16">
        <f t="shared" si="24"/>
        <v>8000</v>
      </c>
      <c r="K136" s="16">
        <f t="shared" si="25"/>
        <v>6000</v>
      </c>
      <c r="L136" s="36">
        <f t="shared" si="26"/>
        <v>0.4285714286</v>
      </c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83">
        <v>4.0</v>
      </c>
      <c r="B137" s="84" t="s">
        <v>38</v>
      </c>
      <c r="C137" s="85" t="s">
        <v>179</v>
      </c>
      <c r="D137" s="22">
        <v>22000.0</v>
      </c>
      <c r="E137" s="15">
        <f t="shared" si="23"/>
        <v>88000</v>
      </c>
      <c r="F137" s="16"/>
      <c r="G137" s="25"/>
      <c r="H137" s="37"/>
      <c r="I137" s="87">
        <v>18500.0</v>
      </c>
      <c r="J137" s="16">
        <f t="shared" si="24"/>
        <v>74000</v>
      </c>
      <c r="K137" s="16">
        <f t="shared" si="25"/>
        <v>14000</v>
      </c>
      <c r="L137" s="111">
        <f t="shared" si="26"/>
        <v>0.1590909091</v>
      </c>
      <c r="M137" s="2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83">
        <v>6.0</v>
      </c>
      <c r="B138" s="84" t="s">
        <v>33</v>
      </c>
      <c r="C138" s="85" t="s">
        <v>64</v>
      </c>
      <c r="D138" s="22">
        <v>2200.0</v>
      </c>
      <c r="E138" s="15">
        <f t="shared" si="23"/>
        <v>13200</v>
      </c>
      <c r="F138" s="16"/>
      <c r="G138" s="25"/>
      <c r="H138" s="37"/>
      <c r="I138" s="87">
        <f>24000/15</f>
        <v>1600</v>
      </c>
      <c r="J138" s="16">
        <f t="shared" si="24"/>
        <v>9600</v>
      </c>
      <c r="K138" s="16">
        <f t="shared" si="25"/>
        <v>3600</v>
      </c>
      <c r="L138" s="36">
        <f t="shared" si="26"/>
        <v>0.2727272727</v>
      </c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83">
        <v>1.0</v>
      </c>
      <c r="B139" s="84" t="s">
        <v>18</v>
      </c>
      <c r="C139" s="85" t="s">
        <v>20</v>
      </c>
      <c r="D139" s="22">
        <v>28000.0</v>
      </c>
      <c r="E139" s="15">
        <f t="shared" si="23"/>
        <v>28000</v>
      </c>
      <c r="F139" s="16"/>
      <c r="G139" s="25"/>
      <c r="H139" s="37"/>
      <c r="I139" s="87">
        <v>16000.0</v>
      </c>
      <c r="J139" s="16">
        <f t="shared" si="24"/>
        <v>16000</v>
      </c>
      <c r="K139" s="16">
        <f t="shared" si="25"/>
        <v>12000</v>
      </c>
      <c r="L139" s="36">
        <f t="shared" si="26"/>
        <v>0.4285714286</v>
      </c>
      <c r="M139" s="2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83">
        <v>1.0</v>
      </c>
      <c r="B140" s="84" t="s">
        <v>50</v>
      </c>
      <c r="C140" s="85" t="s">
        <v>235</v>
      </c>
      <c r="D140" s="22">
        <v>3500.0</v>
      </c>
      <c r="E140" s="15">
        <f t="shared" si="23"/>
        <v>3500</v>
      </c>
      <c r="F140" s="16"/>
      <c r="G140" s="25"/>
      <c r="H140" s="37"/>
      <c r="I140" s="87">
        <v>2500.0</v>
      </c>
      <c r="J140" s="16">
        <f t="shared" si="24"/>
        <v>2500</v>
      </c>
      <c r="K140" s="16">
        <f t="shared" si="25"/>
        <v>1000</v>
      </c>
      <c r="L140" s="36">
        <f t="shared" si="26"/>
        <v>0.2857142857</v>
      </c>
      <c r="M140" s="2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83">
        <v>2.0</v>
      </c>
      <c r="B141" s="84" t="s">
        <v>33</v>
      </c>
      <c r="C141" s="85" t="s">
        <v>97</v>
      </c>
      <c r="D141" s="22">
        <v>21000.0</v>
      </c>
      <c r="E141" s="15">
        <f t="shared" si="23"/>
        <v>42000</v>
      </c>
      <c r="F141" s="16"/>
      <c r="G141" s="25"/>
      <c r="H141" s="37"/>
      <c r="I141" s="87">
        <v>18000.0</v>
      </c>
      <c r="J141" s="16">
        <f t="shared" si="24"/>
        <v>36000</v>
      </c>
      <c r="K141" s="16">
        <f t="shared" si="25"/>
        <v>6000</v>
      </c>
      <c r="L141" s="111">
        <f t="shared" si="26"/>
        <v>0.1428571429</v>
      </c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83">
        <v>1.0</v>
      </c>
      <c r="B142" s="84" t="s">
        <v>33</v>
      </c>
      <c r="C142" s="85" t="s">
        <v>183</v>
      </c>
      <c r="D142" s="22">
        <v>23000.0</v>
      </c>
      <c r="E142" s="15">
        <f t="shared" si="23"/>
        <v>23000</v>
      </c>
      <c r="F142" s="16"/>
      <c r="G142" s="25"/>
      <c r="H142" s="37"/>
      <c r="I142" s="87">
        <v>20000.0</v>
      </c>
      <c r="J142" s="16">
        <f t="shared" si="24"/>
        <v>20000</v>
      </c>
      <c r="K142" s="16">
        <f t="shared" si="25"/>
        <v>3000</v>
      </c>
      <c r="L142" s="111">
        <f t="shared" si="26"/>
        <v>0.1304347826</v>
      </c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83">
        <v>1.0</v>
      </c>
      <c r="B143" s="84" t="s">
        <v>18</v>
      </c>
      <c r="C143" s="85" t="s">
        <v>72</v>
      </c>
      <c r="D143" s="22">
        <v>32000.0</v>
      </c>
      <c r="E143" s="15">
        <f t="shared" si="23"/>
        <v>32000</v>
      </c>
      <c r="F143" s="16"/>
      <c r="G143" s="25"/>
      <c r="H143" s="37"/>
      <c r="I143" s="87">
        <v>28000.0</v>
      </c>
      <c r="J143" s="16">
        <f t="shared" si="24"/>
        <v>28000</v>
      </c>
      <c r="K143" s="16">
        <f t="shared" si="25"/>
        <v>4000</v>
      </c>
      <c r="L143" s="111">
        <f t="shared" si="26"/>
        <v>0.125</v>
      </c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83">
        <v>1.5</v>
      </c>
      <c r="B144" s="84" t="s">
        <v>33</v>
      </c>
      <c r="C144" s="85" t="s">
        <v>86</v>
      </c>
      <c r="D144" s="22">
        <v>4000.0</v>
      </c>
      <c r="E144" s="15">
        <f t="shared" si="23"/>
        <v>6000</v>
      </c>
      <c r="F144" s="16"/>
      <c r="G144" s="25"/>
      <c r="H144" s="37"/>
      <c r="I144" s="87">
        <v>3000.0</v>
      </c>
      <c r="J144" s="16">
        <f t="shared" si="24"/>
        <v>4500</v>
      </c>
      <c r="K144" s="16">
        <f t="shared" si="25"/>
        <v>1500</v>
      </c>
      <c r="L144" s="36">
        <f t="shared" si="26"/>
        <v>0.25</v>
      </c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13"/>
      <c r="B145" s="12"/>
      <c r="C145" s="14"/>
      <c r="D145" s="15"/>
      <c r="E145" s="16"/>
      <c r="F145" s="16"/>
      <c r="H145" s="25"/>
      <c r="I145" s="16"/>
      <c r="J145" s="16"/>
      <c r="K145" s="16"/>
      <c r="L145" s="36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3"/>
      <c r="B146" s="12"/>
      <c r="C146" s="14"/>
      <c r="D146" s="15"/>
      <c r="E146" s="16">
        <f>SUM(E127:E145)</f>
        <v>353800</v>
      </c>
      <c r="F146" s="16"/>
      <c r="G146" s="25"/>
      <c r="H146" s="25"/>
      <c r="I146" s="16"/>
      <c r="J146" s="16"/>
      <c r="K146" s="16">
        <f>SUM(K127:K144)</f>
        <v>88219.84127</v>
      </c>
      <c r="L146" s="110">
        <f>K146/E146</f>
        <v>0.2493494666</v>
      </c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52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6"/>
      <c r="M148" s="2"/>
      <c r="N148" s="2"/>
      <c r="O148" s="2"/>
      <c r="P148" s="2"/>
      <c r="Q148" s="3"/>
      <c r="R148" s="52"/>
      <c r="S148" s="3"/>
      <c r="T148" s="3"/>
      <c r="U148" s="3"/>
      <c r="V148" s="3"/>
      <c r="W148" s="3"/>
      <c r="X148" s="3"/>
      <c r="Y148" s="3"/>
      <c r="Z148" s="3"/>
    </row>
    <row r="149">
      <c r="A149" s="89" t="s">
        <v>80</v>
      </c>
      <c r="B149" s="24"/>
      <c r="C149" s="24"/>
      <c r="D149" s="81" t="s">
        <v>296</v>
      </c>
      <c r="E149" s="82">
        <v>46070.0</v>
      </c>
      <c r="F149" s="33" t="s">
        <v>13</v>
      </c>
      <c r="G149" s="25"/>
      <c r="H149" s="25"/>
      <c r="I149" s="16"/>
      <c r="J149" s="16"/>
      <c r="K149" s="16"/>
      <c r="L149" s="36"/>
      <c r="M149" s="2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B150" s="25"/>
      <c r="C150" s="35"/>
      <c r="D150" s="25"/>
      <c r="E150" s="25"/>
      <c r="F150" s="25"/>
      <c r="G150" s="25"/>
      <c r="H150" s="25"/>
      <c r="I150" s="16"/>
      <c r="J150" s="16"/>
      <c r="K150" s="16"/>
      <c r="L150" s="36"/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5" t="s">
        <v>4</v>
      </c>
      <c r="B151" s="10" t="s">
        <v>5</v>
      </c>
      <c r="C151" s="11" t="s">
        <v>6</v>
      </c>
      <c r="D151" s="12" t="s">
        <v>7</v>
      </c>
      <c r="E151" s="10" t="s">
        <v>8</v>
      </c>
      <c r="F151" s="12"/>
      <c r="G151" s="25"/>
      <c r="H151" s="25"/>
      <c r="I151" s="12" t="s">
        <v>7</v>
      </c>
      <c r="J151" s="12" t="s">
        <v>8</v>
      </c>
      <c r="K151" s="12" t="s">
        <v>10</v>
      </c>
      <c r="L151" s="36"/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83">
        <v>1.0</v>
      </c>
      <c r="B152" s="84" t="s">
        <v>38</v>
      </c>
      <c r="C152" s="85" t="s">
        <v>45</v>
      </c>
      <c r="D152" s="22">
        <v>13000.0</v>
      </c>
      <c r="E152" s="15">
        <f t="shared" ref="E152:E168" si="27">A152*D152</f>
        <v>13000</v>
      </c>
      <c r="F152" s="16"/>
      <c r="G152" s="25"/>
      <c r="H152" s="37"/>
      <c r="I152" s="87">
        <v>8000.0</v>
      </c>
      <c r="J152" s="16">
        <f t="shared" ref="J152:J168" si="28">I152*A152</f>
        <v>8000</v>
      </c>
      <c r="K152" s="16">
        <f t="shared" ref="K152:K168" si="29">E152-J152</f>
        <v>5000</v>
      </c>
      <c r="L152" s="36">
        <f t="shared" ref="L152:L168" si="30">K152/E152</f>
        <v>0.3846153846</v>
      </c>
      <c r="M152" s="2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83">
        <v>1.0</v>
      </c>
      <c r="B153" s="84" t="s">
        <v>38</v>
      </c>
      <c r="C153" s="85" t="s">
        <v>226</v>
      </c>
      <c r="D153" s="22">
        <v>22000.0</v>
      </c>
      <c r="E153" s="15">
        <f t="shared" si="27"/>
        <v>22000</v>
      </c>
      <c r="F153" s="16"/>
      <c r="G153" s="25"/>
      <c r="H153" s="37"/>
      <c r="I153" s="87">
        <v>18500.0</v>
      </c>
      <c r="J153" s="16">
        <f t="shared" si="28"/>
        <v>18500</v>
      </c>
      <c r="K153" s="16">
        <f t="shared" si="29"/>
        <v>3500</v>
      </c>
      <c r="L153" s="111">
        <f t="shared" si="30"/>
        <v>0.1590909091</v>
      </c>
      <c r="M153" s="2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83">
        <v>1.0</v>
      </c>
      <c r="B154" s="84" t="s">
        <v>38</v>
      </c>
      <c r="C154" s="85" t="s">
        <v>67</v>
      </c>
      <c r="D154" s="22">
        <v>12000.0</v>
      </c>
      <c r="E154" s="15">
        <f t="shared" si="27"/>
        <v>12000</v>
      </c>
      <c r="F154" s="16"/>
      <c r="G154" s="25"/>
      <c r="H154" s="37"/>
      <c r="I154" s="87">
        <v>8000.0</v>
      </c>
      <c r="J154" s="16">
        <f t="shared" si="28"/>
        <v>8000</v>
      </c>
      <c r="K154" s="16">
        <f t="shared" si="29"/>
        <v>4000</v>
      </c>
      <c r="L154" s="36">
        <f t="shared" si="30"/>
        <v>0.3333333333</v>
      </c>
      <c r="M154" s="2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83">
        <v>1.0</v>
      </c>
      <c r="B155" s="84" t="s">
        <v>38</v>
      </c>
      <c r="C155" s="85" t="s">
        <v>47</v>
      </c>
      <c r="D155" s="22">
        <v>12000.0</v>
      </c>
      <c r="E155" s="15">
        <f t="shared" si="27"/>
        <v>12000</v>
      </c>
      <c r="F155" s="16"/>
      <c r="G155" s="25"/>
      <c r="H155" s="37"/>
      <c r="I155" s="87">
        <v>8000.0</v>
      </c>
      <c r="J155" s="16">
        <f t="shared" si="28"/>
        <v>8000</v>
      </c>
      <c r="K155" s="16">
        <f t="shared" si="29"/>
        <v>4000</v>
      </c>
      <c r="L155" s="36">
        <f t="shared" si="30"/>
        <v>0.3333333333</v>
      </c>
      <c r="M155" s="2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83">
        <v>1.0</v>
      </c>
      <c r="B156" s="84" t="s">
        <v>38</v>
      </c>
      <c r="C156" s="85" t="s">
        <v>180</v>
      </c>
      <c r="D156" s="22">
        <v>14000.0</v>
      </c>
      <c r="E156" s="15">
        <f t="shared" si="27"/>
        <v>14000</v>
      </c>
      <c r="F156" s="16"/>
      <c r="G156" s="25"/>
      <c r="H156" s="37"/>
      <c r="I156" s="87">
        <v>9000.0</v>
      </c>
      <c r="J156" s="16">
        <f t="shared" si="28"/>
        <v>9000</v>
      </c>
      <c r="K156" s="16">
        <f t="shared" si="29"/>
        <v>5000</v>
      </c>
      <c r="L156" s="36">
        <f t="shared" si="30"/>
        <v>0.3571428571</v>
      </c>
      <c r="M156" s="2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83">
        <v>3.0</v>
      </c>
      <c r="B157" s="84" t="s">
        <v>33</v>
      </c>
      <c r="C157" s="85" t="s">
        <v>192</v>
      </c>
      <c r="D157" s="22">
        <v>1200.0</v>
      </c>
      <c r="E157" s="15">
        <f t="shared" si="27"/>
        <v>3600</v>
      </c>
      <c r="F157" s="16"/>
      <c r="G157" s="25"/>
      <c r="H157" s="37"/>
      <c r="I157" s="87">
        <f>12000/17</f>
        <v>705.8823529</v>
      </c>
      <c r="J157" s="16">
        <f t="shared" si="28"/>
        <v>2117.647059</v>
      </c>
      <c r="K157" s="16">
        <f t="shared" si="29"/>
        <v>1482.352941</v>
      </c>
      <c r="L157" s="36">
        <f t="shared" si="30"/>
        <v>0.4117647059</v>
      </c>
      <c r="M157" s="2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83">
        <v>3.0</v>
      </c>
      <c r="B158" s="84" t="s">
        <v>33</v>
      </c>
      <c r="C158" s="85" t="s">
        <v>23</v>
      </c>
      <c r="D158" s="22">
        <v>1800.0</v>
      </c>
      <c r="E158" s="15">
        <f t="shared" si="27"/>
        <v>5400</v>
      </c>
      <c r="F158" s="16"/>
      <c r="G158" s="25"/>
      <c r="H158" s="37"/>
      <c r="I158" s="22">
        <f>7000/8</f>
        <v>875</v>
      </c>
      <c r="J158" s="16">
        <f t="shared" si="28"/>
        <v>2625</v>
      </c>
      <c r="K158" s="16">
        <f t="shared" si="29"/>
        <v>2775</v>
      </c>
      <c r="L158" s="36">
        <f t="shared" si="30"/>
        <v>0.5138888889</v>
      </c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83">
        <v>4.0</v>
      </c>
      <c r="B159" s="84" t="s">
        <v>33</v>
      </c>
      <c r="C159" s="85" t="s">
        <v>22</v>
      </c>
      <c r="D159" s="22">
        <v>1200.0</v>
      </c>
      <c r="E159" s="15">
        <f t="shared" si="27"/>
        <v>4800</v>
      </c>
      <c r="F159" s="16"/>
      <c r="G159" s="25"/>
      <c r="H159" s="37"/>
      <c r="I159" s="87">
        <f>7000/15</f>
        <v>466.6666667</v>
      </c>
      <c r="J159" s="16">
        <f t="shared" si="28"/>
        <v>1866.666667</v>
      </c>
      <c r="K159" s="16">
        <f t="shared" si="29"/>
        <v>2933.333333</v>
      </c>
      <c r="L159" s="36">
        <f t="shared" si="30"/>
        <v>0.6111111111</v>
      </c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83">
        <v>0.5</v>
      </c>
      <c r="B160" s="84" t="s">
        <v>33</v>
      </c>
      <c r="C160" s="85" t="s">
        <v>48</v>
      </c>
      <c r="D160" s="22">
        <v>3500.0</v>
      </c>
      <c r="E160" s="15">
        <f t="shared" si="27"/>
        <v>1750</v>
      </c>
      <c r="F160" s="16"/>
      <c r="G160" s="25"/>
      <c r="H160" s="98" t="s">
        <v>274</v>
      </c>
      <c r="I160" s="87"/>
      <c r="J160" s="16">
        <f t="shared" si="28"/>
        <v>0</v>
      </c>
      <c r="K160" s="16">
        <f t="shared" si="29"/>
        <v>1750</v>
      </c>
      <c r="L160" s="36">
        <f t="shared" si="30"/>
        <v>1</v>
      </c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83">
        <v>4.0</v>
      </c>
      <c r="B161" s="84" t="s">
        <v>33</v>
      </c>
      <c r="C161" s="85" t="s">
        <v>72</v>
      </c>
      <c r="D161" s="22">
        <v>2800.0</v>
      </c>
      <c r="E161" s="15">
        <f t="shared" si="27"/>
        <v>11200</v>
      </c>
      <c r="F161" s="16"/>
      <c r="G161" s="25"/>
      <c r="H161" s="37"/>
      <c r="I161" s="87">
        <f>28000/15</f>
        <v>1866.666667</v>
      </c>
      <c r="J161" s="16">
        <f t="shared" si="28"/>
        <v>7466.666667</v>
      </c>
      <c r="K161" s="16">
        <f t="shared" si="29"/>
        <v>3733.333333</v>
      </c>
      <c r="L161" s="36">
        <f t="shared" si="30"/>
        <v>0.3333333333</v>
      </c>
      <c r="M161" s="2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83">
        <v>1.0</v>
      </c>
      <c r="B162" s="84" t="s">
        <v>5</v>
      </c>
      <c r="C162" s="85" t="s">
        <v>98</v>
      </c>
      <c r="D162" s="22">
        <v>1800.0</v>
      </c>
      <c r="E162" s="15">
        <f t="shared" si="27"/>
        <v>1800</v>
      </c>
      <c r="F162" s="16"/>
      <c r="G162" s="25"/>
      <c r="H162" s="37"/>
      <c r="I162" s="87">
        <v>1000.0</v>
      </c>
      <c r="J162" s="16">
        <f t="shared" si="28"/>
        <v>1000</v>
      </c>
      <c r="K162" s="16">
        <f t="shared" si="29"/>
        <v>800</v>
      </c>
      <c r="L162" s="36">
        <f t="shared" si="30"/>
        <v>0.4444444444</v>
      </c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83">
        <v>1.0</v>
      </c>
      <c r="B163" s="84" t="s">
        <v>334</v>
      </c>
      <c r="C163" s="85" t="s">
        <v>99</v>
      </c>
      <c r="D163" s="22">
        <v>1800.0</v>
      </c>
      <c r="E163" s="15">
        <f t="shared" si="27"/>
        <v>1800</v>
      </c>
      <c r="F163" s="16"/>
      <c r="G163" s="25"/>
      <c r="H163" s="37"/>
      <c r="I163" s="87">
        <v>1000.0</v>
      </c>
      <c r="J163" s="16">
        <f t="shared" si="28"/>
        <v>1000</v>
      </c>
      <c r="K163" s="16">
        <f t="shared" si="29"/>
        <v>800</v>
      </c>
      <c r="L163" s="36">
        <f t="shared" si="30"/>
        <v>0.4444444444</v>
      </c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83">
        <v>2.0</v>
      </c>
      <c r="B164" s="84" t="s">
        <v>50</v>
      </c>
      <c r="C164" s="85" t="s">
        <v>65</v>
      </c>
      <c r="D164" s="22">
        <v>500.0</v>
      </c>
      <c r="E164" s="15">
        <f t="shared" si="27"/>
        <v>1000</v>
      </c>
      <c r="F164" s="16"/>
      <c r="G164" s="25"/>
      <c r="H164" s="37"/>
      <c r="I164" s="87">
        <f>4000/24</f>
        <v>166.6666667</v>
      </c>
      <c r="J164" s="16">
        <f t="shared" si="28"/>
        <v>333.3333333</v>
      </c>
      <c r="K164" s="16">
        <f t="shared" si="29"/>
        <v>666.6666667</v>
      </c>
      <c r="L164" s="36">
        <f t="shared" si="30"/>
        <v>0.6666666667</v>
      </c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83">
        <v>4.0</v>
      </c>
      <c r="B165" s="84" t="s">
        <v>33</v>
      </c>
      <c r="C165" s="85" t="s">
        <v>19</v>
      </c>
      <c r="D165" s="22">
        <v>2400.0</v>
      </c>
      <c r="E165" s="15">
        <f t="shared" si="27"/>
        <v>9600</v>
      </c>
      <c r="F165" s="16"/>
      <c r="G165" s="25"/>
      <c r="H165" s="37"/>
      <c r="I165" s="87">
        <f>28000/16</f>
        <v>1750</v>
      </c>
      <c r="J165" s="16">
        <f t="shared" si="28"/>
        <v>7000</v>
      </c>
      <c r="K165" s="16">
        <f t="shared" si="29"/>
        <v>2600</v>
      </c>
      <c r="L165" s="36">
        <f t="shared" si="30"/>
        <v>0.2708333333</v>
      </c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83">
        <v>3.0</v>
      </c>
      <c r="B166" s="84" t="s">
        <v>33</v>
      </c>
      <c r="C166" s="85" t="s">
        <v>24</v>
      </c>
      <c r="D166" s="22">
        <v>4000.0</v>
      </c>
      <c r="E166" s="15">
        <f t="shared" si="27"/>
        <v>12000</v>
      </c>
      <c r="F166" s="16"/>
      <c r="G166" s="25"/>
      <c r="H166" s="37"/>
      <c r="I166" s="87">
        <f>26000/8</f>
        <v>3250</v>
      </c>
      <c r="J166" s="16">
        <f t="shared" si="28"/>
        <v>9750</v>
      </c>
      <c r="K166" s="16">
        <f t="shared" si="29"/>
        <v>2250</v>
      </c>
      <c r="L166" s="111">
        <f t="shared" si="30"/>
        <v>0.1875</v>
      </c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83">
        <v>2.0</v>
      </c>
      <c r="B167" s="84" t="s">
        <v>33</v>
      </c>
      <c r="C167" s="85" t="s">
        <v>55</v>
      </c>
      <c r="D167" s="22">
        <v>2500.0</v>
      </c>
      <c r="E167" s="15">
        <f t="shared" si="27"/>
        <v>5000</v>
      </c>
      <c r="F167" s="16"/>
      <c r="G167" s="25"/>
      <c r="H167" s="37"/>
      <c r="I167" s="87">
        <f>28000/18</f>
        <v>1555.555556</v>
      </c>
      <c r="J167" s="16">
        <f t="shared" si="28"/>
        <v>3111.111111</v>
      </c>
      <c r="K167" s="16">
        <f t="shared" si="29"/>
        <v>1888.888889</v>
      </c>
      <c r="L167" s="36">
        <f t="shared" si="30"/>
        <v>0.3777777778</v>
      </c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83">
        <v>0.5</v>
      </c>
      <c r="B168" s="84" t="s">
        <v>33</v>
      </c>
      <c r="C168" s="85" t="s">
        <v>20</v>
      </c>
      <c r="D168" s="22">
        <v>3000.0</v>
      </c>
      <c r="E168" s="15">
        <f t="shared" si="27"/>
        <v>1500</v>
      </c>
      <c r="F168" s="16"/>
      <c r="G168" s="25"/>
      <c r="H168" s="37"/>
      <c r="I168" s="22">
        <f>16000/8</f>
        <v>2000</v>
      </c>
      <c r="J168" s="16">
        <f t="shared" si="28"/>
        <v>1000</v>
      </c>
      <c r="K168" s="16">
        <f t="shared" si="29"/>
        <v>500</v>
      </c>
      <c r="L168" s="36">
        <f t="shared" si="30"/>
        <v>0.3333333333</v>
      </c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13"/>
      <c r="B169" s="12"/>
      <c r="C169" s="14"/>
      <c r="D169" s="15"/>
      <c r="E169" s="16"/>
      <c r="F169" s="16"/>
      <c r="H169" s="25"/>
      <c r="I169" s="16"/>
      <c r="J169" s="16"/>
      <c r="K169" s="16"/>
      <c r="L169" s="36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13"/>
      <c r="B170" s="12"/>
      <c r="C170" s="14"/>
      <c r="D170" s="15"/>
      <c r="E170" s="16">
        <f>SUM(E152:E169)</f>
        <v>132450</v>
      </c>
      <c r="F170" s="16"/>
      <c r="G170" s="25"/>
      <c r="H170" s="25"/>
      <c r="I170" s="16"/>
      <c r="J170" s="16"/>
      <c r="K170" s="16">
        <f>SUM(K152:K168)</f>
        <v>43679.57516</v>
      </c>
      <c r="L170" s="110">
        <f>K170/E170</f>
        <v>0.3297816169</v>
      </c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52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52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52"/>
      <c r="S173" s="3"/>
      <c r="T173" s="3"/>
      <c r="U173" s="3"/>
      <c r="V173" s="3"/>
      <c r="W173" s="3"/>
      <c r="X173" s="3"/>
      <c r="Y173" s="3"/>
      <c r="Z173" s="3"/>
    </row>
    <row r="174">
      <c r="A174" s="89" t="s">
        <v>83</v>
      </c>
      <c r="B174" s="24"/>
      <c r="C174" s="24"/>
      <c r="D174" s="81" t="s">
        <v>265</v>
      </c>
      <c r="E174" s="82">
        <v>46070.0</v>
      </c>
      <c r="F174" s="33" t="s">
        <v>13</v>
      </c>
      <c r="G174" s="25"/>
      <c r="H174" s="25"/>
      <c r="I174" s="16"/>
      <c r="J174" s="16"/>
      <c r="K174" s="16"/>
      <c r="L174" s="34"/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B175" s="25"/>
      <c r="C175" s="35"/>
      <c r="D175" s="25"/>
      <c r="E175" s="25"/>
      <c r="F175" s="25"/>
      <c r="G175" s="25"/>
      <c r="H175" s="25"/>
      <c r="I175" s="16"/>
      <c r="J175" s="16"/>
      <c r="K175" s="16"/>
      <c r="L175" s="34"/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5" t="s">
        <v>4</v>
      </c>
      <c r="B176" s="10" t="s">
        <v>5</v>
      </c>
      <c r="C176" s="11" t="s">
        <v>6</v>
      </c>
      <c r="D176" s="12" t="s">
        <v>7</v>
      </c>
      <c r="E176" s="10" t="s">
        <v>8</v>
      </c>
      <c r="F176" s="12"/>
      <c r="G176" s="25"/>
      <c r="H176" s="25"/>
      <c r="I176" s="12" t="s">
        <v>7</v>
      </c>
      <c r="J176" s="12" t="s">
        <v>8</v>
      </c>
      <c r="K176" s="12" t="s">
        <v>10</v>
      </c>
      <c r="L176" s="34"/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83">
        <v>1.0</v>
      </c>
      <c r="B177" s="84" t="s">
        <v>18</v>
      </c>
      <c r="C177" s="85" t="s">
        <v>103</v>
      </c>
      <c r="D177" s="22">
        <v>16000.0</v>
      </c>
      <c r="E177" s="15">
        <f t="shared" ref="E177:E185" si="31">A177*D177</f>
        <v>16000</v>
      </c>
      <c r="F177" s="16"/>
      <c r="G177" s="25"/>
      <c r="H177" s="37"/>
      <c r="I177" s="87">
        <v>13000.0</v>
      </c>
      <c r="J177" s="16">
        <f t="shared" ref="J177:J185" si="32">I177*A177</f>
        <v>13000</v>
      </c>
      <c r="K177" s="16">
        <f t="shared" ref="K177:K185" si="33">E177-J177</f>
        <v>3000</v>
      </c>
      <c r="L177" s="111">
        <f t="shared" ref="L177:L185" si="34">K177/E177</f>
        <v>0.1875</v>
      </c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83">
        <v>2.0</v>
      </c>
      <c r="B178" s="84" t="s">
        <v>33</v>
      </c>
      <c r="C178" s="85" t="s">
        <v>57</v>
      </c>
      <c r="D178" s="22">
        <v>6500.0</v>
      </c>
      <c r="E178" s="15">
        <f t="shared" si="31"/>
        <v>13000</v>
      </c>
      <c r="F178" s="16"/>
      <c r="G178" s="25"/>
      <c r="H178" s="37"/>
      <c r="I178" s="87">
        <f>20000/5</f>
        <v>4000</v>
      </c>
      <c r="J178" s="16">
        <f t="shared" si="32"/>
        <v>8000</v>
      </c>
      <c r="K178" s="16">
        <f t="shared" si="33"/>
        <v>5000</v>
      </c>
      <c r="L178" s="36">
        <f t="shared" si="34"/>
        <v>0.3846153846</v>
      </c>
      <c r="M178" s="2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83">
        <v>4.0</v>
      </c>
      <c r="B179" s="84" t="s">
        <v>33</v>
      </c>
      <c r="C179" s="85" t="s">
        <v>86</v>
      </c>
      <c r="D179" s="22">
        <v>4000.0</v>
      </c>
      <c r="E179" s="15">
        <f t="shared" si="31"/>
        <v>16000</v>
      </c>
      <c r="F179" s="16"/>
      <c r="G179" s="25"/>
      <c r="H179" s="37"/>
      <c r="I179" s="87">
        <v>3000.0</v>
      </c>
      <c r="J179" s="16">
        <f t="shared" si="32"/>
        <v>12000</v>
      </c>
      <c r="K179" s="16">
        <f t="shared" si="33"/>
        <v>4000</v>
      </c>
      <c r="L179" s="36">
        <f t="shared" si="34"/>
        <v>0.25</v>
      </c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83">
        <v>3.0</v>
      </c>
      <c r="B180" s="84" t="s">
        <v>18</v>
      </c>
      <c r="C180" s="85" t="s">
        <v>52</v>
      </c>
      <c r="D180" s="22">
        <v>54000.0</v>
      </c>
      <c r="E180" s="15">
        <f t="shared" si="31"/>
        <v>162000</v>
      </c>
      <c r="F180" s="16"/>
      <c r="G180" s="25"/>
      <c r="H180" s="37"/>
      <c r="I180" s="87">
        <v>48000.0</v>
      </c>
      <c r="J180" s="16">
        <f t="shared" si="32"/>
        <v>144000</v>
      </c>
      <c r="K180" s="16">
        <f t="shared" si="33"/>
        <v>18000</v>
      </c>
      <c r="L180" s="111">
        <f t="shared" si="34"/>
        <v>0.1111111111</v>
      </c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83">
        <v>1.0</v>
      </c>
      <c r="B181" s="84" t="s">
        <v>50</v>
      </c>
      <c r="C181" s="85" t="s">
        <v>205</v>
      </c>
      <c r="D181" s="22">
        <v>3000.0</v>
      </c>
      <c r="E181" s="15">
        <f t="shared" si="31"/>
        <v>3000</v>
      </c>
      <c r="F181" s="16"/>
      <c r="G181" s="25"/>
      <c r="H181" s="37"/>
      <c r="I181" s="87">
        <v>2000.0</v>
      </c>
      <c r="J181" s="16">
        <f t="shared" si="32"/>
        <v>2000</v>
      </c>
      <c r="K181" s="16">
        <f t="shared" si="33"/>
        <v>1000</v>
      </c>
      <c r="L181" s="36">
        <f t="shared" si="34"/>
        <v>0.3333333333</v>
      </c>
      <c r="M181" s="2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83">
        <v>1.0</v>
      </c>
      <c r="B182" s="84" t="s">
        <v>18</v>
      </c>
      <c r="C182" s="85" t="s">
        <v>281</v>
      </c>
      <c r="D182" s="22">
        <v>18000.0</v>
      </c>
      <c r="E182" s="15">
        <f t="shared" si="31"/>
        <v>18000</v>
      </c>
      <c r="F182" s="16"/>
      <c r="G182" s="25"/>
      <c r="H182" s="37"/>
      <c r="I182" s="87">
        <v>15000.0</v>
      </c>
      <c r="J182" s="16">
        <f t="shared" si="32"/>
        <v>15000</v>
      </c>
      <c r="K182" s="16">
        <f t="shared" si="33"/>
        <v>3000</v>
      </c>
      <c r="L182" s="111">
        <f t="shared" si="34"/>
        <v>0.1666666667</v>
      </c>
      <c r="M182" s="2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83">
        <v>8.0</v>
      </c>
      <c r="B183" s="84" t="s">
        <v>5</v>
      </c>
      <c r="C183" s="85" t="s">
        <v>87</v>
      </c>
      <c r="D183" s="22">
        <v>1400.0</v>
      </c>
      <c r="E183" s="15">
        <f t="shared" si="31"/>
        <v>11200</v>
      </c>
      <c r="F183" s="16"/>
      <c r="G183" s="25"/>
      <c r="H183" s="37"/>
      <c r="I183" s="22">
        <f>65000/70</f>
        <v>928.5714286</v>
      </c>
      <c r="J183" s="16">
        <f t="shared" si="32"/>
        <v>7428.571429</v>
      </c>
      <c r="K183" s="16">
        <f t="shared" si="33"/>
        <v>3771.428571</v>
      </c>
      <c r="L183" s="36">
        <f t="shared" si="34"/>
        <v>0.3367346939</v>
      </c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83">
        <v>0.5</v>
      </c>
      <c r="B184" s="84" t="s">
        <v>18</v>
      </c>
      <c r="C184" s="85" t="s">
        <v>19</v>
      </c>
      <c r="D184" s="22">
        <v>32000.0</v>
      </c>
      <c r="E184" s="15">
        <f t="shared" si="31"/>
        <v>16000</v>
      </c>
      <c r="F184" s="16"/>
      <c r="G184" s="25"/>
      <c r="H184" s="37"/>
      <c r="I184" s="87">
        <v>28000.0</v>
      </c>
      <c r="J184" s="16">
        <f t="shared" si="32"/>
        <v>14000</v>
      </c>
      <c r="K184" s="16">
        <f t="shared" si="33"/>
        <v>2000</v>
      </c>
      <c r="L184" s="111">
        <f t="shared" si="34"/>
        <v>0.125</v>
      </c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83">
        <v>1.0</v>
      </c>
      <c r="B185" s="84" t="s">
        <v>38</v>
      </c>
      <c r="C185" s="85" t="s">
        <v>47</v>
      </c>
      <c r="D185" s="22">
        <v>12000.0</v>
      </c>
      <c r="E185" s="15">
        <f t="shared" si="31"/>
        <v>12000</v>
      </c>
      <c r="F185" s="16"/>
      <c r="G185" s="25"/>
      <c r="H185" s="37"/>
      <c r="I185" s="87">
        <v>8000.0</v>
      </c>
      <c r="J185" s="16">
        <f t="shared" si="32"/>
        <v>8000</v>
      </c>
      <c r="K185" s="16">
        <f t="shared" si="33"/>
        <v>4000</v>
      </c>
      <c r="L185" s="36">
        <f t="shared" si="34"/>
        <v>0.3333333333</v>
      </c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13"/>
      <c r="B186" s="12"/>
      <c r="C186" s="14"/>
      <c r="D186" s="15"/>
      <c r="E186" s="16"/>
      <c r="F186" s="16"/>
      <c r="H186" s="25"/>
      <c r="I186" s="16"/>
      <c r="J186" s="16"/>
      <c r="K186" s="16"/>
      <c r="L186" s="36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13"/>
      <c r="B187" s="12"/>
      <c r="C187" s="14"/>
      <c r="D187" s="15"/>
      <c r="E187" s="16">
        <f>SUM(E177:E186)</f>
        <v>267200</v>
      </c>
      <c r="F187" s="16"/>
      <c r="G187" s="25"/>
      <c r="H187" s="25"/>
      <c r="I187" s="16"/>
      <c r="J187" s="16"/>
      <c r="K187" s="16">
        <f>SUM(K177:K185)</f>
        <v>43771.42857</v>
      </c>
      <c r="L187" s="110">
        <f>K187/E187</f>
        <v>0.1638152267</v>
      </c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52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52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3"/>
      <c r="V190" s="3"/>
      <c r="W190" s="3"/>
      <c r="X190" s="3"/>
      <c r="Y190" s="3"/>
      <c r="Z190" s="3"/>
    </row>
    <row r="191">
      <c r="A191" s="30" t="s">
        <v>120</v>
      </c>
      <c r="B191" s="31">
        <f>E187+E170+E146+E121+E84+E54+E32+F13</f>
        <v>2878855</v>
      </c>
      <c r="C191" s="2"/>
      <c r="D191" s="3"/>
      <c r="E191" s="3"/>
      <c r="F191" s="3"/>
      <c r="G191" s="2"/>
      <c r="H191" s="2"/>
      <c r="I191" s="2"/>
      <c r="J191" s="2"/>
      <c r="K191" s="3"/>
      <c r="L191" s="4"/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1"/>
      <c r="B192" s="2"/>
      <c r="C192" s="2"/>
      <c r="D192" s="3"/>
      <c r="E192" s="3"/>
      <c r="F192" s="3"/>
      <c r="G192" s="2"/>
      <c r="H192" s="2"/>
      <c r="I192" s="2"/>
      <c r="J192" s="2"/>
      <c r="K192" s="3"/>
      <c r="L192" s="4"/>
      <c r="M192" s="2"/>
      <c r="N192" s="2"/>
      <c r="O192" s="2"/>
      <c r="P192" s="2"/>
      <c r="Q192" s="3"/>
      <c r="R192" s="9"/>
      <c r="S192" s="3"/>
      <c r="T192" s="3"/>
      <c r="U192" s="1"/>
      <c r="V192" s="3"/>
      <c r="W192" s="3"/>
      <c r="X192" s="3"/>
      <c r="Y192" s="3"/>
      <c r="Z192" s="3"/>
    </row>
    <row r="193">
      <c r="A193" s="30" t="s">
        <v>121</v>
      </c>
      <c r="B193" s="108">
        <f>K187+K170+K146+K121+K84+K54+K32+K13</f>
        <v>685378.2871</v>
      </c>
      <c r="C193" s="2"/>
      <c r="D193" s="3"/>
      <c r="E193" s="3"/>
      <c r="F193" s="3"/>
      <c r="G193" s="109"/>
      <c r="H193" s="2"/>
      <c r="I193" s="2"/>
      <c r="J193" s="2"/>
      <c r="K193" s="3"/>
      <c r="L193" s="4"/>
      <c r="M193" s="2"/>
      <c r="N193" s="2"/>
      <c r="O193" s="2"/>
      <c r="P193" s="2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1"/>
      <c r="B194" s="2"/>
      <c r="C194" s="2"/>
      <c r="D194" s="3"/>
      <c r="E194" s="3"/>
      <c r="F194" s="3"/>
      <c r="G194" s="2"/>
      <c r="H194" s="2"/>
      <c r="I194" s="2"/>
      <c r="J194" s="2"/>
      <c r="K194" s="3"/>
      <c r="L194" s="4"/>
      <c r="M194" s="2"/>
      <c r="N194" s="2"/>
      <c r="O194" s="2"/>
      <c r="P194" s="2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39" t="s">
        <v>122</v>
      </c>
      <c r="B195" s="99">
        <f>E15</f>
        <v>11800</v>
      </c>
      <c r="C195" s="2"/>
      <c r="D195" s="3"/>
      <c r="E195" s="3"/>
      <c r="F195" s="3"/>
      <c r="G195" s="2"/>
      <c r="H195" s="2"/>
      <c r="I195" s="2"/>
      <c r="J195" s="2"/>
      <c r="K195" s="3"/>
      <c r="L195" s="4"/>
      <c r="M195" s="2"/>
      <c r="N195" s="2"/>
      <c r="O195" s="2"/>
      <c r="P195" s="2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1"/>
      <c r="B196" s="2"/>
      <c r="C196" s="2"/>
      <c r="D196" s="3"/>
      <c r="E196" s="3"/>
      <c r="F196" s="3"/>
      <c r="G196" s="2"/>
      <c r="H196" s="2"/>
      <c r="I196" s="2"/>
      <c r="J196" s="2"/>
      <c r="K196" s="3"/>
      <c r="L196" s="4"/>
      <c r="M196" s="2"/>
      <c r="N196" s="2"/>
      <c r="O196" s="2"/>
      <c r="P196" s="2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30" t="s">
        <v>123</v>
      </c>
      <c r="B197" s="41">
        <f>B193/B191</f>
        <v>0.2380732225</v>
      </c>
      <c r="C197" s="2"/>
      <c r="D197" s="3"/>
      <c r="E197" s="3"/>
      <c r="F197" s="3"/>
      <c r="G197" s="2"/>
      <c r="H197" s="2"/>
      <c r="I197" s="2"/>
      <c r="J197" s="2"/>
      <c r="K197" s="3"/>
      <c r="L197" s="4"/>
      <c r="M197" s="2"/>
      <c r="N197" s="2"/>
      <c r="O197" s="2"/>
      <c r="P197" s="2"/>
      <c r="Q197" s="2"/>
      <c r="R197" s="2"/>
      <c r="S197" s="3"/>
      <c r="T197" s="3"/>
      <c r="U197" s="1"/>
      <c r="V197" s="3"/>
      <c r="W197" s="3"/>
      <c r="X197" s="2"/>
      <c r="Y197" s="2"/>
      <c r="Z197" s="2"/>
    </row>
    <row r="198">
      <c r="A198" s="1"/>
      <c r="B198" s="2"/>
      <c r="C198" s="2"/>
      <c r="D198" s="3"/>
      <c r="E198" s="3"/>
      <c r="F198" s="3"/>
      <c r="G198" s="2"/>
      <c r="H198" s="2"/>
      <c r="I198" s="2"/>
      <c r="J198" s="2"/>
      <c r="K198" s="3"/>
      <c r="L198" s="4"/>
      <c r="M198" s="2"/>
      <c r="N198" s="2"/>
      <c r="O198" s="2"/>
      <c r="P198" s="2"/>
      <c r="Q198" s="3"/>
      <c r="R198" s="9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42" t="s">
        <v>124</v>
      </c>
      <c r="C199" s="4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9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9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9"/>
      <c r="T227" s="3"/>
      <c r="U227" s="2"/>
      <c r="V227" s="3"/>
      <c r="W227" s="3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9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9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3"/>
      <c r="R238" s="2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3"/>
      <c r="R239" s="9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3"/>
      <c r="R240" s="2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3"/>
      <c r="R241" s="2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3"/>
      <c r="R242" s="2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3"/>
      <c r="R243" s="2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9"/>
      <c r="T244" s="3"/>
      <c r="U244" s="2"/>
      <c r="V244" s="3"/>
      <c r="W244" s="3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9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9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9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9"/>
      <c r="T255" s="3"/>
      <c r="U255" s="2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9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9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2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3"/>
      <c r="T271" s="3"/>
      <c r="U271" s="9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3"/>
      <c r="R272" s="2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9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2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9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2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3"/>
      <c r="T285" s="9"/>
      <c r="U285" s="2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9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  <c r="R289" s="2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2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2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9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9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9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3"/>
      <c r="T297" s="9"/>
      <c r="U297" s="2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3"/>
      <c r="R298" s="2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9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3"/>
      <c r="R300" s="2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2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9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3"/>
      <c r="R312" s="2"/>
      <c r="S312" s="2"/>
      <c r="T312" s="3"/>
      <c r="U312" s="2"/>
      <c r="V312" s="2"/>
      <c r="W312" s="2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3"/>
      <c r="T313" s="3"/>
      <c r="U313" s="3"/>
      <c r="V313" s="2"/>
      <c r="W313" s="2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44"/>
      <c r="R315" s="44"/>
      <c r="S315" s="44"/>
      <c r="T315" s="44"/>
      <c r="U315" s="44"/>
      <c r="V315" s="44"/>
      <c r="W315" s="44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3"/>
      <c r="T316" s="3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"/>
      <c r="R317" s="2"/>
      <c r="S317" s="3"/>
      <c r="T317" s="3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4"/>
      <c r="R319" s="75"/>
      <c r="S319" s="76"/>
      <c r="T319" s="76"/>
      <c r="U319" s="76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7"/>
      <c r="R320" s="77"/>
      <c r="S320" s="77"/>
      <c r="T320" s="77"/>
      <c r="U320" s="77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52"/>
      <c r="R321" s="52"/>
      <c r="S321" s="52"/>
      <c r="T321" s="5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52"/>
      <c r="R323" s="52"/>
      <c r="S323" s="52"/>
      <c r="T323" s="52"/>
      <c r="U323" s="5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52"/>
      <c r="R324" s="52"/>
      <c r="S324" s="52"/>
      <c r="T324" s="5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52"/>
      <c r="R325" s="52"/>
      <c r="S325" s="52"/>
      <c r="T325" s="5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52"/>
      <c r="R326" s="52"/>
      <c r="S326" s="52"/>
      <c r="T326" s="5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52"/>
      <c r="R327" s="52"/>
      <c r="S327" s="52"/>
      <c r="T327" s="5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8"/>
      <c r="R328" s="78"/>
      <c r="S328" s="78"/>
      <c r="T328" s="78"/>
      <c r="U328" s="79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"/>
      <c r="R329" s="2"/>
      <c r="S329" s="3"/>
      <c r="T329" s="3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62"/>
      <c r="R331" s="62"/>
      <c r="S331" s="62"/>
      <c r="T331" s="6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62"/>
      <c r="R332" s="62"/>
      <c r="S332" s="62"/>
      <c r="T332" s="6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62"/>
      <c r="R333" s="62"/>
      <c r="S333" s="62"/>
      <c r="T333" s="6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62"/>
      <c r="R334" s="62"/>
      <c r="S334" s="62"/>
      <c r="T334" s="6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62"/>
      <c r="R335" s="62"/>
      <c r="S335" s="62"/>
      <c r="T335" s="62"/>
      <c r="U335" s="2"/>
      <c r="V335" s="2"/>
      <c r="W335" s="6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62"/>
      <c r="R336" s="62"/>
      <c r="S336" s="62"/>
      <c r="T336" s="6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62"/>
      <c r="R337" s="62"/>
      <c r="S337" s="62"/>
      <c r="T337" s="62"/>
      <c r="U337" s="2"/>
      <c r="V337" s="2"/>
      <c r="W337" s="6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62"/>
      <c r="R338" s="62"/>
      <c r="S338" s="62"/>
      <c r="T338" s="62"/>
      <c r="U338" s="2"/>
      <c r="V338" s="2"/>
      <c r="W338" s="6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52"/>
      <c r="R339" s="52"/>
      <c r="S339" s="52"/>
      <c r="T339" s="5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52"/>
      <c r="R340" s="52"/>
      <c r="S340" s="52"/>
      <c r="T340" s="52"/>
      <c r="U340" s="2"/>
      <c r="V340" s="2"/>
      <c r="W340" s="6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52"/>
      <c r="R341" s="52"/>
      <c r="S341" s="52"/>
      <c r="T341" s="5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52"/>
      <c r="R342" s="52"/>
      <c r="S342" s="52"/>
      <c r="T342" s="5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52"/>
      <c r="R343" s="52"/>
      <c r="S343" s="52"/>
      <c r="T343" s="5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52"/>
      <c r="R344" s="52"/>
      <c r="S344" s="52"/>
      <c r="T344" s="5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52"/>
      <c r="R345" s="52"/>
      <c r="S345" s="52"/>
      <c r="T345" s="5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52"/>
      <c r="R346" s="52"/>
      <c r="S346" s="52"/>
      <c r="T346" s="5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52"/>
      <c r="R347" s="52"/>
      <c r="S347" s="52"/>
      <c r="T347" s="5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"/>
      <c r="R348" s="52"/>
      <c r="S348" s="52"/>
      <c r="T348" s="5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8"/>
      <c r="R350" s="78"/>
      <c r="S350" s="78"/>
      <c r="T350" s="78"/>
      <c r="U350" s="79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7"/>
      <c r="R352" s="78"/>
      <c r="S352" s="78"/>
      <c r="T352" s="80"/>
      <c r="U352" s="80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52"/>
      <c r="R354" s="52"/>
      <c r="S354" s="52"/>
      <c r="T354" s="52"/>
      <c r="U354" s="5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5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</sheetData>
  <mergeCells count="3">
    <mergeCell ref="A2:C2"/>
    <mergeCell ref="I2:K2"/>
    <mergeCell ref="A199:B199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5" t="s">
        <v>314</v>
      </c>
      <c r="E2" s="86" t="s">
        <v>62</v>
      </c>
      <c r="F2" s="82">
        <v>46071.0</v>
      </c>
      <c r="G2" s="86" t="s">
        <v>2</v>
      </c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102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20.0</v>
      </c>
      <c r="B5" s="84" t="s">
        <v>50</v>
      </c>
      <c r="C5" s="85" t="s">
        <v>65</v>
      </c>
      <c r="D5" s="22">
        <v>500.0</v>
      </c>
      <c r="E5" s="15">
        <f t="shared" ref="E5:E11" si="1">A5*D5</f>
        <v>10000</v>
      </c>
      <c r="F5" s="15">
        <f t="shared" ref="F5:F11" si="2">E5*1.105</f>
        <v>11050</v>
      </c>
      <c r="G5" s="101"/>
      <c r="H5" s="101"/>
      <c r="I5" s="22">
        <f>6000/24</f>
        <v>250</v>
      </c>
      <c r="J5" s="15">
        <f t="shared" ref="J5:J11" si="3">I5*A5</f>
        <v>5000</v>
      </c>
      <c r="K5" s="15">
        <f t="shared" ref="K5:K11" si="4">F5-J5</f>
        <v>6050</v>
      </c>
      <c r="L5" s="36">
        <f t="shared" ref="L5:L11" si="5">IFERROR(K5/E5, 0)</f>
        <v>0.605</v>
      </c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2.0</v>
      </c>
      <c r="B6" s="84" t="s">
        <v>33</v>
      </c>
      <c r="C6" s="85" t="s">
        <v>233</v>
      </c>
      <c r="D6" s="22">
        <v>3500.0</v>
      </c>
      <c r="E6" s="15">
        <f t="shared" si="1"/>
        <v>7000</v>
      </c>
      <c r="F6" s="15">
        <f t="shared" si="2"/>
        <v>7735</v>
      </c>
      <c r="G6" s="101"/>
      <c r="H6" s="101"/>
      <c r="I6" s="87">
        <f>9000/5</f>
        <v>1800</v>
      </c>
      <c r="J6" s="15">
        <f t="shared" si="3"/>
        <v>3600</v>
      </c>
      <c r="K6" s="15">
        <f t="shared" si="4"/>
        <v>4135</v>
      </c>
      <c r="L6" s="36">
        <f t="shared" si="5"/>
        <v>0.5907142857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5.0</v>
      </c>
      <c r="B7" s="84" t="s">
        <v>33</v>
      </c>
      <c r="C7" s="85" t="s">
        <v>64</v>
      </c>
      <c r="D7" s="22">
        <v>2600.0</v>
      </c>
      <c r="E7" s="15">
        <f t="shared" si="1"/>
        <v>13000</v>
      </c>
      <c r="F7" s="15">
        <f t="shared" si="2"/>
        <v>14365</v>
      </c>
      <c r="G7" s="101"/>
      <c r="H7" s="101"/>
      <c r="I7" s="22">
        <f>28000/15</f>
        <v>1866.666667</v>
      </c>
      <c r="J7" s="15">
        <f t="shared" si="3"/>
        <v>9333.333333</v>
      </c>
      <c r="K7" s="15">
        <f t="shared" si="4"/>
        <v>5031.666667</v>
      </c>
      <c r="L7" s="36">
        <f t="shared" si="5"/>
        <v>0.3870512821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1.0</v>
      </c>
      <c r="B8" s="84" t="s">
        <v>50</v>
      </c>
      <c r="C8" s="85" t="s">
        <v>236</v>
      </c>
      <c r="D8" s="22">
        <v>5000.0</v>
      </c>
      <c r="E8" s="15">
        <f t="shared" si="1"/>
        <v>5000</v>
      </c>
      <c r="F8" s="15">
        <f t="shared" si="2"/>
        <v>5525</v>
      </c>
      <c r="G8" s="101"/>
      <c r="H8" s="101"/>
      <c r="I8" s="22">
        <v>3000.0</v>
      </c>
      <c r="J8" s="15">
        <f t="shared" si="3"/>
        <v>3000</v>
      </c>
      <c r="K8" s="15">
        <f t="shared" si="4"/>
        <v>2525</v>
      </c>
      <c r="L8" s="36">
        <f t="shared" si="5"/>
        <v>0.505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4.0</v>
      </c>
      <c r="B9" s="84" t="s">
        <v>5</v>
      </c>
      <c r="C9" s="85" t="s">
        <v>95</v>
      </c>
      <c r="D9" s="22">
        <v>2500.0</v>
      </c>
      <c r="E9" s="15">
        <f t="shared" si="1"/>
        <v>10000</v>
      </c>
      <c r="F9" s="15">
        <f t="shared" si="2"/>
        <v>11050</v>
      </c>
      <c r="G9" s="101"/>
      <c r="H9" s="101"/>
      <c r="I9" s="22">
        <f>6400/4</f>
        <v>1600</v>
      </c>
      <c r="J9" s="15">
        <f t="shared" si="3"/>
        <v>6400</v>
      </c>
      <c r="K9" s="15">
        <f t="shared" si="4"/>
        <v>4650</v>
      </c>
      <c r="L9" s="36">
        <f t="shared" si="5"/>
        <v>0.465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33</v>
      </c>
      <c r="C10" s="85" t="s">
        <v>55</v>
      </c>
      <c r="D10" s="22">
        <v>2800.0</v>
      </c>
      <c r="E10" s="15">
        <f t="shared" si="1"/>
        <v>2800</v>
      </c>
      <c r="F10" s="15">
        <f t="shared" si="2"/>
        <v>3094</v>
      </c>
      <c r="G10" s="101"/>
      <c r="H10" s="101"/>
      <c r="I10" s="22">
        <f>39000/18</f>
        <v>2166.666667</v>
      </c>
      <c r="J10" s="15">
        <f t="shared" si="3"/>
        <v>2166.666667</v>
      </c>
      <c r="K10" s="15">
        <f t="shared" si="4"/>
        <v>927.3333333</v>
      </c>
      <c r="L10" s="36">
        <f t="shared" si="5"/>
        <v>0.3311904762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2.0</v>
      </c>
      <c r="B11" s="84" t="s">
        <v>50</v>
      </c>
      <c r="C11" s="85" t="s">
        <v>16</v>
      </c>
      <c r="D11" s="22">
        <v>1000.0</v>
      </c>
      <c r="E11" s="15">
        <f t="shared" si="1"/>
        <v>2000</v>
      </c>
      <c r="F11" s="15">
        <f t="shared" si="2"/>
        <v>2210</v>
      </c>
      <c r="G11" s="101"/>
      <c r="H11" s="101"/>
      <c r="I11" s="22">
        <v>600.0</v>
      </c>
      <c r="J11" s="15">
        <f t="shared" si="3"/>
        <v>1200</v>
      </c>
      <c r="K11" s="15">
        <f t="shared" si="4"/>
        <v>1010</v>
      </c>
      <c r="L11" s="36">
        <f t="shared" si="5"/>
        <v>0.505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03"/>
      <c r="B12" s="101"/>
      <c r="C12" s="104"/>
      <c r="D12" s="101"/>
      <c r="E12" s="101"/>
      <c r="F12" s="101"/>
      <c r="G12" s="101"/>
      <c r="H12" s="101"/>
      <c r="I12" s="101"/>
      <c r="J12" s="101"/>
      <c r="K12" s="101"/>
      <c r="L12" s="36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03"/>
      <c r="B13" s="101"/>
      <c r="C13" s="104"/>
      <c r="D13" s="101"/>
      <c r="E13" s="15">
        <f t="shared" ref="E13:F13" si="6">SUM(E5:E11)</f>
        <v>49800</v>
      </c>
      <c r="F13" s="15">
        <f t="shared" si="6"/>
        <v>55029</v>
      </c>
      <c r="G13" s="101"/>
      <c r="H13" s="101"/>
      <c r="I13" s="101"/>
      <c r="J13" s="101"/>
      <c r="K13" s="15">
        <f>SUM(K5:K11)</f>
        <v>24329</v>
      </c>
      <c r="L13" s="110">
        <f>IFERROR(K13/E13, 0)</f>
        <v>0.4885341365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03"/>
      <c r="B14" s="101"/>
      <c r="C14" s="104"/>
      <c r="D14" s="101"/>
      <c r="E14" s="15"/>
      <c r="F14" s="15"/>
      <c r="G14" s="101"/>
      <c r="H14" s="101"/>
      <c r="I14" s="101"/>
      <c r="J14" s="101"/>
      <c r="K14" s="15"/>
      <c r="L14" s="105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103"/>
      <c r="B15" s="101"/>
      <c r="C15" s="104"/>
      <c r="D15" s="101"/>
      <c r="E15" s="15"/>
      <c r="F15" s="15"/>
      <c r="G15" s="101"/>
      <c r="H15" s="101"/>
      <c r="I15" s="101"/>
      <c r="J15" s="101"/>
      <c r="K15" s="15"/>
      <c r="L15" s="105"/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5" t="s">
        <v>313</v>
      </c>
      <c r="E16" s="86" t="s">
        <v>62</v>
      </c>
      <c r="F16" s="82">
        <v>46071.0</v>
      </c>
      <c r="G16" s="86" t="s">
        <v>2</v>
      </c>
      <c r="H16" s="3"/>
      <c r="I16" s="8" t="s">
        <v>3</v>
      </c>
      <c r="L16" s="4"/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1"/>
      <c r="B17" s="3"/>
      <c r="C17" s="9"/>
      <c r="D17" s="3"/>
      <c r="E17" s="3"/>
      <c r="F17" s="3"/>
      <c r="G17" s="3"/>
      <c r="H17" s="3"/>
      <c r="I17" s="3"/>
      <c r="J17" s="3"/>
      <c r="K17" s="3"/>
      <c r="L17" s="4"/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5" t="s">
        <v>4</v>
      </c>
      <c r="B18" s="10" t="s">
        <v>5</v>
      </c>
      <c r="C18" s="96" t="s">
        <v>6</v>
      </c>
      <c r="D18" s="10" t="s">
        <v>7</v>
      </c>
      <c r="E18" s="10" t="s">
        <v>8</v>
      </c>
      <c r="F18" s="10" t="s">
        <v>9</v>
      </c>
      <c r="G18" s="101"/>
      <c r="H18" s="101"/>
      <c r="I18" s="10" t="s">
        <v>260</v>
      </c>
      <c r="J18" s="10" t="s">
        <v>8</v>
      </c>
      <c r="K18" s="10" t="s">
        <v>10</v>
      </c>
      <c r="L18" s="102"/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2.0</v>
      </c>
      <c r="B19" s="84" t="s">
        <v>50</v>
      </c>
      <c r="C19" s="85" t="s">
        <v>16</v>
      </c>
      <c r="D19" s="22">
        <v>1000.0</v>
      </c>
      <c r="E19" s="15">
        <f t="shared" ref="E19:E24" si="7">A19*D19</f>
        <v>2000</v>
      </c>
      <c r="F19" s="15">
        <f t="shared" ref="F19:F24" si="8">E19*1.105</f>
        <v>2210</v>
      </c>
      <c r="G19" s="101"/>
      <c r="H19" s="101"/>
      <c r="I19" s="22">
        <v>600.0</v>
      </c>
      <c r="J19" s="15">
        <f t="shared" ref="J19:J24" si="9">I19*A19</f>
        <v>1200</v>
      </c>
      <c r="K19" s="15">
        <f t="shared" ref="K19:K24" si="10">F19-J19</f>
        <v>1010</v>
      </c>
      <c r="L19" s="36">
        <f t="shared" ref="L19:L24" si="11">IFERROR(K19/E19, 0)</f>
        <v>0.505</v>
      </c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3.0</v>
      </c>
      <c r="B20" s="84" t="s">
        <v>33</v>
      </c>
      <c r="C20" s="85" t="s">
        <v>55</v>
      </c>
      <c r="D20" s="22">
        <v>2800.0</v>
      </c>
      <c r="E20" s="15">
        <f t="shared" si="7"/>
        <v>8400</v>
      </c>
      <c r="F20" s="15">
        <f t="shared" si="8"/>
        <v>9282</v>
      </c>
      <c r="G20" s="101"/>
      <c r="H20" s="101"/>
      <c r="I20" s="22">
        <f>39000/18</f>
        <v>2166.666667</v>
      </c>
      <c r="J20" s="15">
        <f t="shared" si="9"/>
        <v>6500</v>
      </c>
      <c r="K20" s="15">
        <f t="shared" si="10"/>
        <v>2782</v>
      </c>
      <c r="L20" s="36">
        <f t="shared" si="11"/>
        <v>0.3311904762</v>
      </c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2.0</v>
      </c>
      <c r="B21" s="84" t="s">
        <v>33</v>
      </c>
      <c r="C21" s="85" t="s">
        <v>233</v>
      </c>
      <c r="D21" s="22">
        <v>3500.0</v>
      </c>
      <c r="E21" s="15">
        <f t="shared" si="7"/>
        <v>7000</v>
      </c>
      <c r="F21" s="15">
        <f t="shared" si="8"/>
        <v>7735</v>
      </c>
      <c r="G21" s="101"/>
      <c r="H21" s="101"/>
      <c r="I21" s="87">
        <f>9000/5</f>
        <v>1800</v>
      </c>
      <c r="J21" s="15">
        <f t="shared" si="9"/>
        <v>3600</v>
      </c>
      <c r="K21" s="15">
        <f t="shared" si="10"/>
        <v>4135</v>
      </c>
      <c r="L21" s="36">
        <f t="shared" si="11"/>
        <v>0.5907142857</v>
      </c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15.0</v>
      </c>
      <c r="B22" s="84" t="s">
        <v>50</v>
      </c>
      <c r="C22" s="85" t="s">
        <v>65</v>
      </c>
      <c r="D22" s="22">
        <v>500.0</v>
      </c>
      <c r="E22" s="15">
        <f t="shared" si="7"/>
        <v>7500</v>
      </c>
      <c r="F22" s="15">
        <f t="shared" si="8"/>
        <v>8287.5</v>
      </c>
      <c r="G22" s="101"/>
      <c r="H22" s="101"/>
      <c r="I22" s="22">
        <v>250.0</v>
      </c>
      <c r="J22" s="15">
        <f t="shared" si="9"/>
        <v>3750</v>
      </c>
      <c r="K22" s="15">
        <f t="shared" si="10"/>
        <v>4537.5</v>
      </c>
      <c r="L22" s="36">
        <f t="shared" si="11"/>
        <v>0.605</v>
      </c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4.35</v>
      </c>
      <c r="B23" s="84" t="s">
        <v>33</v>
      </c>
      <c r="C23" s="85" t="s">
        <v>98</v>
      </c>
      <c r="D23" s="22">
        <v>1800.0</v>
      </c>
      <c r="E23" s="15">
        <f t="shared" si="7"/>
        <v>7830</v>
      </c>
      <c r="F23" s="15">
        <f t="shared" si="8"/>
        <v>8652.15</v>
      </c>
      <c r="G23" s="101"/>
      <c r="H23" s="101"/>
      <c r="I23" s="22">
        <v>1000.0</v>
      </c>
      <c r="J23" s="15">
        <f t="shared" si="9"/>
        <v>4350</v>
      </c>
      <c r="K23" s="15">
        <f t="shared" si="10"/>
        <v>4302.15</v>
      </c>
      <c r="L23" s="36">
        <f t="shared" si="11"/>
        <v>0.5494444444</v>
      </c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1.0</v>
      </c>
      <c r="B24" s="84" t="s">
        <v>50</v>
      </c>
      <c r="C24" s="85" t="s">
        <v>171</v>
      </c>
      <c r="D24" s="22">
        <v>2000.0</v>
      </c>
      <c r="E24" s="15">
        <f t="shared" si="7"/>
        <v>2000</v>
      </c>
      <c r="F24" s="15">
        <f t="shared" si="8"/>
        <v>2210</v>
      </c>
      <c r="G24" s="101"/>
      <c r="H24" s="101"/>
      <c r="I24" s="22">
        <v>2000.0</v>
      </c>
      <c r="J24" s="15">
        <f t="shared" si="9"/>
        <v>2000</v>
      </c>
      <c r="K24" s="15">
        <f t="shared" si="10"/>
        <v>210</v>
      </c>
      <c r="L24" s="36">
        <f t="shared" si="11"/>
        <v>0.105</v>
      </c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03"/>
      <c r="B25" s="101"/>
      <c r="C25" s="104"/>
      <c r="D25" s="101"/>
      <c r="E25" s="101"/>
      <c r="F25" s="101"/>
      <c r="G25" s="101"/>
      <c r="H25" s="101"/>
      <c r="I25" s="101"/>
      <c r="J25" s="101"/>
      <c r="K25" s="101"/>
      <c r="L25" s="36"/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03"/>
      <c r="B26" s="101"/>
      <c r="C26" s="104"/>
      <c r="D26" s="101"/>
      <c r="E26" s="15">
        <f t="shared" ref="E26:F26" si="12">SUM(E19:E24)</f>
        <v>34730</v>
      </c>
      <c r="F26" s="15">
        <f t="shared" si="12"/>
        <v>38376.65</v>
      </c>
      <c r="G26" s="101"/>
      <c r="H26" s="101"/>
      <c r="I26" s="101"/>
      <c r="J26" s="101"/>
      <c r="K26" s="15">
        <f>SUM(K19:K24)</f>
        <v>16976.65</v>
      </c>
      <c r="L26" s="110">
        <f>IFERROR(K26/E26, 0)</f>
        <v>0.4888180248</v>
      </c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03"/>
      <c r="B27" s="101"/>
      <c r="C27" s="104"/>
      <c r="D27" s="101"/>
      <c r="E27" s="15"/>
      <c r="F27" s="15"/>
      <c r="G27" s="101"/>
      <c r="H27" s="101"/>
      <c r="I27" s="101"/>
      <c r="J27" s="101"/>
      <c r="K27" s="15"/>
      <c r="L27" s="105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103"/>
      <c r="B28" s="101"/>
      <c r="C28" s="104"/>
      <c r="D28" s="101"/>
      <c r="E28" s="15"/>
      <c r="F28" s="15"/>
      <c r="G28" s="101"/>
      <c r="H28" s="101"/>
      <c r="I28" s="101"/>
      <c r="J28" s="101"/>
      <c r="K28" s="15"/>
      <c r="L28" s="105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5" t="s">
        <v>230</v>
      </c>
      <c r="E29" s="86" t="s">
        <v>74</v>
      </c>
      <c r="F29" s="82">
        <v>46071.0</v>
      </c>
      <c r="G29" s="6"/>
      <c r="H29" s="3"/>
      <c r="I29" s="8" t="s">
        <v>3</v>
      </c>
      <c r="L29" s="4"/>
      <c r="M29" s="2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1"/>
      <c r="B30" s="3"/>
      <c r="C30" s="9"/>
      <c r="D30" s="3"/>
      <c r="E30" s="3"/>
      <c r="F30" s="3"/>
      <c r="G30" s="86" t="s">
        <v>2</v>
      </c>
      <c r="H30" s="3"/>
      <c r="I30" s="3"/>
      <c r="J30" s="3"/>
      <c r="K30" s="3"/>
      <c r="L30" s="4"/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5" t="s">
        <v>4</v>
      </c>
      <c r="B31" s="10" t="s">
        <v>5</v>
      </c>
      <c r="C31" s="96" t="s">
        <v>6</v>
      </c>
      <c r="D31" s="10" t="s">
        <v>7</v>
      </c>
      <c r="E31" s="10" t="s">
        <v>8</v>
      </c>
      <c r="F31" s="10" t="s">
        <v>9</v>
      </c>
      <c r="G31" s="101"/>
      <c r="H31" s="101"/>
      <c r="I31" s="10" t="s">
        <v>260</v>
      </c>
      <c r="J31" s="10" t="s">
        <v>8</v>
      </c>
      <c r="K31" s="10" t="s">
        <v>10</v>
      </c>
      <c r="L31" s="102"/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0.75</v>
      </c>
      <c r="B32" s="84" t="s">
        <v>50</v>
      </c>
      <c r="C32" s="85" t="s">
        <v>236</v>
      </c>
      <c r="D32" s="22">
        <v>5000.0</v>
      </c>
      <c r="E32" s="15">
        <f t="shared" ref="E32:E40" si="13">A32*D32</f>
        <v>3750</v>
      </c>
      <c r="F32" s="15">
        <f t="shared" ref="F32:F40" si="14">E32*1.105</f>
        <v>4143.75</v>
      </c>
      <c r="G32" s="101"/>
      <c r="H32" s="101"/>
      <c r="I32" s="22">
        <v>3000.0</v>
      </c>
      <c r="J32" s="15">
        <f t="shared" ref="J32:J40" si="15">I32*A32</f>
        <v>2250</v>
      </c>
      <c r="K32" s="15">
        <f t="shared" ref="K32:K40" si="16">F32-J32</f>
        <v>1893.75</v>
      </c>
      <c r="L32" s="36">
        <f t="shared" ref="L32:L40" si="17">IFERROR(K32/E32, 0)</f>
        <v>0.505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83">
        <v>2.0</v>
      </c>
      <c r="B33" s="84" t="s">
        <v>50</v>
      </c>
      <c r="C33" s="85" t="s">
        <v>16</v>
      </c>
      <c r="D33" s="22">
        <v>1000.0</v>
      </c>
      <c r="E33" s="15">
        <f t="shared" si="13"/>
        <v>2000</v>
      </c>
      <c r="F33" s="15">
        <f t="shared" si="14"/>
        <v>2210</v>
      </c>
      <c r="G33" s="101"/>
      <c r="H33" s="101"/>
      <c r="I33" s="22">
        <v>600.0</v>
      </c>
      <c r="J33" s="15">
        <f t="shared" si="15"/>
        <v>1200</v>
      </c>
      <c r="K33" s="15">
        <f t="shared" si="16"/>
        <v>1010</v>
      </c>
      <c r="L33" s="36">
        <f t="shared" si="17"/>
        <v>0.505</v>
      </c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83">
        <v>3.0</v>
      </c>
      <c r="B34" s="84" t="s">
        <v>33</v>
      </c>
      <c r="C34" s="85" t="s">
        <v>55</v>
      </c>
      <c r="D34" s="22">
        <v>2800.0</v>
      </c>
      <c r="E34" s="15">
        <f t="shared" si="13"/>
        <v>8400</v>
      </c>
      <c r="F34" s="15">
        <f t="shared" si="14"/>
        <v>9282</v>
      </c>
      <c r="G34" s="101"/>
      <c r="H34" s="101"/>
      <c r="I34" s="22">
        <f>39000/18</f>
        <v>2166.666667</v>
      </c>
      <c r="J34" s="15">
        <f t="shared" si="15"/>
        <v>6500</v>
      </c>
      <c r="K34" s="15">
        <f t="shared" si="16"/>
        <v>2782</v>
      </c>
      <c r="L34" s="36">
        <f t="shared" si="17"/>
        <v>0.3311904762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83">
        <v>5.0</v>
      </c>
      <c r="B35" s="84" t="s">
        <v>33</v>
      </c>
      <c r="C35" s="85" t="s">
        <v>278</v>
      </c>
      <c r="D35" s="22">
        <v>3200.0</v>
      </c>
      <c r="E35" s="15">
        <f t="shared" si="13"/>
        <v>16000</v>
      </c>
      <c r="F35" s="15">
        <f t="shared" si="14"/>
        <v>17680</v>
      </c>
      <c r="G35" s="101"/>
      <c r="H35" s="101"/>
      <c r="I35" s="22">
        <f>40000/15</f>
        <v>2666.666667</v>
      </c>
      <c r="J35" s="15">
        <f t="shared" si="15"/>
        <v>13333.33333</v>
      </c>
      <c r="K35" s="15">
        <f t="shared" si="16"/>
        <v>4346.666667</v>
      </c>
      <c r="L35" s="36">
        <f t="shared" si="17"/>
        <v>0.2716666667</v>
      </c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3">
        <v>1.0</v>
      </c>
      <c r="B36" s="84" t="s">
        <v>50</v>
      </c>
      <c r="C36" s="85" t="s">
        <v>171</v>
      </c>
      <c r="D36" s="22">
        <v>2000.0</v>
      </c>
      <c r="E36" s="15">
        <f t="shared" si="13"/>
        <v>2000</v>
      </c>
      <c r="F36" s="15">
        <f t="shared" si="14"/>
        <v>2210</v>
      </c>
      <c r="G36" s="101"/>
      <c r="H36" s="101"/>
      <c r="I36" s="22">
        <v>2000.0</v>
      </c>
      <c r="J36" s="15">
        <f t="shared" si="15"/>
        <v>2000</v>
      </c>
      <c r="K36" s="15">
        <f t="shared" si="16"/>
        <v>210</v>
      </c>
      <c r="L36" s="36">
        <f t="shared" si="17"/>
        <v>0.105</v>
      </c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>
        <v>0.25</v>
      </c>
      <c r="B37" s="84" t="s">
        <v>33</v>
      </c>
      <c r="C37" s="85" t="s">
        <v>68</v>
      </c>
      <c r="D37" s="22">
        <v>4000.0</v>
      </c>
      <c r="E37" s="15">
        <f t="shared" si="13"/>
        <v>1000</v>
      </c>
      <c r="F37" s="15">
        <f t="shared" si="14"/>
        <v>1105</v>
      </c>
      <c r="G37" s="101"/>
      <c r="H37" s="101"/>
      <c r="I37" s="22">
        <v>1500.0</v>
      </c>
      <c r="J37" s="15">
        <f t="shared" si="15"/>
        <v>375</v>
      </c>
      <c r="K37" s="15">
        <f t="shared" si="16"/>
        <v>730</v>
      </c>
      <c r="L37" s="36">
        <f t="shared" si="17"/>
        <v>0.73</v>
      </c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1.7</v>
      </c>
      <c r="B38" s="84" t="s">
        <v>33</v>
      </c>
      <c r="C38" s="85" t="s">
        <v>98</v>
      </c>
      <c r="D38" s="22">
        <v>1800.0</v>
      </c>
      <c r="E38" s="15">
        <f t="shared" si="13"/>
        <v>3060</v>
      </c>
      <c r="F38" s="15">
        <f t="shared" si="14"/>
        <v>3381.3</v>
      </c>
      <c r="G38" s="101"/>
      <c r="H38" s="101"/>
      <c r="I38" s="22">
        <v>1000.0</v>
      </c>
      <c r="J38" s="15">
        <f t="shared" si="15"/>
        <v>1700</v>
      </c>
      <c r="K38" s="15">
        <f t="shared" si="16"/>
        <v>1681.3</v>
      </c>
      <c r="L38" s="36">
        <f t="shared" si="17"/>
        <v>0.5494444444</v>
      </c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83">
        <v>1.5</v>
      </c>
      <c r="B39" s="84" t="s">
        <v>33</v>
      </c>
      <c r="C39" s="85" t="s">
        <v>233</v>
      </c>
      <c r="D39" s="22">
        <v>3500.0</v>
      </c>
      <c r="E39" s="15">
        <f t="shared" si="13"/>
        <v>5250</v>
      </c>
      <c r="F39" s="15">
        <f t="shared" si="14"/>
        <v>5801.25</v>
      </c>
      <c r="G39" s="101"/>
      <c r="H39" s="101"/>
      <c r="I39" s="87">
        <f>9000/5</f>
        <v>1800</v>
      </c>
      <c r="J39" s="15">
        <f t="shared" si="15"/>
        <v>2700</v>
      </c>
      <c r="K39" s="15">
        <f t="shared" si="16"/>
        <v>3101.25</v>
      </c>
      <c r="L39" s="36">
        <f t="shared" si="17"/>
        <v>0.5907142857</v>
      </c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83">
        <v>14.0</v>
      </c>
      <c r="B40" s="84" t="s">
        <v>50</v>
      </c>
      <c r="C40" s="85" t="s">
        <v>65</v>
      </c>
      <c r="D40" s="22">
        <v>500.0</v>
      </c>
      <c r="E40" s="15">
        <f t="shared" si="13"/>
        <v>7000</v>
      </c>
      <c r="F40" s="15">
        <f t="shared" si="14"/>
        <v>7735</v>
      </c>
      <c r="G40" s="101"/>
      <c r="H40" s="101"/>
      <c r="I40" s="22">
        <f>6000/24</f>
        <v>250</v>
      </c>
      <c r="J40" s="15">
        <f t="shared" si="15"/>
        <v>3500</v>
      </c>
      <c r="K40" s="15">
        <f t="shared" si="16"/>
        <v>4235</v>
      </c>
      <c r="L40" s="36">
        <f t="shared" si="17"/>
        <v>0.605</v>
      </c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03"/>
      <c r="B41" s="101"/>
      <c r="C41" s="104"/>
      <c r="D41" s="101"/>
      <c r="E41" s="101"/>
      <c r="F41" s="101"/>
      <c r="G41" s="101"/>
      <c r="H41" s="101"/>
      <c r="I41" s="101"/>
      <c r="J41" s="101"/>
      <c r="K41" s="101"/>
      <c r="L41" s="36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103"/>
      <c r="B42" s="101"/>
      <c r="C42" s="104"/>
      <c r="D42" s="101"/>
      <c r="E42" s="15">
        <f t="shared" ref="E42:F42" si="18">SUM(E32:E40)</f>
        <v>48460</v>
      </c>
      <c r="F42" s="15">
        <f t="shared" si="18"/>
        <v>53548.3</v>
      </c>
      <c r="G42" s="101"/>
      <c r="H42" s="101"/>
      <c r="I42" s="101"/>
      <c r="J42" s="101"/>
      <c r="K42" s="15">
        <f>SUM(K32:K40)</f>
        <v>19989.96667</v>
      </c>
      <c r="L42" s="110">
        <f>IFERROR(K42/E42, 0)</f>
        <v>0.412504471</v>
      </c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103"/>
      <c r="B43" s="101"/>
      <c r="C43" s="104"/>
      <c r="D43" s="101"/>
      <c r="E43" s="15"/>
      <c r="F43" s="15"/>
      <c r="G43" s="101"/>
      <c r="H43" s="101"/>
      <c r="I43" s="101"/>
      <c r="J43" s="101"/>
      <c r="K43" s="15"/>
      <c r="L43" s="105"/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03"/>
      <c r="B44" s="101"/>
      <c r="C44" s="104"/>
      <c r="D44" s="101"/>
      <c r="E44" s="15"/>
      <c r="F44" s="15"/>
      <c r="G44" s="101"/>
      <c r="H44" s="101"/>
      <c r="I44" s="101"/>
      <c r="J44" s="101"/>
      <c r="K44" s="15"/>
      <c r="L44" s="105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5" t="s">
        <v>309</v>
      </c>
      <c r="E45" s="86" t="s">
        <v>62</v>
      </c>
      <c r="F45" s="82">
        <v>46071.0</v>
      </c>
      <c r="G45" s="86" t="s">
        <v>2</v>
      </c>
      <c r="H45" s="3"/>
      <c r="I45" s="8" t="s">
        <v>3</v>
      </c>
      <c r="L45" s="4"/>
      <c r="M45" s="2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1"/>
      <c r="B46" s="3"/>
      <c r="C46" s="9"/>
      <c r="D46" s="3"/>
      <c r="E46" s="3"/>
      <c r="F46" s="3"/>
      <c r="G46" s="3"/>
      <c r="H46" s="3"/>
      <c r="I46" s="3"/>
      <c r="J46" s="3"/>
      <c r="K46" s="3"/>
      <c r="L46" s="4"/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5" t="s">
        <v>4</v>
      </c>
      <c r="B47" s="10" t="s">
        <v>5</v>
      </c>
      <c r="C47" s="96" t="s">
        <v>6</v>
      </c>
      <c r="D47" s="10" t="s">
        <v>7</v>
      </c>
      <c r="E47" s="10" t="s">
        <v>8</v>
      </c>
      <c r="F47" s="10" t="s">
        <v>9</v>
      </c>
      <c r="G47" s="101"/>
      <c r="H47" s="101"/>
      <c r="I47" s="10" t="s">
        <v>260</v>
      </c>
      <c r="J47" s="10" t="s">
        <v>8</v>
      </c>
      <c r="K47" s="10" t="s">
        <v>10</v>
      </c>
      <c r="L47" s="102"/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2.0</v>
      </c>
      <c r="B48" s="84" t="s">
        <v>33</v>
      </c>
      <c r="C48" s="85" t="s">
        <v>233</v>
      </c>
      <c r="D48" s="22">
        <v>3500.0</v>
      </c>
      <c r="E48" s="15">
        <f t="shared" ref="E48:E53" si="19">A48*D48</f>
        <v>7000</v>
      </c>
      <c r="F48" s="15">
        <f t="shared" ref="F48:F53" si="20">E48*1.105</f>
        <v>7735</v>
      </c>
      <c r="G48" s="101"/>
      <c r="H48" s="101"/>
      <c r="I48" s="87">
        <f>9000/5</f>
        <v>1800</v>
      </c>
      <c r="J48" s="15">
        <f t="shared" ref="J48:J53" si="21">I48*A48</f>
        <v>3600</v>
      </c>
      <c r="K48" s="15">
        <f t="shared" ref="K48:K53" si="22">F48-J48</f>
        <v>4135</v>
      </c>
      <c r="L48" s="36">
        <f t="shared" ref="L48:L53" si="23">IFERROR(K48/E48, 0)</f>
        <v>0.5907142857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8.0</v>
      </c>
      <c r="B49" s="84" t="s">
        <v>50</v>
      </c>
      <c r="C49" s="85" t="s">
        <v>65</v>
      </c>
      <c r="D49" s="22">
        <v>500.0</v>
      </c>
      <c r="E49" s="15">
        <f t="shared" si="19"/>
        <v>4000</v>
      </c>
      <c r="F49" s="15">
        <f t="shared" si="20"/>
        <v>4420</v>
      </c>
      <c r="G49" s="101"/>
      <c r="H49" s="101"/>
      <c r="I49" s="22">
        <f>6000/24</f>
        <v>250</v>
      </c>
      <c r="J49" s="15">
        <f t="shared" si="21"/>
        <v>2000</v>
      </c>
      <c r="K49" s="15">
        <f t="shared" si="22"/>
        <v>2420</v>
      </c>
      <c r="L49" s="36">
        <f t="shared" si="23"/>
        <v>0.605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1.0</v>
      </c>
      <c r="B50" s="84" t="s">
        <v>33</v>
      </c>
      <c r="C50" s="85" t="s">
        <v>236</v>
      </c>
      <c r="D50" s="22">
        <v>5000.0</v>
      </c>
      <c r="E50" s="15">
        <f t="shared" si="19"/>
        <v>5000</v>
      </c>
      <c r="F50" s="15">
        <f t="shared" si="20"/>
        <v>5525</v>
      </c>
      <c r="G50" s="101"/>
      <c r="H50" s="101"/>
      <c r="I50" s="22">
        <v>3000.0</v>
      </c>
      <c r="J50" s="15">
        <f t="shared" si="21"/>
        <v>3000</v>
      </c>
      <c r="K50" s="15">
        <f t="shared" si="22"/>
        <v>2525</v>
      </c>
      <c r="L50" s="36">
        <f t="shared" si="23"/>
        <v>0.505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84" t="s">
        <v>50</v>
      </c>
      <c r="C51" s="85" t="s">
        <v>235</v>
      </c>
      <c r="D51" s="22">
        <v>3000.0</v>
      </c>
      <c r="E51" s="15">
        <f t="shared" si="19"/>
        <v>3000</v>
      </c>
      <c r="F51" s="15">
        <f t="shared" si="20"/>
        <v>3315</v>
      </c>
      <c r="G51" s="101"/>
      <c r="H51" s="101"/>
      <c r="I51" s="22">
        <v>2500.0</v>
      </c>
      <c r="J51" s="15">
        <f t="shared" si="21"/>
        <v>2500</v>
      </c>
      <c r="K51" s="15">
        <f t="shared" si="22"/>
        <v>815</v>
      </c>
      <c r="L51" s="36">
        <f t="shared" si="23"/>
        <v>0.2716666667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0.5</v>
      </c>
      <c r="B52" s="84" t="s">
        <v>50</v>
      </c>
      <c r="C52" s="85" t="s">
        <v>68</v>
      </c>
      <c r="D52" s="22">
        <v>4000.0</v>
      </c>
      <c r="E52" s="15">
        <f t="shared" si="19"/>
        <v>2000</v>
      </c>
      <c r="F52" s="15">
        <f t="shared" si="20"/>
        <v>2210</v>
      </c>
      <c r="G52" s="101"/>
      <c r="H52" s="101"/>
      <c r="I52" s="22">
        <v>1500.0</v>
      </c>
      <c r="J52" s="15">
        <f t="shared" si="21"/>
        <v>750</v>
      </c>
      <c r="K52" s="15">
        <f t="shared" si="22"/>
        <v>1460</v>
      </c>
      <c r="L52" s="36">
        <f t="shared" si="23"/>
        <v>0.73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1.0</v>
      </c>
      <c r="B53" s="84" t="s">
        <v>33</v>
      </c>
      <c r="C53" s="85" t="s">
        <v>55</v>
      </c>
      <c r="D53" s="22">
        <v>2800.0</v>
      </c>
      <c r="E53" s="15">
        <f t="shared" si="19"/>
        <v>2800</v>
      </c>
      <c r="F53" s="15">
        <f t="shared" si="20"/>
        <v>3094</v>
      </c>
      <c r="G53" s="101"/>
      <c r="H53" s="101"/>
      <c r="I53" s="22">
        <f>39000/18</f>
        <v>2166.666667</v>
      </c>
      <c r="J53" s="15">
        <f t="shared" si="21"/>
        <v>2166.666667</v>
      </c>
      <c r="K53" s="15">
        <f t="shared" si="22"/>
        <v>927.3333333</v>
      </c>
      <c r="L53" s="36">
        <f t="shared" si="23"/>
        <v>0.3311904762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103"/>
      <c r="B54" s="101"/>
      <c r="C54" s="104"/>
      <c r="D54" s="101"/>
      <c r="E54" s="101"/>
      <c r="F54" s="101"/>
      <c r="G54" s="101"/>
      <c r="H54" s="101"/>
      <c r="I54" s="101"/>
      <c r="J54" s="101"/>
      <c r="K54" s="101"/>
      <c r="L54" s="36"/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103"/>
      <c r="B55" s="101"/>
      <c r="C55" s="104"/>
      <c r="D55" s="101"/>
      <c r="E55" s="15">
        <f t="shared" ref="E55:F55" si="24">SUM(E48:E53)</f>
        <v>23800</v>
      </c>
      <c r="F55" s="15">
        <f t="shared" si="24"/>
        <v>26299</v>
      </c>
      <c r="G55" s="101"/>
      <c r="H55" s="101"/>
      <c r="I55" s="101"/>
      <c r="J55" s="101"/>
      <c r="K55" s="15">
        <f>SUM(K48:K53)</f>
        <v>12282.33333</v>
      </c>
      <c r="L55" s="110">
        <f>IFERROR(K55/E55, 0)</f>
        <v>0.5160644258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03"/>
      <c r="B56" s="101"/>
      <c r="C56" s="104"/>
      <c r="D56" s="101"/>
      <c r="E56" s="15"/>
      <c r="F56" s="15"/>
      <c r="G56" s="101"/>
      <c r="H56" s="101"/>
      <c r="I56" s="101"/>
      <c r="J56" s="101"/>
      <c r="K56" s="15"/>
      <c r="L56" s="105"/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03"/>
      <c r="B57" s="101"/>
      <c r="C57" s="104"/>
      <c r="D57" s="101"/>
      <c r="E57" s="15"/>
      <c r="F57" s="15"/>
      <c r="G57" s="101"/>
      <c r="H57" s="101"/>
      <c r="I57" s="101"/>
      <c r="J57" s="101"/>
      <c r="K57" s="15"/>
      <c r="L57" s="105"/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5" t="s">
        <v>238</v>
      </c>
      <c r="E58" s="86" t="s">
        <v>74</v>
      </c>
      <c r="F58" s="82">
        <v>46071.0</v>
      </c>
      <c r="G58" s="86" t="s">
        <v>2</v>
      </c>
      <c r="H58" s="3"/>
      <c r="I58" s="8" t="s">
        <v>3</v>
      </c>
      <c r="L58" s="4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1"/>
      <c r="B59" s="3"/>
      <c r="C59" s="9"/>
      <c r="D59" s="3"/>
      <c r="E59" s="3"/>
      <c r="F59" s="3"/>
      <c r="G59" s="3"/>
      <c r="H59" s="3"/>
      <c r="I59" s="3"/>
      <c r="J59" s="3"/>
      <c r="K59" s="3"/>
      <c r="L59" s="4"/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5" t="s">
        <v>4</v>
      </c>
      <c r="B60" s="10" t="s">
        <v>5</v>
      </c>
      <c r="C60" s="96" t="s">
        <v>6</v>
      </c>
      <c r="D60" s="10" t="s">
        <v>7</v>
      </c>
      <c r="E60" s="10" t="s">
        <v>8</v>
      </c>
      <c r="F60" s="10" t="s">
        <v>9</v>
      </c>
      <c r="G60" s="101"/>
      <c r="H60" s="101"/>
      <c r="I60" s="10" t="s">
        <v>260</v>
      </c>
      <c r="J60" s="10" t="s">
        <v>8</v>
      </c>
      <c r="K60" s="10" t="s">
        <v>10</v>
      </c>
      <c r="L60" s="102"/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83">
        <v>2.0</v>
      </c>
      <c r="B61" s="84" t="s">
        <v>5</v>
      </c>
      <c r="C61" s="85" t="s">
        <v>87</v>
      </c>
      <c r="D61" s="22">
        <v>1400.0</v>
      </c>
      <c r="E61" s="15">
        <f t="shared" ref="E61:E65" si="25">A61*D61</f>
        <v>2800</v>
      </c>
      <c r="F61" s="15">
        <f t="shared" ref="F61:F65" si="26">E61*1.105</f>
        <v>3094</v>
      </c>
      <c r="G61" s="101"/>
      <c r="H61" s="101"/>
      <c r="I61" s="22">
        <f>65000/70</f>
        <v>928.5714286</v>
      </c>
      <c r="J61" s="15">
        <f t="shared" ref="J61:J65" si="27">I61*A61</f>
        <v>1857.142857</v>
      </c>
      <c r="K61" s="15">
        <f t="shared" ref="K61:K65" si="28">F61-J61</f>
        <v>1236.857143</v>
      </c>
      <c r="L61" s="36">
        <f t="shared" ref="L61:L65" si="29">IFERROR(K61/E61, 0)</f>
        <v>0.4417346939</v>
      </c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83">
        <v>14.0</v>
      </c>
      <c r="B62" s="84" t="s">
        <v>50</v>
      </c>
      <c r="C62" s="85" t="s">
        <v>65</v>
      </c>
      <c r="D62" s="22">
        <v>500.0</v>
      </c>
      <c r="E62" s="15">
        <f t="shared" si="25"/>
        <v>7000</v>
      </c>
      <c r="F62" s="15">
        <f t="shared" si="26"/>
        <v>7735</v>
      </c>
      <c r="G62" s="101"/>
      <c r="H62" s="101"/>
      <c r="I62" s="22">
        <f>6000/24</f>
        <v>250</v>
      </c>
      <c r="J62" s="15">
        <f t="shared" si="27"/>
        <v>3500</v>
      </c>
      <c r="K62" s="15">
        <f t="shared" si="28"/>
        <v>4235</v>
      </c>
      <c r="L62" s="36">
        <f t="shared" si="29"/>
        <v>0.605</v>
      </c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83">
        <v>2.0</v>
      </c>
      <c r="B63" s="84" t="s">
        <v>33</v>
      </c>
      <c r="C63" s="85" t="s">
        <v>233</v>
      </c>
      <c r="D63" s="22">
        <v>3500.0</v>
      </c>
      <c r="E63" s="15">
        <f t="shared" si="25"/>
        <v>7000</v>
      </c>
      <c r="F63" s="15">
        <f t="shared" si="26"/>
        <v>7735</v>
      </c>
      <c r="G63" s="101"/>
      <c r="H63" s="101"/>
      <c r="I63" s="87">
        <f>9000/5</f>
        <v>1800</v>
      </c>
      <c r="J63" s="15">
        <f t="shared" si="27"/>
        <v>3600</v>
      </c>
      <c r="K63" s="15">
        <f t="shared" si="28"/>
        <v>4135</v>
      </c>
      <c r="L63" s="36">
        <f t="shared" si="29"/>
        <v>0.5907142857</v>
      </c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83">
        <v>1.85</v>
      </c>
      <c r="B64" s="84" t="s">
        <v>33</v>
      </c>
      <c r="C64" s="85" t="s">
        <v>240</v>
      </c>
      <c r="D64" s="22">
        <v>1800.0</v>
      </c>
      <c r="E64" s="15">
        <f t="shared" si="25"/>
        <v>3330</v>
      </c>
      <c r="F64" s="15">
        <f t="shared" si="26"/>
        <v>3679.65</v>
      </c>
      <c r="G64" s="101"/>
      <c r="H64" s="101"/>
      <c r="I64" s="22">
        <v>1000.0</v>
      </c>
      <c r="J64" s="15">
        <f t="shared" si="27"/>
        <v>1850</v>
      </c>
      <c r="K64" s="15">
        <f t="shared" si="28"/>
        <v>1829.65</v>
      </c>
      <c r="L64" s="36">
        <f t="shared" si="29"/>
        <v>0.5494444444</v>
      </c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3">
        <v>4.0</v>
      </c>
      <c r="B65" s="84" t="s">
        <v>33</v>
      </c>
      <c r="C65" s="85" t="s">
        <v>55</v>
      </c>
      <c r="D65" s="22">
        <v>2800.0</v>
      </c>
      <c r="E65" s="15">
        <f t="shared" si="25"/>
        <v>11200</v>
      </c>
      <c r="F65" s="15">
        <f t="shared" si="26"/>
        <v>12376</v>
      </c>
      <c r="G65" s="101"/>
      <c r="H65" s="101"/>
      <c r="I65" s="22">
        <f>39000/18</f>
        <v>2166.666667</v>
      </c>
      <c r="J65" s="15">
        <f t="shared" si="27"/>
        <v>8666.666667</v>
      </c>
      <c r="K65" s="15">
        <f t="shared" si="28"/>
        <v>3709.333333</v>
      </c>
      <c r="L65" s="36">
        <f t="shared" si="29"/>
        <v>0.3311904762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103"/>
      <c r="B66" s="101"/>
      <c r="C66" s="104"/>
      <c r="D66" s="101"/>
      <c r="E66" s="101"/>
      <c r="F66" s="101"/>
      <c r="G66" s="101"/>
      <c r="H66" s="101"/>
      <c r="I66" s="101"/>
      <c r="J66" s="101"/>
      <c r="K66" s="101"/>
      <c r="L66" s="36"/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103"/>
      <c r="B67" s="101"/>
      <c r="C67" s="104"/>
      <c r="D67" s="101"/>
      <c r="E67" s="15">
        <f t="shared" ref="E67:F67" si="30">SUM(E61:E65)</f>
        <v>31330</v>
      </c>
      <c r="F67" s="15">
        <f t="shared" si="30"/>
        <v>34619.65</v>
      </c>
      <c r="G67" s="101"/>
      <c r="H67" s="101"/>
      <c r="I67" s="101"/>
      <c r="J67" s="101"/>
      <c r="K67" s="15">
        <f>SUM(K61:K65)</f>
        <v>15145.84048</v>
      </c>
      <c r="L67" s="110">
        <f>IFERROR(K67/E67, 0)</f>
        <v>0.4834293162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103"/>
      <c r="B68" s="101"/>
      <c r="C68" s="104"/>
      <c r="D68" s="101"/>
      <c r="E68" s="15"/>
      <c r="F68" s="15"/>
      <c r="G68" s="101"/>
      <c r="H68" s="101"/>
      <c r="I68" s="101"/>
      <c r="J68" s="101"/>
      <c r="K68" s="15"/>
      <c r="L68" s="105"/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103"/>
      <c r="B69" s="101"/>
      <c r="C69" s="104"/>
      <c r="D69" s="101"/>
      <c r="E69" s="15"/>
      <c r="F69" s="15"/>
      <c r="G69" s="101"/>
      <c r="H69" s="101"/>
      <c r="I69" s="101"/>
      <c r="J69" s="101"/>
      <c r="K69" s="15"/>
      <c r="L69" s="105"/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8" t="s">
        <v>228</v>
      </c>
      <c r="E70" s="86" t="s">
        <v>74</v>
      </c>
      <c r="F70" s="82">
        <v>46071.0</v>
      </c>
      <c r="G70" s="86" t="s">
        <v>2</v>
      </c>
      <c r="H70" s="3"/>
      <c r="I70" s="8" t="s">
        <v>3</v>
      </c>
      <c r="L70" s="4"/>
      <c r="M70" s="2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"/>
      <c r="B71" s="3"/>
      <c r="C71" s="9"/>
      <c r="D71" s="3"/>
      <c r="E71" s="3"/>
      <c r="F71" s="3"/>
      <c r="G71" s="3"/>
      <c r="H71" s="3"/>
      <c r="I71" s="3"/>
      <c r="J71" s="3"/>
      <c r="K71" s="3"/>
      <c r="L71" s="4"/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5" t="s">
        <v>4</v>
      </c>
      <c r="B72" s="10" t="s">
        <v>5</v>
      </c>
      <c r="C72" s="96" t="s">
        <v>6</v>
      </c>
      <c r="D72" s="10" t="s">
        <v>7</v>
      </c>
      <c r="E72" s="10" t="s">
        <v>8</v>
      </c>
      <c r="F72" s="10" t="s">
        <v>9</v>
      </c>
      <c r="G72" s="101"/>
      <c r="H72" s="101"/>
      <c r="I72" s="10" t="s">
        <v>260</v>
      </c>
      <c r="J72" s="10" t="s">
        <v>8</v>
      </c>
      <c r="K72" s="10" t="s">
        <v>10</v>
      </c>
      <c r="L72" s="102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3">
        <v>2.0</v>
      </c>
      <c r="B73" s="84" t="s">
        <v>33</v>
      </c>
      <c r="C73" s="85" t="s">
        <v>55</v>
      </c>
      <c r="D73" s="22">
        <v>3000.0</v>
      </c>
      <c r="E73" s="15">
        <f t="shared" ref="E73:E81" si="31">A73*D73</f>
        <v>6000</v>
      </c>
      <c r="F73" s="15">
        <f t="shared" ref="F73:F81" si="32">E73*1.105</f>
        <v>6630</v>
      </c>
      <c r="G73" s="101"/>
      <c r="H73" s="101"/>
      <c r="I73" s="22">
        <f>39000/18</f>
        <v>2166.666667</v>
      </c>
      <c r="J73" s="15">
        <f t="shared" ref="J73:J81" si="33">I73*A73</f>
        <v>4333.333333</v>
      </c>
      <c r="K73" s="15">
        <f t="shared" ref="K73:K81" si="34">F73-J73</f>
        <v>2296.666667</v>
      </c>
      <c r="L73" s="36">
        <f t="shared" ref="L73:L81" si="35">IFERROR(K73/E73, 0)</f>
        <v>0.3827777778</v>
      </c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0.5</v>
      </c>
      <c r="B74" s="84" t="s">
        <v>33</v>
      </c>
      <c r="C74" s="85" t="s">
        <v>195</v>
      </c>
      <c r="D74" s="22">
        <v>3500.0</v>
      </c>
      <c r="E74" s="15">
        <f t="shared" si="31"/>
        <v>1750</v>
      </c>
      <c r="F74" s="15">
        <f t="shared" si="32"/>
        <v>1933.75</v>
      </c>
      <c r="G74" s="101"/>
      <c r="H74" s="113" t="s">
        <v>274</v>
      </c>
      <c r="I74" s="87">
        <v>0.0</v>
      </c>
      <c r="J74" s="15">
        <f t="shared" si="33"/>
        <v>0</v>
      </c>
      <c r="K74" s="15">
        <f t="shared" si="34"/>
        <v>1933.75</v>
      </c>
      <c r="L74" s="36">
        <f t="shared" si="35"/>
        <v>1.105</v>
      </c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0.5</v>
      </c>
      <c r="B75" s="84" t="s">
        <v>33</v>
      </c>
      <c r="C75" s="85" t="s">
        <v>233</v>
      </c>
      <c r="D75" s="22">
        <v>3500.0</v>
      </c>
      <c r="E75" s="15">
        <f t="shared" si="31"/>
        <v>1750</v>
      </c>
      <c r="F75" s="15">
        <f t="shared" si="32"/>
        <v>1933.75</v>
      </c>
      <c r="G75" s="101"/>
      <c r="H75" s="101"/>
      <c r="I75" s="87">
        <f>9000/5</f>
        <v>1800</v>
      </c>
      <c r="J75" s="15">
        <f t="shared" si="33"/>
        <v>900</v>
      </c>
      <c r="K75" s="15">
        <f t="shared" si="34"/>
        <v>1033.75</v>
      </c>
      <c r="L75" s="36">
        <f t="shared" si="35"/>
        <v>0.5907142857</v>
      </c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0.85</v>
      </c>
      <c r="B76" s="84" t="s">
        <v>33</v>
      </c>
      <c r="C76" s="85" t="s">
        <v>57</v>
      </c>
      <c r="D76" s="22">
        <v>6500.0</v>
      </c>
      <c r="E76" s="15">
        <f t="shared" si="31"/>
        <v>5525</v>
      </c>
      <c r="F76" s="15">
        <f t="shared" si="32"/>
        <v>6105.125</v>
      </c>
      <c r="G76" s="101"/>
      <c r="H76" s="101"/>
      <c r="I76" s="22">
        <v>5000.0</v>
      </c>
      <c r="J76" s="15">
        <f t="shared" si="33"/>
        <v>4250</v>
      </c>
      <c r="K76" s="15">
        <f t="shared" si="34"/>
        <v>1855.125</v>
      </c>
      <c r="L76" s="36">
        <f t="shared" si="35"/>
        <v>0.3357692308</v>
      </c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1.0</v>
      </c>
      <c r="B77" s="84" t="s">
        <v>33</v>
      </c>
      <c r="C77" s="85" t="s">
        <v>20</v>
      </c>
      <c r="D77" s="22">
        <v>3500.0</v>
      </c>
      <c r="E77" s="15">
        <f t="shared" si="31"/>
        <v>3500</v>
      </c>
      <c r="F77" s="15">
        <f t="shared" si="32"/>
        <v>3867.5</v>
      </c>
      <c r="G77" s="101"/>
      <c r="H77" s="113" t="s">
        <v>274</v>
      </c>
      <c r="I77" s="22">
        <v>0.0</v>
      </c>
      <c r="J77" s="15">
        <f t="shared" si="33"/>
        <v>0</v>
      </c>
      <c r="K77" s="15">
        <f t="shared" si="34"/>
        <v>3867.5</v>
      </c>
      <c r="L77" s="36">
        <f t="shared" si="35"/>
        <v>1.105</v>
      </c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1.0</v>
      </c>
      <c r="B78" s="84" t="s">
        <v>50</v>
      </c>
      <c r="C78" s="85" t="s">
        <v>205</v>
      </c>
      <c r="D78" s="22">
        <v>4000.0</v>
      </c>
      <c r="E78" s="15">
        <f t="shared" si="31"/>
        <v>4000</v>
      </c>
      <c r="F78" s="15">
        <f t="shared" si="32"/>
        <v>4420</v>
      </c>
      <c r="G78" s="101"/>
      <c r="H78" s="101"/>
      <c r="I78" s="22">
        <v>2000.0</v>
      </c>
      <c r="J78" s="15">
        <f t="shared" si="33"/>
        <v>2000</v>
      </c>
      <c r="K78" s="15">
        <f t="shared" si="34"/>
        <v>2420</v>
      </c>
      <c r="L78" s="36">
        <f t="shared" si="35"/>
        <v>0.605</v>
      </c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0.25</v>
      </c>
      <c r="B79" s="84" t="s">
        <v>50</v>
      </c>
      <c r="C79" s="85" t="s">
        <v>249</v>
      </c>
      <c r="D79" s="22">
        <v>13000.0</v>
      </c>
      <c r="E79" s="15">
        <f t="shared" si="31"/>
        <v>3250</v>
      </c>
      <c r="F79" s="15">
        <f t="shared" si="32"/>
        <v>3591.25</v>
      </c>
      <c r="G79" s="101"/>
      <c r="H79" s="101"/>
      <c r="I79" s="87">
        <v>9000.0</v>
      </c>
      <c r="J79" s="15">
        <f t="shared" si="33"/>
        <v>2250</v>
      </c>
      <c r="K79" s="15">
        <f t="shared" si="34"/>
        <v>1341.25</v>
      </c>
      <c r="L79" s="36">
        <f t="shared" si="35"/>
        <v>0.4126923077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0.5</v>
      </c>
      <c r="B80" s="84" t="s">
        <v>18</v>
      </c>
      <c r="C80" s="85" t="s">
        <v>72</v>
      </c>
      <c r="D80" s="22">
        <v>36000.0</v>
      </c>
      <c r="E80" s="15">
        <f t="shared" si="31"/>
        <v>18000</v>
      </c>
      <c r="F80" s="15">
        <f t="shared" si="32"/>
        <v>19890</v>
      </c>
      <c r="G80" s="101"/>
      <c r="H80" s="101"/>
      <c r="I80" s="22">
        <v>30000.0</v>
      </c>
      <c r="J80" s="15">
        <f t="shared" si="33"/>
        <v>15000</v>
      </c>
      <c r="K80" s="15">
        <f t="shared" si="34"/>
        <v>4890</v>
      </c>
      <c r="L80" s="36">
        <f t="shared" si="35"/>
        <v>0.2716666667</v>
      </c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2.0</v>
      </c>
      <c r="B81" s="84" t="s">
        <v>33</v>
      </c>
      <c r="C81" s="85" t="s">
        <v>237</v>
      </c>
      <c r="D81" s="22">
        <v>1600.0</v>
      </c>
      <c r="E81" s="15">
        <f t="shared" si="31"/>
        <v>3200</v>
      </c>
      <c r="F81" s="15">
        <f t="shared" si="32"/>
        <v>3536</v>
      </c>
      <c r="G81" s="101"/>
      <c r="H81" s="101"/>
      <c r="I81" s="87">
        <f>15000/15</f>
        <v>1000</v>
      </c>
      <c r="J81" s="15">
        <f t="shared" si="33"/>
        <v>2000</v>
      </c>
      <c r="K81" s="15">
        <f t="shared" si="34"/>
        <v>1536</v>
      </c>
      <c r="L81" s="36">
        <f t="shared" si="35"/>
        <v>0.48</v>
      </c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103"/>
      <c r="B82" s="101"/>
      <c r="C82" s="104"/>
      <c r="D82" s="101"/>
      <c r="E82" s="101"/>
      <c r="F82" s="101"/>
      <c r="G82" s="101"/>
      <c r="H82" s="101"/>
      <c r="I82" s="101"/>
      <c r="J82" s="101"/>
      <c r="K82" s="101"/>
      <c r="L82" s="36"/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03"/>
      <c r="B83" s="101"/>
      <c r="C83" s="104"/>
      <c r="D83" s="101"/>
      <c r="E83" s="15">
        <f t="shared" ref="E83:F83" si="36">SUM(E73:E81)</f>
        <v>46975</v>
      </c>
      <c r="F83" s="15">
        <f t="shared" si="36"/>
        <v>51907.375</v>
      </c>
      <c r="G83" s="101"/>
      <c r="H83" s="101"/>
      <c r="I83" s="101"/>
      <c r="J83" s="101"/>
      <c r="K83" s="15">
        <f>SUM(K73:K81)</f>
        <v>21174.04167</v>
      </c>
      <c r="L83" s="110">
        <f>IFERROR(K83/E83, 0)</f>
        <v>0.4507512861</v>
      </c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9"/>
      <c r="B85" s="24"/>
      <c r="C85" s="24"/>
      <c r="D85" s="81"/>
      <c r="E85" s="82"/>
      <c r="F85" s="33"/>
      <c r="G85" s="25"/>
      <c r="H85" s="25"/>
      <c r="I85" s="16"/>
      <c r="J85" s="16"/>
      <c r="K85" s="16"/>
      <c r="L85" s="34"/>
      <c r="M85" s="2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5" t="s">
        <v>42</v>
      </c>
      <c r="B86" s="95" t="s">
        <v>66</v>
      </c>
      <c r="C86" s="5"/>
      <c r="D86" s="86"/>
      <c r="E86" s="86" t="s">
        <v>170</v>
      </c>
      <c r="F86" s="82">
        <v>46071.0</v>
      </c>
      <c r="G86" s="86" t="s">
        <v>2</v>
      </c>
      <c r="H86" s="3"/>
      <c r="I86" s="8" t="s">
        <v>3</v>
      </c>
      <c r="L86" s="4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"/>
      <c r="B87" s="3"/>
      <c r="C87" s="9"/>
      <c r="D87" s="3"/>
      <c r="E87" s="3"/>
      <c r="F87" s="3"/>
      <c r="G87" s="3"/>
      <c r="H87" s="3"/>
      <c r="I87" s="3"/>
      <c r="J87" s="3"/>
      <c r="K87" s="3"/>
      <c r="L87" s="4"/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5" t="s">
        <v>4</v>
      </c>
      <c r="B88" s="10" t="s">
        <v>5</v>
      </c>
      <c r="C88" s="96" t="s">
        <v>6</v>
      </c>
      <c r="D88" s="10" t="s">
        <v>7</v>
      </c>
      <c r="E88" s="10" t="s">
        <v>8</v>
      </c>
      <c r="F88" s="10" t="s">
        <v>9</v>
      </c>
      <c r="G88" s="101"/>
      <c r="H88" s="101"/>
      <c r="I88" s="10" t="s">
        <v>260</v>
      </c>
      <c r="J88" s="10" t="s">
        <v>8</v>
      </c>
      <c r="K88" s="10" t="s">
        <v>10</v>
      </c>
      <c r="L88" s="102"/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91">
        <v>1.0</v>
      </c>
      <c r="B89" s="92" t="s">
        <v>38</v>
      </c>
      <c r="C89" s="93" t="s">
        <v>45</v>
      </c>
      <c r="D89" s="22">
        <v>12000.0</v>
      </c>
      <c r="E89" s="15">
        <f t="shared" ref="E89:E97" si="37">A89*D89</f>
        <v>12000</v>
      </c>
      <c r="F89" s="15">
        <f t="shared" ref="F89:F94" si="38">E89*1.105</f>
        <v>13260</v>
      </c>
      <c r="G89" s="3"/>
      <c r="H89" s="3"/>
      <c r="I89" s="22">
        <v>8000.0</v>
      </c>
      <c r="J89" s="15">
        <f t="shared" ref="J89:J97" si="39">I89*A89</f>
        <v>8000</v>
      </c>
      <c r="K89" s="15">
        <f t="shared" ref="K89:K97" si="40">F89-J89</f>
        <v>5260</v>
      </c>
      <c r="L89" s="23">
        <f t="shared" ref="L89:L97" si="41">IFERROR(K89/E89, 0)</f>
        <v>0.4383333333</v>
      </c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91">
        <v>1.0</v>
      </c>
      <c r="B90" s="92" t="s">
        <v>38</v>
      </c>
      <c r="C90" s="93" t="s">
        <v>67</v>
      </c>
      <c r="D90" s="22">
        <v>12000.0</v>
      </c>
      <c r="E90" s="15">
        <f t="shared" si="37"/>
        <v>12000</v>
      </c>
      <c r="F90" s="15">
        <f t="shared" si="38"/>
        <v>13260</v>
      </c>
      <c r="G90" s="3"/>
      <c r="H90" s="3"/>
      <c r="I90" s="22">
        <v>8000.0</v>
      </c>
      <c r="J90" s="15">
        <f t="shared" si="39"/>
        <v>8000</v>
      </c>
      <c r="K90" s="15">
        <f t="shared" si="40"/>
        <v>5260</v>
      </c>
      <c r="L90" s="23">
        <f t="shared" si="41"/>
        <v>0.4383333333</v>
      </c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91">
        <v>1.0</v>
      </c>
      <c r="B91" s="92" t="s">
        <v>18</v>
      </c>
      <c r="C91" s="93" t="s">
        <v>194</v>
      </c>
      <c r="D91" s="22">
        <v>11000.0</v>
      </c>
      <c r="E91" s="15">
        <f t="shared" si="37"/>
        <v>11000</v>
      </c>
      <c r="F91" s="15">
        <f t="shared" si="38"/>
        <v>12155</v>
      </c>
      <c r="G91" s="3"/>
      <c r="H91" s="3"/>
      <c r="I91" s="22">
        <v>9000.0</v>
      </c>
      <c r="J91" s="15">
        <f t="shared" si="39"/>
        <v>9000</v>
      </c>
      <c r="K91" s="15">
        <f t="shared" si="40"/>
        <v>3155</v>
      </c>
      <c r="L91" s="23">
        <f t="shared" si="41"/>
        <v>0.2868181818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91">
        <v>3.0</v>
      </c>
      <c r="B92" s="10" t="s">
        <v>33</v>
      </c>
      <c r="C92" s="93" t="s">
        <v>192</v>
      </c>
      <c r="D92" s="22">
        <v>1400.0</v>
      </c>
      <c r="E92" s="15">
        <f t="shared" si="37"/>
        <v>4200</v>
      </c>
      <c r="F92" s="15">
        <f t="shared" si="38"/>
        <v>4641</v>
      </c>
      <c r="G92" s="3"/>
      <c r="H92" s="3"/>
      <c r="I92" s="22">
        <f>12000/16</f>
        <v>750</v>
      </c>
      <c r="J92" s="15">
        <f t="shared" si="39"/>
        <v>2250</v>
      </c>
      <c r="K92" s="15">
        <f t="shared" si="40"/>
        <v>2391</v>
      </c>
      <c r="L92" s="23">
        <f t="shared" si="41"/>
        <v>0.5692857143</v>
      </c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3">
        <v>2.0</v>
      </c>
      <c r="B93" s="84" t="s">
        <v>33</v>
      </c>
      <c r="C93" s="85" t="s">
        <v>19</v>
      </c>
      <c r="D93" s="22">
        <v>2600.0</v>
      </c>
      <c r="E93" s="15">
        <f t="shared" si="37"/>
        <v>5200</v>
      </c>
      <c r="F93" s="15">
        <f t="shared" si="38"/>
        <v>5746</v>
      </c>
      <c r="G93" s="101"/>
      <c r="H93" s="101"/>
      <c r="I93" s="22">
        <f>28000/15</f>
        <v>1866.666667</v>
      </c>
      <c r="J93" s="15">
        <f t="shared" si="39"/>
        <v>3733.333333</v>
      </c>
      <c r="K93" s="15">
        <f t="shared" si="40"/>
        <v>2012.666667</v>
      </c>
      <c r="L93" s="36">
        <f t="shared" si="41"/>
        <v>0.3870512821</v>
      </c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3">
        <v>2.0</v>
      </c>
      <c r="B94" s="84" t="s">
        <v>33</v>
      </c>
      <c r="C94" s="85" t="s">
        <v>99</v>
      </c>
      <c r="D94" s="22">
        <v>1800.0</v>
      </c>
      <c r="E94" s="15">
        <f t="shared" si="37"/>
        <v>3600</v>
      </c>
      <c r="F94" s="15">
        <f t="shared" si="38"/>
        <v>3978</v>
      </c>
      <c r="G94" s="101"/>
      <c r="H94" s="101"/>
      <c r="I94" s="22">
        <v>1000.0</v>
      </c>
      <c r="J94" s="15">
        <f t="shared" si="39"/>
        <v>2000</v>
      </c>
      <c r="K94" s="15">
        <f t="shared" si="40"/>
        <v>1978</v>
      </c>
      <c r="L94" s="36">
        <f t="shared" si="41"/>
        <v>0.5494444444</v>
      </c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1.0</v>
      </c>
      <c r="B95" s="84" t="s">
        <v>18</v>
      </c>
      <c r="C95" s="85" t="s">
        <v>21</v>
      </c>
      <c r="D95" s="22">
        <v>52000.0</v>
      </c>
      <c r="E95" s="15">
        <f t="shared" si="37"/>
        <v>52000</v>
      </c>
      <c r="F95" s="15">
        <f>E95*1.21</f>
        <v>62920</v>
      </c>
      <c r="G95" s="101"/>
      <c r="H95" s="101"/>
      <c r="I95" s="22">
        <v>48000.0</v>
      </c>
      <c r="J95" s="15">
        <f t="shared" si="39"/>
        <v>48000</v>
      </c>
      <c r="K95" s="15">
        <f t="shared" si="40"/>
        <v>14920</v>
      </c>
      <c r="L95" s="36">
        <f t="shared" si="41"/>
        <v>0.2869230769</v>
      </c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3.0</v>
      </c>
      <c r="B96" s="84" t="s">
        <v>33</v>
      </c>
      <c r="C96" s="85" t="s">
        <v>47</v>
      </c>
      <c r="D96" s="22">
        <v>1400.0</v>
      </c>
      <c r="E96" s="15">
        <f t="shared" si="37"/>
        <v>4200</v>
      </c>
      <c r="F96" s="15">
        <f t="shared" ref="F96:F97" si="42">E96*1.105</f>
        <v>4641</v>
      </c>
      <c r="G96" s="101"/>
      <c r="H96" s="101"/>
      <c r="I96" s="22">
        <f>8000/9</f>
        <v>888.8888889</v>
      </c>
      <c r="J96" s="15">
        <f t="shared" si="39"/>
        <v>2666.666667</v>
      </c>
      <c r="K96" s="15">
        <f t="shared" si="40"/>
        <v>1974.333333</v>
      </c>
      <c r="L96" s="36">
        <f t="shared" si="41"/>
        <v>0.4700793651</v>
      </c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4.0</v>
      </c>
      <c r="B97" s="84" t="s">
        <v>18</v>
      </c>
      <c r="C97" s="85" t="s">
        <v>77</v>
      </c>
      <c r="D97" s="22">
        <v>16000.0</v>
      </c>
      <c r="E97" s="15">
        <f t="shared" si="37"/>
        <v>64000</v>
      </c>
      <c r="F97" s="15">
        <f t="shared" si="42"/>
        <v>70720</v>
      </c>
      <c r="G97" s="101"/>
      <c r="H97" s="101"/>
      <c r="I97" s="22">
        <v>12000.0</v>
      </c>
      <c r="J97" s="15">
        <f t="shared" si="39"/>
        <v>48000</v>
      </c>
      <c r="K97" s="15">
        <f t="shared" si="40"/>
        <v>22720</v>
      </c>
      <c r="L97" s="36">
        <f t="shared" si="41"/>
        <v>0.355</v>
      </c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103"/>
      <c r="B98" s="101"/>
      <c r="C98" s="104"/>
      <c r="D98" s="101"/>
      <c r="E98" s="101"/>
      <c r="F98" s="101"/>
      <c r="G98" s="101"/>
      <c r="H98" s="101"/>
      <c r="I98" s="101"/>
      <c r="J98" s="101"/>
      <c r="K98" s="101"/>
      <c r="L98" s="36"/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103"/>
      <c r="B99" s="101"/>
      <c r="C99" s="104"/>
      <c r="D99" s="101"/>
      <c r="E99" s="15">
        <f t="shared" ref="E99:F99" si="43">SUM(E89:E97)</f>
        <v>168200</v>
      </c>
      <c r="F99" s="15">
        <f t="shared" si="43"/>
        <v>191321</v>
      </c>
      <c r="G99" s="101"/>
      <c r="H99" s="101"/>
      <c r="I99" s="101"/>
      <c r="J99" s="101"/>
      <c r="K99" s="15">
        <f>SUM(K89:K97)</f>
        <v>59671</v>
      </c>
      <c r="L99" s="110">
        <f>IFERROR(K99/E99, 0)</f>
        <v>0.3547621879</v>
      </c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13"/>
      <c r="B100" s="12"/>
      <c r="C100" s="14"/>
      <c r="D100" s="15"/>
      <c r="E100" s="16"/>
      <c r="F100" s="16"/>
      <c r="G100" s="25"/>
      <c r="H100" s="25"/>
      <c r="I100" s="16"/>
      <c r="J100" s="16"/>
      <c r="K100" s="16"/>
      <c r="L100" s="110"/>
      <c r="M100" s="2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26" t="s">
        <v>60</v>
      </c>
      <c r="B101" s="27">
        <v>0.04</v>
      </c>
      <c r="C101" s="2"/>
      <c r="D101" s="3"/>
      <c r="E101" s="15">
        <f>E99*0.04</f>
        <v>6728</v>
      </c>
      <c r="F101" s="3"/>
      <c r="G101" s="2"/>
      <c r="H101" s="3"/>
      <c r="I101" s="3"/>
      <c r="J101" s="3"/>
      <c r="K101" s="3"/>
      <c r="L101" s="4"/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5"/>
      <c r="B103" s="95"/>
      <c r="C103" s="5"/>
      <c r="D103" s="86"/>
      <c r="E103" s="86"/>
      <c r="F103" s="82"/>
      <c r="G103" s="6"/>
      <c r="H103" s="3"/>
      <c r="I103" s="8"/>
      <c r="J103" s="8"/>
      <c r="K103" s="8"/>
      <c r="L103" s="4"/>
      <c r="M103" s="2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5" t="s">
        <v>42</v>
      </c>
      <c r="B104" s="95" t="s">
        <v>43</v>
      </c>
      <c r="C104" s="5"/>
      <c r="D104" s="86"/>
      <c r="E104" s="86" t="s">
        <v>285</v>
      </c>
      <c r="F104" s="82">
        <v>46071.0</v>
      </c>
      <c r="G104" s="86" t="s">
        <v>2</v>
      </c>
      <c r="H104" s="3"/>
      <c r="I104" s="8" t="s">
        <v>3</v>
      </c>
      <c r="L104" s="4"/>
      <c r="M104" s="2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1"/>
      <c r="B105" s="3"/>
      <c r="C105" s="9"/>
      <c r="D105" s="3"/>
      <c r="E105" s="3"/>
      <c r="F105" s="3"/>
      <c r="G105" s="3"/>
      <c r="H105" s="3"/>
      <c r="I105" s="3"/>
      <c r="J105" s="3"/>
      <c r="K105" s="3"/>
      <c r="L105" s="4"/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5" t="s">
        <v>4</v>
      </c>
      <c r="B106" s="10" t="s">
        <v>5</v>
      </c>
      <c r="C106" s="96" t="s">
        <v>6</v>
      </c>
      <c r="D106" s="10" t="s">
        <v>7</v>
      </c>
      <c r="E106" s="10" t="s">
        <v>8</v>
      </c>
      <c r="F106" s="10" t="s">
        <v>9</v>
      </c>
      <c r="G106" s="101"/>
      <c r="H106" s="101"/>
      <c r="I106" s="10" t="s">
        <v>260</v>
      </c>
      <c r="J106" s="10" t="s">
        <v>8</v>
      </c>
      <c r="K106" s="10" t="s">
        <v>10</v>
      </c>
      <c r="L106" s="102"/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91">
        <v>1.0</v>
      </c>
      <c r="B107" s="92" t="s">
        <v>18</v>
      </c>
      <c r="C107" s="93" t="s">
        <v>21</v>
      </c>
      <c r="D107" s="22">
        <v>52000.0</v>
      </c>
      <c r="E107" s="15">
        <f t="shared" ref="E107:E114" si="44">A107*D107</f>
        <v>52000</v>
      </c>
      <c r="F107" s="15">
        <f>E107*1.21</f>
        <v>62920</v>
      </c>
      <c r="G107" s="3"/>
      <c r="H107" s="3"/>
      <c r="I107" s="22">
        <v>48000.0</v>
      </c>
      <c r="J107" s="15">
        <f t="shared" ref="J107:J114" si="45">I107*A107</f>
        <v>48000</v>
      </c>
      <c r="K107" s="15">
        <f t="shared" ref="K107:K114" si="46">F107-J107</f>
        <v>14920</v>
      </c>
      <c r="L107" s="23">
        <f t="shared" ref="L107:L114" si="47">IFERROR(K107/E107, 0)</f>
        <v>0.2869230769</v>
      </c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91">
        <v>1.0</v>
      </c>
      <c r="B108" s="92" t="s">
        <v>38</v>
      </c>
      <c r="C108" s="93" t="s">
        <v>67</v>
      </c>
      <c r="D108" s="22">
        <v>12000.0</v>
      </c>
      <c r="E108" s="15">
        <f t="shared" si="44"/>
        <v>12000</v>
      </c>
      <c r="F108" s="15">
        <f t="shared" ref="F108:F114" si="48">E108*1.105</f>
        <v>13260</v>
      </c>
      <c r="G108" s="3"/>
      <c r="H108" s="3"/>
      <c r="I108" s="22">
        <v>8000.0</v>
      </c>
      <c r="J108" s="15">
        <f t="shared" si="45"/>
        <v>8000</v>
      </c>
      <c r="K108" s="15">
        <f t="shared" si="46"/>
        <v>5260</v>
      </c>
      <c r="L108" s="23">
        <f t="shared" si="47"/>
        <v>0.4383333333</v>
      </c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91">
        <v>1.0</v>
      </c>
      <c r="B109" s="92" t="s">
        <v>38</v>
      </c>
      <c r="C109" s="93" t="s">
        <v>47</v>
      </c>
      <c r="D109" s="22">
        <v>12000.0</v>
      </c>
      <c r="E109" s="15">
        <f t="shared" si="44"/>
        <v>12000</v>
      </c>
      <c r="F109" s="15">
        <f t="shared" si="48"/>
        <v>13260</v>
      </c>
      <c r="G109" s="3"/>
      <c r="H109" s="3"/>
      <c r="I109" s="86">
        <v>8000.0</v>
      </c>
      <c r="J109" s="15">
        <f t="shared" si="45"/>
        <v>8000</v>
      </c>
      <c r="K109" s="15">
        <f t="shared" si="46"/>
        <v>5260</v>
      </c>
      <c r="L109" s="23">
        <f t="shared" si="47"/>
        <v>0.4383333333</v>
      </c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91">
        <v>3.0</v>
      </c>
      <c r="B110" s="10" t="s">
        <v>33</v>
      </c>
      <c r="C110" s="93" t="s">
        <v>19</v>
      </c>
      <c r="D110" s="22">
        <v>2600.0</v>
      </c>
      <c r="E110" s="15">
        <f t="shared" si="44"/>
        <v>7800</v>
      </c>
      <c r="F110" s="15">
        <f t="shared" si="48"/>
        <v>8619</v>
      </c>
      <c r="G110" s="3"/>
      <c r="H110" s="3"/>
      <c r="I110" s="22">
        <f>28000/15</f>
        <v>1866.666667</v>
      </c>
      <c r="J110" s="15">
        <f t="shared" si="45"/>
        <v>5600</v>
      </c>
      <c r="K110" s="15">
        <f t="shared" si="46"/>
        <v>3019</v>
      </c>
      <c r="L110" s="23">
        <f t="shared" si="47"/>
        <v>0.3870512821</v>
      </c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83">
        <v>2.0</v>
      </c>
      <c r="B111" s="84" t="s">
        <v>33</v>
      </c>
      <c r="C111" s="85" t="s">
        <v>25</v>
      </c>
      <c r="D111" s="22">
        <v>3000.0</v>
      </c>
      <c r="E111" s="15">
        <f t="shared" si="44"/>
        <v>6000</v>
      </c>
      <c r="F111" s="15">
        <f t="shared" si="48"/>
        <v>6630</v>
      </c>
      <c r="G111" s="101"/>
      <c r="H111" s="101"/>
      <c r="I111" s="22">
        <f>12000/8</f>
        <v>1500</v>
      </c>
      <c r="J111" s="15">
        <f t="shared" si="45"/>
        <v>3000</v>
      </c>
      <c r="K111" s="15">
        <f t="shared" si="46"/>
        <v>3630</v>
      </c>
      <c r="L111" s="36">
        <f t="shared" si="47"/>
        <v>0.605</v>
      </c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83">
        <v>2.0</v>
      </c>
      <c r="B112" s="84" t="s">
        <v>33</v>
      </c>
      <c r="C112" s="85" t="s">
        <v>24</v>
      </c>
      <c r="D112" s="22">
        <v>4500.0</v>
      </c>
      <c r="E112" s="15">
        <f t="shared" si="44"/>
        <v>9000</v>
      </c>
      <c r="F112" s="15">
        <f t="shared" si="48"/>
        <v>9945</v>
      </c>
      <c r="G112" s="101"/>
      <c r="H112" s="101"/>
      <c r="I112" s="22">
        <f>30000/8</f>
        <v>3750</v>
      </c>
      <c r="J112" s="15">
        <f t="shared" si="45"/>
        <v>7500</v>
      </c>
      <c r="K112" s="15">
        <f t="shared" si="46"/>
        <v>2445</v>
      </c>
      <c r="L112" s="36">
        <f t="shared" si="47"/>
        <v>0.2716666667</v>
      </c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83">
        <v>6.0</v>
      </c>
      <c r="B113" s="84" t="s">
        <v>50</v>
      </c>
      <c r="C113" s="85" t="s">
        <v>77</v>
      </c>
      <c r="D113" s="22">
        <v>2000.0</v>
      </c>
      <c r="E113" s="15">
        <f t="shared" si="44"/>
        <v>12000</v>
      </c>
      <c r="F113" s="15">
        <f t="shared" si="48"/>
        <v>13260</v>
      </c>
      <c r="G113" s="101"/>
      <c r="H113" s="101"/>
      <c r="I113" s="22">
        <v>1600.0</v>
      </c>
      <c r="J113" s="15">
        <f t="shared" si="45"/>
        <v>9600</v>
      </c>
      <c r="K113" s="15">
        <f t="shared" si="46"/>
        <v>3660</v>
      </c>
      <c r="L113" s="36">
        <f t="shared" si="47"/>
        <v>0.305</v>
      </c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83">
        <v>2.0</v>
      </c>
      <c r="B114" s="84" t="s">
        <v>33</v>
      </c>
      <c r="C114" s="93" t="s">
        <v>194</v>
      </c>
      <c r="D114" s="22">
        <v>3000.0</v>
      </c>
      <c r="E114" s="15">
        <f t="shared" si="44"/>
        <v>6000</v>
      </c>
      <c r="F114" s="15">
        <f t="shared" si="48"/>
        <v>6630</v>
      </c>
      <c r="G114" s="101"/>
      <c r="H114" s="101"/>
      <c r="I114" s="22">
        <f>9000/8</f>
        <v>1125</v>
      </c>
      <c r="J114" s="15">
        <f t="shared" si="45"/>
        <v>2250</v>
      </c>
      <c r="K114" s="15">
        <f t="shared" si="46"/>
        <v>4380</v>
      </c>
      <c r="L114" s="36">
        <f t="shared" si="47"/>
        <v>0.73</v>
      </c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103"/>
      <c r="B115" s="101"/>
      <c r="C115" s="104"/>
      <c r="D115" s="101"/>
      <c r="E115" s="101"/>
      <c r="F115" s="101"/>
      <c r="G115" s="101"/>
      <c r="H115" s="101"/>
      <c r="I115" s="101"/>
      <c r="J115" s="101"/>
      <c r="K115" s="101"/>
      <c r="L115" s="36"/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103"/>
      <c r="B116" s="101"/>
      <c r="C116" s="104"/>
      <c r="D116" s="101"/>
      <c r="E116" s="15">
        <f t="shared" ref="E116:F116" si="49">SUM(E107:E114)</f>
        <v>116800</v>
      </c>
      <c r="F116" s="15">
        <f t="shared" si="49"/>
        <v>134524</v>
      </c>
      <c r="G116" s="101"/>
      <c r="H116" s="101"/>
      <c r="I116" s="101"/>
      <c r="J116" s="101"/>
      <c r="K116" s="15">
        <f>SUM(K107:K114)</f>
        <v>42574</v>
      </c>
      <c r="L116" s="110">
        <f>IFERROR(K116/E116, 0)</f>
        <v>0.3645034247</v>
      </c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3"/>
      <c r="T117" s="3"/>
      <c r="U117" s="3"/>
      <c r="V117" s="3"/>
      <c r="W117" s="3"/>
      <c r="X117" s="3"/>
      <c r="Y117" s="3"/>
      <c r="Z117" s="3"/>
    </row>
    <row r="118">
      <c r="A118" s="26" t="s">
        <v>60</v>
      </c>
      <c r="B118" s="27">
        <v>0.04</v>
      </c>
      <c r="C118" s="2"/>
      <c r="D118" s="3"/>
      <c r="E118" s="15">
        <f>E116*0.04</f>
        <v>4672</v>
      </c>
      <c r="F118" s="3"/>
      <c r="G118" s="2"/>
      <c r="H118" s="3"/>
      <c r="I118" s="3"/>
      <c r="J118" s="3"/>
      <c r="K118" s="3"/>
      <c r="L118" s="4"/>
      <c r="M118" s="1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9"/>
      <c r="B119" s="24"/>
      <c r="C119" s="24"/>
      <c r="D119" s="81"/>
      <c r="E119" s="82"/>
      <c r="F119" s="33"/>
      <c r="G119" s="25"/>
      <c r="H119" s="25"/>
      <c r="I119" s="16"/>
      <c r="J119" s="16"/>
      <c r="K119" s="16"/>
      <c r="L119" s="34"/>
      <c r="M119" s="2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89" t="s">
        <v>100</v>
      </c>
      <c r="B120" s="24"/>
      <c r="C120" s="24"/>
      <c r="D120" s="81" t="s">
        <v>282</v>
      </c>
      <c r="E120" s="82">
        <v>46071.0</v>
      </c>
      <c r="F120" s="33" t="s">
        <v>13</v>
      </c>
      <c r="G120" s="98" t="s">
        <v>2</v>
      </c>
      <c r="H120" s="25"/>
      <c r="I120" s="16"/>
      <c r="J120" s="16"/>
      <c r="K120" s="16"/>
      <c r="L120" s="34"/>
      <c r="M120" s="2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B121" s="25"/>
      <c r="C121" s="35"/>
      <c r="D121" s="25"/>
      <c r="E121" s="25"/>
      <c r="F121" s="25"/>
      <c r="G121" s="25"/>
      <c r="H121" s="25"/>
      <c r="I121" s="16"/>
      <c r="J121" s="16"/>
      <c r="K121" s="16"/>
      <c r="L121" s="34"/>
      <c r="M121" s="2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5" t="s">
        <v>4</v>
      </c>
      <c r="B122" s="10" t="s">
        <v>5</v>
      </c>
      <c r="C122" s="11" t="s">
        <v>6</v>
      </c>
      <c r="D122" s="12" t="s">
        <v>7</v>
      </c>
      <c r="E122" s="10" t="s">
        <v>8</v>
      </c>
      <c r="F122" s="12"/>
      <c r="G122" s="25"/>
      <c r="H122" s="25"/>
      <c r="I122" s="12" t="s">
        <v>7</v>
      </c>
      <c r="J122" s="12" t="s">
        <v>8</v>
      </c>
      <c r="K122" s="12" t="s">
        <v>10</v>
      </c>
      <c r="L122" s="110">
        <f t="shared" ref="L122:L127" si="50">IFERROR(K122/E122, 0)</f>
        <v>0</v>
      </c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83">
        <v>0.5</v>
      </c>
      <c r="B123" s="84" t="s">
        <v>18</v>
      </c>
      <c r="C123" s="85" t="s">
        <v>65</v>
      </c>
      <c r="D123" s="22">
        <v>11000.0</v>
      </c>
      <c r="E123" s="15">
        <f t="shared" ref="E123:E127" si="51">A123*D123</f>
        <v>5500</v>
      </c>
      <c r="F123" s="16"/>
      <c r="G123" s="25"/>
      <c r="H123" s="37"/>
      <c r="I123" s="22">
        <v>6000.0</v>
      </c>
      <c r="J123" s="16">
        <f t="shared" ref="J123:J127" si="52">I123*A123</f>
        <v>3000</v>
      </c>
      <c r="K123" s="16">
        <f t="shared" ref="K123:K127" si="53">E123-J123</f>
        <v>2500</v>
      </c>
      <c r="L123" s="110">
        <f t="shared" si="50"/>
        <v>0.4545454545</v>
      </c>
      <c r="M123" s="2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83">
        <v>2.0</v>
      </c>
      <c r="B124" s="84" t="s">
        <v>50</v>
      </c>
      <c r="C124" s="85" t="s">
        <v>103</v>
      </c>
      <c r="D124" s="22">
        <v>1700.0</v>
      </c>
      <c r="E124" s="15">
        <f t="shared" si="51"/>
        <v>3400</v>
      </c>
      <c r="F124" s="16"/>
      <c r="G124" s="25"/>
      <c r="H124" s="37"/>
      <c r="I124" s="22">
        <v>1400.0</v>
      </c>
      <c r="J124" s="16">
        <f t="shared" si="52"/>
        <v>2800</v>
      </c>
      <c r="K124" s="16">
        <f t="shared" si="53"/>
        <v>600</v>
      </c>
      <c r="L124" s="110">
        <f t="shared" si="50"/>
        <v>0.1764705882</v>
      </c>
      <c r="M124" s="2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3">
        <v>3.0</v>
      </c>
      <c r="B125" s="84" t="s">
        <v>33</v>
      </c>
      <c r="C125" s="85" t="s">
        <v>19</v>
      </c>
      <c r="D125" s="22">
        <v>3000.0</v>
      </c>
      <c r="E125" s="15">
        <f t="shared" si="51"/>
        <v>9000</v>
      </c>
      <c r="F125" s="16"/>
      <c r="G125" s="25"/>
      <c r="H125" s="37"/>
      <c r="I125" s="22">
        <f>28000/15</f>
        <v>1866.666667</v>
      </c>
      <c r="J125" s="16">
        <f t="shared" si="52"/>
        <v>5600</v>
      </c>
      <c r="K125" s="16">
        <f t="shared" si="53"/>
        <v>3400</v>
      </c>
      <c r="L125" s="110">
        <f t="shared" si="50"/>
        <v>0.3777777778</v>
      </c>
      <c r="M125" s="2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3">
        <v>1.0</v>
      </c>
      <c r="B126" s="84" t="s">
        <v>33</v>
      </c>
      <c r="C126" s="85" t="s">
        <v>23</v>
      </c>
      <c r="D126" s="22">
        <v>4000.0</v>
      </c>
      <c r="E126" s="15">
        <f t="shared" si="51"/>
        <v>4000</v>
      </c>
      <c r="F126" s="16"/>
      <c r="G126" s="25"/>
      <c r="H126" s="37"/>
      <c r="I126" s="87">
        <v>1000.0</v>
      </c>
      <c r="J126" s="16">
        <f t="shared" si="52"/>
        <v>1000</v>
      </c>
      <c r="K126" s="16">
        <f t="shared" si="53"/>
        <v>3000</v>
      </c>
      <c r="L126" s="110">
        <f t="shared" si="50"/>
        <v>0.75</v>
      </c>
      <c r="M126" s="2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>
        <v>1.0</v>
      </c>
      <c r="B127" s="84" t="s">
        <v>5</v>
      </c>
      <c r="C127" s="85" t="s">
        <v>176</v>
      </c>
      <c r="D127" s="22">
        <v>1000.0</v>
      </c>
      <c r="E127" s="15">
        <f t="shared" si="51"/>
        <v>1000</v>
      </c>
      <c r="F127" s="16"/>
      <c r="G127" s="25"/>
      <c r="H127" s="37"/>
      <c r="I127" s="87">
        <v>560.0</v>
      </c>
      <c r="J127" s="16">
        <f t="shared" si="52"/>
        <v>560</v>
      </c>
      <c r="K127" s="16">
        <f t="shared" si="53"/>
        <v>440</v>
      </c>
      <c r="L127" s="110">
        <f t="shared" si="50"/>
        <v>0.44</v>
      </c>
      <c r="M127" s="2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/>
      <c r="B128" s="12"/>
      <c r="C128" s="14"/>
      <c r="D128" s="15"/>
      <c r="E128" s="16"/>
      <c r="F128" s="16"/>
      <c r="H128" s="25"/>
      <c r="I128" s="16"/>
      <c r="J128" s="16"/>
      <c r="K128" s="16"/>
      <c r="L128" s="110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3"/>
      <c r="B129" s="12"/>
      <c r="C129" s="14"/>
      <c r="D129" s="15"/>
      <c r="E129" s="16">
        <f>SUM(E123:E128)</f>
        <v>22900</v>
      </c>
      <c r="F129" s="16"/>
      <c r="G129" s="25"/>
      <c r="H129" s="25"/>
      <c r="I129" s="16"/>
      <c r="J129" s="16"/>
      <c r="K129" s="16">
        <f>SUM(K123:K127)</f>
        <v>9940</v>
      </c>
      <c r="L129" s="110">
        <f>IFERROR(K129/E129, 0)</f>
        <v>0.4340611354</v>
      </c>
      <c r="M129" s="2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9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9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9"/>
      <c r="S132" s="3"/>
      <c r="T132" s="3"/>
      <c r="U132" s="3"/>
      <c r="V132" s="3"/>
      <c r="W132" s="3"/>
      <c r="X132" s="3"/>
      <c r="Y132" s="3"/>
      <c r="Z132" s="3"/>
    </row>
    <row r="133">
      <c r="A133" s="89" t="s">
        <v>335</v>
      </c>
      <c r="B133" s="114" t="s">
        <v>336</v>
      </c>
      <c r="C133" s="24"/>
      <c r="D133" s="81" t="s">
        <v>44</v>
      </c>
      <c r="E133" s="82">
        <v>46071.0</v>
      </c>
      <c r="F133" s="33" t="s">
        <v>13</v>
      </c>
      <c r="G133" s="98" t="s">
        <v>2</v>
      </c>
      <c r="H133" s="25"/>
      <c r="I133" s="16"/>
      <c r="J133" s="16"/>
      <c r="K133" s="16"/>
      <c r="L133" s="34"/>
      <c r="M133" s="2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B134" s="25"/>
      <c r="C134" s="35"/>
      <c r="D134" s="25"/>
      <c r="E134" s="25"/>
      <c r="F134" s="25"/>
      <c r="G134" s="25"/>
      <c r="H134" s="25"/>
      <c r="I134" s="16"/>
      <c r="J134" s="16"/>
      <c r="K134" s="16"/>
      <c r="L134" s="34"/>
      <c r="M134" s="2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5" t="s">
        <v>4</v>
      </c>
      <c r="B135" s="10" t="s">
        <v>5</v>
      </c>
      <c r="C135" s="11" t="s">
        <v>6</v>
      </c>
      <c r="D135" s="12" t="s">
        <v>7</v>
      </c>
      <c r="E135" s="10" t="s">
        <v>8</v>
      </c>
      <c r="F135" s="10" t="s">
        <v>9</v>
      </c>
      <c r="G135" s="25"/>
      <c r="H135" s="25"/>
      <c r="I135" s="12" t="s">
        <v>7</v>
      </c>
      <c r="J135" s="12" t="s">
        <v>8</v>
      </c>
      <c r="K135" s="12" t="s">
        <v>10</v>
      </c>
      <c r="L135" s="34"/>
      <c r="M135" s="2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83">
        <v>1.0</v>
      </c>
      <c r="B136" s="84" t="s">
        <v>29</v>
      </c>
      <c r="C136" s="85" t="s">
        <v>55</v>
      </c>
      <c r="D136" s="22">
        <v>36000.0</v>
      </c>
      <c r="E136" s="15">
        <f>A136*D136</f>
        <v>36000</v>
      </c>
      <c r="F136" s="15">
        <f>E136*1.105</f>
        <v>39780</v>
      </c>
      <c r="G136" s="25"/>
      <c r="H136" s="37"/>
      <c r="I136" s="22">
        <v>28000.0</v>
      </c>
      <c r="J136" s="16">
        <f>I136*A136</f>
        <v>28000</v>
      </c>
      <c r="K136" s="16">
        <f>F136-J136</f>
        <v>11780</v>
      </c>
      <c r="L136" s="110">
        <f>IFERROR(K136/E136, 0)</f>
        <v>0.3272222222</v>
      </c>
      <c r="M136" s="2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83"/>
      <c r="B137" s="12"/>
      <c r="C137" s="14"/>
      <c r="D137" s="15"/>
      <c r="E137" s="16"/>
      <c r="F137" s="16"/>
      <c r="H137" s="25"/>
      <c r="I137" s="16"/>
      <c r="J137" s="16"/>
      <c r="K137" s="16"/>
      <c r="L137" s="110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13"/>
      <c r="B138" s="12"/>
      <c r="C138" s="14"/>
      <c r="D138" s="15"/>
      <c r="E138" s="16">
        <f t="shared" ref="E138:F138" si="54">SUM(E136:E137)</f>
        <v>36000</v>
      </c>
      <c r="F138" s="16">
        <f t="shared" si="54"/>
        <v>39780</v>
      </c>
      <c r="G138" s="25"/>
      <c r="H138" s="25"/>
      <c r="I138" s="16"/>
      <c r="J138" s="16"/>
      <c r="K138" s="16">
        <f>SUM(K136)</f>
        <v>11780</v>
      </c>
      <c r="L138" s="110">
        <f>IFERROR(K138/E138, 0)</f>
        <v>0.3272222222</v>
      </c>
      <c r="M138" s="2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9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9"/>
      <c r="S140" s="3"/>
      <c r="T140" s="3"/>
      <c r="U140" s="3"/>
      <c r="V140" s="3"/>
      <c r="W140" s="3"/>
      <c r="X140" s="3"/>
      <c r="Y140" s="3"/>
      <c r="Z140" s="3"/>
    </row>
    <row r="141">
      <c r="A141" s="24" t="s">
        <v>105</v>
      </c>
      <c r="B141" s="38" t="s">
        <v>106</v>
      </c>
      <c r="C141" s="24"/>
      <c r="D141" s="81" t="s">
        <v>74</v>
      </c>
      <c r="E141" s="82">
        <v>46071.0</v>
      </c>
      <c r="F141" s="33" t="s">
        <v>13</v>
      </c>
      <c r="G141" s="98" t="s">
        <v>2</v>
      </c>
      <c r="H141" s="25"/>
      <c r="I141" s="16"/>
      <c r="J141" s="16"/>
      <c r="K141" s="16"/>
      <c r="L141" s="34"/>
      <c r="M141" s="2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B142" s="25"/>
      <c r="C142" s="35"/>
      <c r="D142" s="25"/>
      <c r="E142" s="25"/>
      <c r="F142" s="25"/>
      <c r="G142" s="25"/>
      <c r="H142" s="25"/>
      <c r="I142" s="16"/>
      <c r="J142" s="16"/>
      <c r="K142" s="16"/>
      <c r="L142" s="34"/>
      <c r="M142" s="2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5" t="s">
        <v>4</v>
      </c>
      <c r="B143" s="10" t="s">
        <v>5</v>
      </c>
      <c r="C143" s="11" t="s">
        <v>6</v>
      </c>
      <c r="D143" s="12" t="s">
        <v>7</v>
      </c>
      <c r="E143" s="10" t="s">
        <v>8</v>
      </c>
      <c r="F143" s="12"/>
      <c r="G143" s="25"/>
      <c r="H143" s="25"/>
      <c r="I143" s="12" t="s">
        <v>7</v>
      </c>
      <c r="J143" s="12" t="s">
        <v>8</v>
      </c>
      <c r="K143" s="12" t="s">
        <v>10</v>
      </c>
      <c r="L143" s="34"/>
      <c r="M143" s="2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83">
        <v>1.0</v>
      </c>
      <c r="B144" s="84" t="s">
        <v>18</v>
      </c>
      <c r="C144" s="85" t="s">
        <v>237</v>
      </c>
      <c r="D144" s="22">
        <v>18000.0</v>
      </c>
      <c r="E144" s="15">
        <f t="shared" ref="E144:E148" si="55">A144*D144</f>
        <v>18000</v>
      </c>
      <c r="F144" s="16"/>
      <c r="G144" s="25"/>
      <c r="H144" s="25"/>
      <c r="I144" s="87">
        <v>15000.0</v>
      </c>
      <c r="J144" s="16">
        <f t="shared" ref="J144:J148" si="56">I144*A144</f>
        <v>15000</v>
      </c>
      <c r="K144" s="16">
        <f t="shared" ref="K144:K148" si="57">E144-J144</f>
        <v>3000</v>
      </c>
      <c r="L144" s="110">
        <f t="shared" ref="L144:L148" si="58">IFERROR(K144/E144, 0)</f>
        <v>0.1666666667</v>
      </c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83">
        <v>2.0</v>
      </c>
      <c r="B145" s="84" t="s">
        <v>5</v>
      </c>
      <c r="C145" s="85" t="s">
        <v>87</v>
      </c>
      <c r="D145" s="22">
        <v>1400.0</v>
      </c>
      <c r="E145" s="15">
        <f t="shared" si="55"/>
        <v>2800</v>
      </c>
      <c r="F145" s="16"/>
      <c r="G145" s="25"/>
      <c r="H145" s="37"/>
      <c r="I145" s="22">
        <v>900.0</v>
      </c>
      <c r="J145" s="16">
        <f t="shared" si="56"/>
        <v>1800</v>
      </c>
      <c r="K145" s="16">
        <f t="shared" si="57"/>
        <v>1000</v>
      </c>
      <c r="L145" s="110">
        <f t="shared" si="58"/>
        <v>0.3571428571</v>
      </c>
      <c r="M145" s="2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83">
        <v>2.0</v>
      </c>
      <c r="B146" s="12" t="s">
        <v>33</v>
      </c>
      <c r="C146" s="85" t="s">
        <v>72</v>
      </c>
      <c r="D146" s="22">
        <v>2800.0</v>
      </c>
      <c r="E146" s="15">
        <f t="shared" si="55"/>
        <v>5600</v>
      </c>
      <c r="F146" s="16"/>
      <c r="G146" s="25"/>
      <c r="H146" s="25"/>
      <c r="I146" s="87">
        <f>30000/15</f>
        <v>2000</v>
      </c>
      <c r="J146" s="16">
        <f t="shared" si="56"/>
        <v>4000</v>
      </c>
      <c r="K146" s="16">
        <f t="shared" si="57"/>
        <v>1600</v>
      </c>
      <c r="L146" s="110">
        <f t="shared" si="58"/>
        <v>0.2857142857</v>
      </c>
      <c r="M146" s="2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83">
        <v>0.25</v>
      </c>
      <c r="B147" s="12" t="s">
        <v>33</v>
      </c>
      <c r="C147" s="85" t="s">
        <v>201</v>
      </c>
      <c r="D147" s="22">
        <v>4000.0</v>
      </c>
      <c r="E147" s="15">
        <f t="shared" si="55"/>
        <v>1000</v>
      </c>
      <c r="F147" s="16"/>
      <c r="G147" s="25"/>
      <c r="H147" s="98" t="s">
        <v>274</v>
      </c>
      <c r="I147" s="22">
        <v>0.0</v>
      </c>
      <c r="J147" s="16">
        <f t="shared" si="56"/>
        <v>0</v>
      </c>
      <c r="K147" s="16">
        <f t="shared" si="57"/>
        <v>1000</v>
      </c>
      <c r="L147" s="110">
        <f t="shared" si="58"/>
        <v>1</v>
      </c>
      <c r="M147" s="2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83">
        <v>0.35</v>
      </c>
      <c r="B148" s="12" t="s">
        <v>33</v>
      </c>
      <c r="C148" s="85" t="s">
        <v>19</v>
      </c>
      <c r="D148" s="22">
        <v>3000.0</v>
      </c>
      <c r="E148" s="15">
        <f t="shared" si="55"/>
        <v>1050</v>
      </c>
      <c r="F148" s="16"/>
      <c r="G148" s="25"/>
      <c r="H148" s="98" t="s">
        <v>274</v>
      </c>
      <c r="I148" s="22">
        <v>0.0</v>
      </c>
      <c r="J148" s="16">
        <f t="shared" si="56"/>
        <v>0</v>
      </c>
      <c r="K148" s="16">
        <f t="shared" si="57"/>
        <v>1050</v>
      </c>
      <c r="L148" s="110">
        <f t="shared" si="58"/>
        <v>1</v>
      </c>
      <c r="M148" s="2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13"/>
      <c r="B149" s="12"/>
      <c r="C149" s="14"/>
      <c r="D149" s="15"/>
      <c r="E149" s="16"/>
      <c r="F149" s="16"/>
      <c r="H149" s="25"/>
      <c r="I149" s="16"/>
      <c r="J149" s="16"/>
      <c r="K149" s="16"/>
      <c r="L149" s="110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13"/>
      <c r="B150" s="12"/>
      <c r="C150" s="14"/>
      <c r="D150" s="15"/>
      <c r="E150" s="16">
        <f>SUM(E144:E149)</f>
        <v>28450</v>
      </c>
      <c r="F150" s="16"/>
      <c r="G150" s="25"/>
      <c r="H150" s="25"/>
      <c r="I150" s="16"/>
      <c r="J150" s="16"/>
      <c r="K150" s="16">
        <f>SUM(K144:K148)</f>
        <v>7650</v>
      </c>
      <c r="L150" s="110">
        <f>IFERROR(K150/E150, 0)</f>
        <v>0.2688927944</v>
      </c>
      <c r="M150" s="2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30"/>
      <c r="B151" s="31"/>
      <c r="C151" s="2"/>
      <c r="D151" s="3"/>
      <c r="E151" s="3"/>
      <c r="F151" s="3"/>
      <c r="G151" s="2"/>
      <c r="H151" s="2"/>
      <c r="I151" s="2"/>
      <c r="J151" s="2"/>
      <c r="K151" s="3"/>
      <c r="L151" s="4"/>
      <c r="M151" s="2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26" t="s">
        <v>60</v>
      </c>
      <c r="B152" s="27">
        <v>0.04</v>
      </c>
      <c r="C152" s="2"/>
      <c r="D152" s="3"/>
      <c r="E152" s="15">
        <f>E150*0.04</f>
        <v>1138</v>
      </c>
      <c r="F152" s="3"/>
      <c r="G152" s="2"/>
      <c r="H152" s="3"/>
      <c r="I152" s="3"/>
      <c r="J152" s="3"/>
      <c r="K152" s="3"/>
      <c r="L152" s="4"/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9"/>
      <c r="S153" s="3"/>
      <c r="T153" s="3"/>
      <c r="U153" s="3"/>
      <c r="V153" s="3"/>
      <c r="W153" s="3"/>
      <c r="X153" s="3"/>
      <c r="Y153" s="3"/>
      <c r="Z153" s="3"/>
    </row>
    <row r="154">
      <c r="A154" s="89"/>
      <c r="B154" s="24"/>
      <c r="C154" s="24"/>
      <c r="D154" s="81"/>
      <c r="E154" s="82"/>
      <c r="F154" s="33"/>
      <c r="G154" s="25"/>
      <c r="H154" s="25"/>
      <c r="I154" s="16"/>
      <c r="J154" s="16"/>
      <c r="K154" s="16"/>
      <c r="L154" s="34"/>
      <c r="M154" s="2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89" t="s">
        <v>222</v>
      </c>
      <c r="B155" s="24"/>
      <c r="C155" s="24"/>
      <c r="D155" s="81" t="s">
        <v>337</v>
      </c>
      <c r="E155" s="82">
        <v>46071.0</v>
      </c>
      <c r="F155" s="33" t="s">
        <v>13</v>
      </c>
      <c r="G155" s="25"/>
      <c r="H155" s="25"/>
      <c r="I155" s="16"/>
      <c r="J155" s="16"/>
      <c r="K155" s="16"/>
      <c r="L155" s="34"/>
      <c r="M155" s="2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B156" s="25"/>
      <c r="C156" s="35"/>
      <c r="D156" s="25"/>
      <c r="E156" s="25"/>
      <c r="F156" s="25"/>
      <c r="G156" s="25"/>
      <c r="H156" s="25"/>
      <c r="I156" s="16"/>
      <c r="J156" s="16"/>
      <c r="K156" s="16"/>
      <c r="L156" s="34"/>
      <c r="M156" s="2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5" t="s">
        <v>4</v>
      </c>
      <c r="B157" s="10" t="s">
        <v>5</v>
      </c>
      <c r="C157" s="11" t="s">
        <v>6</v>
      </c>
      <c r="D157" s="12" t="s">
        <v>7</v>
      </c>
      <c r="E157" s="10" t="s">
        <v>8</v>
      </c>
      <c r="F157" s="12"/>
      <c r="G157" s="25"/>
      <c r="H157" s="25"/>
      <c r="I157" s="12" t="s">
        <v>7</v>
      </c>
      <c r="J157" s="12" t="s">
        <v>8</v>
      </c>
      <c r="K157" s="12" t="s">
        <v>10</v>
      </c>
      <c r="L157" s="34"/>
      <c r="M157" s="2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83">
        <v>1.0</v>
      </c>
      <c r="B158" s="84" t="s">
        <v>38</v>
      </c>
      <c r="C158" s="85" t="s">
        <v>47</v>
      </c>
      <c r="D158" s="22">
        <v>12000.0</v>
      </c>
      <c r="E158" s="15">
        <f t="shared" ref="E158:E178" si="59">A158*D158</f>
        <v>12000</v>
      </c>
      <c r="F158" s="16"/>
      <c r="G158" s="25"/>
      <c r="H158" s="37"/>
      <c r="I158" s="87">
        <v>8000.0</v>
      </c>
      <c r="J158" s="16">
        <f t="shared" ref="J158:J160" si="60">I158*A158</f>
        <v>8000</v>
      </c>
      <c r="K158" s="16">
        <f t="shared" ref="K158:K178" si="61">E158-J158</f>
        <v>4000</v>
      </c>
      <c r="L158" s="110">
        <f t="shared" ref="L158:L178" si="62">IFERROR(K158/E158, 0)</f>
        <v>0.3333333333</v>
      </c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83">
        <v>1.0</v>
      </c>
      <c r="B159" s="84" t="s">
        <v>5</v>
      </c>
      <c r="C159" s="85" t="s">
        <v>104</v>
      </c>
      <c r="D159" s="22">
        <v>2000.0</v>
      </c>
      <c r="E159" s="15">
        <f t="shared" si="59"/>
        <v>2000</v>
      </c>
      <c r="F159" s="16"/>
      <c r="G159" s="25"/>
      <c r="H159" s="37"/>
      <c r="I159" s="87">
        <v>1000.0</v>
      </c>
      <c r="J159" s="16">
        <f t="shared" si="60"/>
        <v>1000</v>
      </c>
      <c r="K159" s="16">
        <f t="shared" si="61"/>
        <v>1000</v>
      </c>
      <c r="L159" s="110">
        <f t="shared" si="62"/>
        <v>0.5</v>
      </c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83">
        <v>4.0</v>
      </c>
      <c r="B160" s="84" t="s">
        <v>5</v>
      </c>
      <c r="C160" s="85" t="s">
        <v>176</v>
      </c>
      <c r="D160" s="22">
        <v>1200.0</v>
      </c>
      <c r="E160" s="15">
        <f t="shared" si="59"/>
        <v>4800</v>
      </c>
      <c r="F160" s="16"/>
      <c r="G160" s="25"/>
      <c r="H160" s="37"/>
      <c r="I160" s="87">
        <v>560.0</v>
      </c>
      <c r="J160" s="16">
        <f t="shared" si="60"/>
        <v>2240</v>
      </c>
      <c r="K160" s="16">
        <f t="shared" si="61"/>
        <v>2560</v>
      </c>
      <c r="L160" s="110">
        <f t="shared" si="62"/>
        <v>0.5333333333</v>
      </c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83">
        <v>2.0</v>
      </c>
      <c r="B161" s="84" t="s">
        <v>33</v>
      </c>
      <c r="C161" s="85" t="s">
        <v>20</v>
      </c>
      <c r="D161" s="22">
        <v>2800.0</v>
      </c>
      <c r="E161" s="15">
        <f t="shared" si="59"/>
        <v>5600</v>
      </c>
      <c r="F161" s="16"/>
      <c r="G161" s="25"/>
      <c r="H161" s="98"/>
      <c r="I161" s="113" t="s">
        <v>274</v>
      </c>
      <c r="J161" s="22">
        <v>0.0</v>
      </c>
      <c r="K161" s="16">
        <f t="shared" si="61"/>
        <v>5600</v>
      </c>
      <c r="L161" s="110">
        <f t="shared" si="62"/>
        <v>1</v>
      </c>
      <c r="M161" s="2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83">
        <v>2.0</v>
      </c>
      <c r="B162" s="84" t="s">
        <v>33</v>
      </c>
      <c r="C162" s="85" t="s">
        <v>24</v>
      </c>
      <c r="D162" s="22">
        <v>4500.0</v>
      </c>
      <c r="E162" s="15">
        <f t="shared" si="59"/>
        <v>9000</v>
      </c>
      <c r="F162" s="16"/>
      <c r="G162" s="25"/>
      <c r="H162" s="37"/>
      <c r="I162" s="87">
        <f>26000/8</f>
        <v>3250</v>
      </c>
      <c r="J162" s="16">
        <f t="shared" ref="J162:J178" si="63">I162*A162</f>
        <v>6500</v>
      </c>
      <c r="K162" s="16">
        <f t="shared" si="61"/>
        <v>2500</v>
      </c>
      <c r="L162" s="110">
        <f t="shared" si="62"/>
        <v>0.2777777778</v>
      </c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83">
        <v>3.0</v>
      </c>
      <c r="B163" s="84" t="s">
        <v>33</v>
      </c>
      <c r="C163" s="85" t="s">
        <v>194</v>
      </c>
      <c r="D163" s="22">
        <v>3000.0</v>
      </c>
      <c r="E163" s="15">
        <f t="shared" si="59"/>
        <v>9000</v>
      </c>
      <c r="F163" s="16"/>
      <c r="G163" s="25"/>
      <c r="H163" s="37"/>
      <c r="I163" s="22">
        <f>9000/8</f>
        <v>1125</v>
      </c>
      <c r="J163" s="16">
        <f t="shared" si="63"/>
        <v>3375</v>
      </c>
      <c r="K163" s="16">
        <f t="shared" si="61"/>
        <v>5625</v>
      </c>
      <c r="L163" s="110">
        <f t="shared" si="62"/>
        <v>0.625</v>
      </c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83">
        <v>6.0</v>
      </c>
      <c r="B164" s="84" t="s">
        <v>11</v>
      </c>
      <c r="C164" s="85" t="s">
        <v>69</v>
      </c>
      <c r="D164" s="22">
        <v>2500.0</v>
      </c>
      <c r="E164" s="15">
        <f t="shared" si="59"/>
        <v>15000</v>
      </c>
      <c r="F164" s="16"/>
      <c r="G164" s="25"/>
      <c r="H164" s="37"/>
      <c r="I164" s="87">
        <v>2500.0</v>
      </c>
      <c r="J164" s="16">
        <f t="shared" si="63"/>
        <v>15000</v>
      </c>
      <c r="K164" s="16">
        <f t="shared" si="61"/>
        <v>0</v>
      </c>
      <c r="L164" s="110">
        <f t="shared" si="62"/>
        <v>0</v>
      </c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83">
        <v>2.0</v>
      </c>
      <c r="B165" s="84" t="s">
        <v>208</v>
      </c>
      <c r="C165" s="85" t="s">
        <v>338</v>
      </c>
      <c r="D165" s="22">
        <v>3000.0</v>
      </c>
      <c r="E165" s="15">
        <f t="shared" si="59"/>
        <v>6000</v>
      </c>
      <c r="F165" s="16"/>
      <c r="G165" s="25"/>
      <c r="H165" s="37"/>
      <c r="I165" s="87">
        <v>2000.0</v>
      </c>
      <c r="J165" s="16">
        <f t="shared" si="63"/>
        <v>4000</v>
      </c>
      <c r="K165" s="16">
        <f t="shared" si="61"/>
        <v>2000</v>
      </c>
      <c r="L165" s="110">
        <f t="shared" si="62"/>
        <v>0.3333333333</v>
      </c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83">
        <v>2.0</v>
      </c>
      <c r="B166" s="84" t="s">
        <v>50</v>
      </c>
      <c r="C166" s="85" t="s">
        <v>65</v>
      </c>
      <c r="D166" s="22">
        <v>450.0</v>
      </c>
      <c r="E166" s="15">
        <f t="shared" si="59"/>
        <v>900</v>
      </c>
      <c r="F166" s="16"/>
      <c r="G166" s="25"/>
      <c r="H166" s="37"/>
      <c r="I166" s="22">
        <f>6000/24</f>
        <v>250</v>
      </c>
      <c r="J166" s="16">
        <f t="shared" si="63"/>
        <v>500</v>
      </c>
      <c r="K166" s="16">
        <f t="shared" si="61"/>
        <v>400</v>
      </c>
      <c r="L166" s="110">
        <f t="shared" si="62"/>
        <v>0.4444444444</v>
      </c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83">
        <v>6.0</v>
      </c>
      <c r="B167" s="84" t="s">
        <v>33</v>
      </c>
      <c r="C167" s="85" t="s">
        <v>19</v>
      </c>
      <c r="D167" s="22">
        <v>3000.0</v>
      </c>
      <c r="E167" s="15">
        <f t="shared" si="59"/>
        <v>18000</v>
      </c>
      <c r="F167" s="16"/>
      <c r="G167" s="25"/>
      <c r="H167" s="37"/>
      <c r="I167" s="22">
        <f>28000/15</f>
        <v>1866.666667</v>
      </c>
      <c r="J167" s="16">
        <f t="shared" si="63"/>
        <v>11200</v>
      </c>
      <c r="K167" s="16">
        <f t="shared" si="61"/>
        <v>6800</v>
      </c>
      <c r="L167" s="110">
        <f t="shared" si="62"/>
        <v>0.3777777778</v>
      </c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83">
        <v>2.0</v>
      </c>
      <c r="B168" s="84" t="s">
        <v>33</v>
      </c>
      <c r="C168" s="85" t="s">
        <v>22</v>
      </c>
      <c r="D168" s="22">
        <v>1300.0</v>
      </c>
      <c r="E168" s="15">
        <f t="shared" si="59"/>
        <v>2600</v>
      </c>
      <c r="F168" s="16"/>
      <c r="G168" s="25"/>
      <c r="H168" s="37"/>
      <c r="I168" s="87">
        <f>7000/14</f>
        <v>500</v>
      </c>
      <c r="J168" s="16">
        <f t="shared" si="63"/>
        <v>1000</v>
      </c>
      <c r="K168" s="16">
        <f t="shared" si="61"/>
        <v>1600</v>
      </c>
      <c r="L168" s="110">
        <f t="shared" si="62"/>
        <v>0.6153846154</v>
      </c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83">
        <v>0.5</v>
      </c>
      <c r="B169" s="84" t="s">
        <v>38</v>
      </c>
      <c r="C169" s="85" t="s">
        <v>67</v>
      </c>
      <c r="D169" s="22">
        <v>12500.0</v>
      </c>
      <c r="E169" s="15">
        <f t="shared" si="59"/>
        <v>6250</v>
      </c>
      <c r="F169" s="16"/>
      <c r="G169" s="25"/>
      <c r="H169" s="37"/>
      <c r="I169" s="87">
        <v>8000.0</v>
      </c>
      <c r="J169" s="16">
        <f t="shared" si="63"/>
        <v>4000</v>
      </c>
      <c r="K169" s="16">
        <f t="shared" si="61"/>
        <v>2250</v>
      </c>
      <c r="L169" s="110">
        <f t="shared" si="62"/>
        <v>0.36</v>
      </c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83">
        <v>1.0</v>
      </c>
      <c r="B170" s="84" t="s">
        <v>38</v>
      </c>
      <c r="C170" s="85" t="s">
        <v>179</v>
      </c>
      <c r="D170" s="22">
        <v>20000.0</v>
      </c>
      <c r="E170" s="15">
        <f t="shared" si="59"/>
        <v>20000</v>
      </c>
      <c r="F170" s="16"/>
      <c r="G170" s="25"/>
      <c r="H170" s="37"/>
      <c r="I170" s="87">
        <v>18000.0</v>
      </c>
      <c r="J170" s="16">
        <f t="shared" si="63"/>
        <v>18000</v>
      </c>
      <c r="K170" s="16">
        <f t="shared" si="61"/>
        <v>2000</v>
      </c>
      <c r="L170" s="110">
        <f t="shared" si="62"/>
        <v>0.1</v>
      </c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83">
        <v>0.5</v>
      </c>
      <c r="B171" s="84" t="s">
        <v>29</v>
      </c>
      <c r="C171" s="85" t="s">
        <v>55</v>
      </c>
      <c r="D171" s="22">
        <v>35000.0</v>
      </c>
      <c r="E171" s="15">
        <f t="shared" si="59"/>
        <v>17500</v>
      </c>
      <c r="F171" s="16"/>
      <c r="G171" s="25"/>
      <c r="H171" s="37"/>
      <c r="I171" s="87">
        <v>28000.0</v>
      </c>
      <c r="J171" s="16">
        <f t="shared" si="63"/>
        <v>14000</v>
      </c>
      <c r="K171" s="16">
        <f t="shared" si="61"/>
        <v>3500</v>
      </c>
      <c r="L171" s="110">
        <f t="shared" si="62"/>
        <v>0.2</v>
      </c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83">
        <v>3.0</v>
      </c>
      <c r="B172" s="84" t="s">
        <v>33</v>
      </c>
      <c r="C172" s="85" t="s">
        <v>213</v>
      </c>
      <c r="D172" s="22">
        <v>3500.0</v>
      </c>
      <c r="E172" s="15">
        <f t="shared" si="59"/>
        <v>10500</v>
      </c>
      <c r="F172" s="16"/>
      <c r="G172" s="25"/>
      <c r="H172" s="98" t="s">
        <v>274</v>
      </c>
      <c r="I172" s="22"/>
      <c r="J172" s="16">
        <f t="shared" si="63"/>
        <v>0</v>
      </c>
      <c r="K172" s="16">
        <f t="shared" si="61"/>
        <v>10500</v>
      </c>
      <c r="L172" s="110">
        <f t="shared" si="62"/>
        <v>1</v>
      </c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83">
        <v>3.0</v>
      </c>
      <c r="B173" s="84" t="s">
        <v>33</v>
      </c>
      <c r="C173" s="85" t="s">
        <v>201</v>
      </c>
      <c r="D173" s="22">
        <v>3500.0</v>
      </c>
      <c r="E173" s="15">
        <f t="shared" si="59"/>
        <v>10500</v>
      </c>
      <c r="F173" s="16"/>
      <c r="G173" s="25"/>
      <c r="H173" s="98" t="s">
        <v>274</v>
      </c>
      <c r="I173" s="22"/>
      <c r="J173" s="16">
        <f t="shared" si="63"/>
        <v>0</v>
      </c>
      <c r="K173" s="16">
        <f t="shared" si="61"/>
        <v>10500</v>
      </c>
      <c r="L173" s="110">
        <f t="shared" si="62"/>
        <v>1</v>
      </c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83">
        <v>0.5</v>
      </c>
      <c r="B174" s="84" t="s">
        <v>33</v>
      </c>
      <c r="C174" s="85" t="s">
        <v>57</v>
      </c>
      <c r="D174" s="22">
        <v>6500.0</v>
      </c>
      <c r="E174" s="15">
        <f t="shared" si="59"/>
        <v>3250</v>
      </c>
      <c r="F174" s="16"/>
      <c r="G174" s="25"/>
      <c r="H174" s="37"/>
      <c r="I174" s="22">
        <v>5000.0</v>
      </c>
      <c r="J174" s="16">
        <f t="shared" si="63"/>
        <v>2500</v>
      </c>
      <c r="K174" s="16">
        <f t="shared" si="61"/>
        <v>750</v>
      </c>
      <c r="L174" s="110">
        <f t="shared" si="62"/>
        <v>0.2307692308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83">
        <v>2.0</v>
      </c>
      <c r="B175" s="84" t="s">
        <v>33</v>
      </c>
      <c r="C175" s="85" t="s">
        <v>72</v>
      </c>
      <c r="D175" s="22">
        <v>3000.0</v>
      </c>
      <c r="E175" s="15">
        <f t="shared" si="59"/>
        <v>6000</v>
      </c>
      <c r="F175" s="16"/>
      <c r="G175" s="25"/>
      <c r="H175" s="37"/>
      <c r="I175" s="87">
        <f>30000/15</f>
        <v>2000</v>
      </c>
      <c r="J175" s="16">
        <f t="shared" si="63"/>
        <v>4000</v>
      </c>
      <c r="K175" s="16">
        <f t="shared" si="61"/>
        <v>2000</v>
      </c>
      <c r="L175" s="110">
        <f t="shared" si="62"/>
        <v>0.3333333333</v>
      </c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83">
        <v>4.0</v>
      </c>
      <c r="B176" s="84" t="s">
        <v>33</v>
      </c>
      <c r="C176" s="85" t="s">
        <v>237</v>
      </c>
      <c r="D176" s="22">
        <v>1600.0</v>
      </c>
      <c r="E176" s="15">
        <f t="shared" si="59"/>
        <v>6400</v>
      </c>
      <c r="F176" s="16"/>
      <c r="G176" s="25"/>
      <c r="H176" s="37"/>
      <c r="I176" s="87">
        <f>15000/15</f>
        <v>1000</v>
      </c>
      <c r="J176" s="16">
        <f t="shared" si="63"/>
        <v>4000</v>
      </c>
      <c r="K176" s="16">
        <f t="shared" si="61"/>
        <v>2400</v>
      </c>
      <c r="L176" s="110">
        <f t="shared" si="62"/>
        <v>0.375</v>
      </c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83">
        <v>9.65</v>
      </c>
      <c r="B177" s="84" t="s">
        <v>5</v>
      </c>
      <c r="C177" s="85" t="s">
        <v>34</v>
      </c>
      <c r="D177" s="22">
        <v>1000.0</v>
      </c>
      <c r="E177" s="15">
        <f t="shared" si="59"/>
        <v>9650</v>
      </c>
      <c r="F177" s="16"/>
      <c r="G177" s="25"/>
      <c r="H177" s="37"/>
      <c r="I177" s="87">
        <f>5000/9.65</f>
        <v>518.134715</v>
      </c>
      <c r="J177" s="16">
        <f t="shared" si="63"/>
        <v>5000</v>
      </c>
      <c r="K177" s="16">
        <f t="shared" si="61"/>
        <v>4650</v>
      </c>
      <c r="L177" s="110">
        <f t="shared" si="62"/>
        <v>0.481865285</v>
      </c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83">
        <v>1.6</v>
      </c>
      <c r="B178" s="84" t="s">
        <v>33</v>
      </c>
      <c r="C178" s="85" t="s">
        <v>221</v>
      </c>
      <c r="D178" s="22">
        <v>4000.0</v>
      </c>
      <c r="E178" s="15">
        <f t="shared" si="59"/>
        <v>6400</v>
      </c>
      <c r="F178" s="16"/>
      <c r="G178" s="25"/>
      <c r="H178" s="37"/>
      <c r="I178" s="87">
        <f>6400/1.6</f>
        <v>4000</v>
      </c>
      <c r="J178" s="16">
        <f t="shared" si="63"/>
        <v>6400</v>
      </c>
      <c r="K178" s="16">
        <f t="shared" si="61"/>
        <v>0</v>
      </c>
      <c r="L178" s="110">
        <f t="shared" si="62"/>
        <v>0</v>
      </c>
      <c r="M178" s="2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13"/>
      <c r="B179" s="12"/>
      <c r="C179" s="14"/>
      <c r="D179" s="15"/>
      <c r="E179" s="16"/>
      <c r="F179" s="16"/>
      <c r="H179" s="25"/>
      <c r="I179" s="16"/>
      <c r="J179" s="16"/>
      <c r="K179" s="16"/>
      <c r="L179" s="110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13"/>
      <c r="B180" s="12"/>
      <c r="C180" s="14"/>
      <c r="D180" s="15"/>
      <c r="E180" s="16">
        <f>SUM(E158:E179)</f>
        <v>181350</v>
      </c>
      <c r="F180" s="16"/>
      <c r="G180" s="25"/>
      <c r="H180" s="25"/>
      <c r="I180" s="16"/>
      <c r="J180" s="16"/>
      <c r="K180" s="16">
        <f>SUM(K158:K178)</f>
        <v>70635</v>
      </c>
      <c r="L180" s="110">
        <f>IFERROR(K180/E180, 0)</f>
        <v>0.3894954508</v>
      </c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52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52"/>
      <c r="S182" s="3"/>
      <c r="T182" s="3"/>
      <c r="U182" s="3"/>
      <c r="V182" s="3"/>
      <c r="W182" s="3"/>
      <c r="X182" s="3"/>
      <c r="Y182" s="3"/>
      <c r="Z182" s="3"/>
    </row>
    <row r="183">
      <c r="A183" s="89" t="s">
        <v>73</v>
      </c>
      <c r="B183" s="24"/>
      <c r="C183" s="24"/>
      <c r="D183" s="81" t="s">
        <v>285</v>
      </c>
      <c r="E183" s="82">
        <v>46071.0</v>
      </c>
      <c r="F183" s="33" t="s">
        <v>13</v>
      </c>
      <c r="G183" s="25"/>
      <c r="H183" s="25"/>
      <c r="I183" s="16"/>
      <c r="J183" s="16"/>
      <c r="K183" s="16"/>
      <c r="L183" s="34"/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B184" s="25"/>
      <c r="C184" s="35"/>
      <c r="D184" s="25"/>
      <c r="E184" s="25"/>
      <c r="F184" s="25"/>
      <c r="G184" s="25"/>
      <c r="H184" s="25"/>
      <c r="I184" s="16"/>
      <c r="J184" s="16"/>
      <c r="K184" s="16"/>
      <c r="L184" s="34"/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5" t="s">
        <v>4</v>
      </c>
      <c r="B185" s="10" t="s">
        <v>5</v>
      </c>
      <c r="C185" s="11" t="s">
        <v>6</v>
      </c>
      <c r="D185" s="12" t="s">
        <v>7</v>
      </c>
      <c r="E185" s="10" t="s">
        <v>8</v>
      </c>
      <c r="F185" s="12"/>
      <c r="G185" s="98" t="s">
        <v>339</v>
      </c>
      <c r="H185" s="25"/>
      <c r="I185" s="12" t="s">
        <v>7</v>
      </c>
      <c r="J185" s="12" t="s">
        <v>8</v>
      </c>
      <c r="K185" s="12" t="s">
        <v>10</v>
      </c>
      <c r="L185" s="110"/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83">
        <v>10.0</v>
      </c>
      <c r="B186" s="84" t="s">
        <v>33</v>
      </c>
      <c r="C186" s="85" t="s">
        <v>19</v>
      </c>
      <c r="D186" s="22">
        <v>2800.0</v>
      </c>
      <c r="E186" s="15">
        <f t="shared" ref="E186:E195" si="64">A186*D186</f>
        <v>28000</v>
      </c>
      <c r="F186" s="16"/>
      <c r="G186" s="25"/>
      <c r="H186" s="37"/>
      <c r="I186" s="22">
        <f>28000/15</f>
        <v>1866.666667</v>
      </c>
      <c r="J186" s="16">
        <f t="shared" ref="J186:J195" si="65">I186*A186</f>
        <v>18666.66667</v>
      </c>
      <c r="K186" s="16">
        <f t="shared" ref="K186:K195" si="66">E186-J186</f>
        <v>9333.333333</v>
      </c>
      <c r="L186" s="110">
        <f t="shared" ref="L186:L195" si="67">IFERROR(K186/E186, 0)</f>
        <v>0.3333333333</v>
      </c>
      <c r="M186" s="2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83">
        <v>2.0</v>
      </c>
      <c r="B187" s="84" t="s">
        <v>38</v>
      </c>
      <c r="C187" s="85" t="s">
        <v>46</v>
      </c>
      <c r="D187" s="22">
        <v>15000.0</v>
      </c>
      <c r="E187" s="15">
        <f t="shared" si="64"/>
        <v>30000</v>
      </c>
      <c r="F187" s="16"/>
      <c r="G187" s="25"/>
      <c r="H187" s="37"/>
      <c r="I187" s="87">
        <v>13000.0</v>
      </c>
      <c r="J187" s="16">
        <f t="shared" si="65"/>
        <v>26000</v>
      </c>
      <c r="K187" s="16">
        <f t="shared" si="66"/>
        <v>4000</v>
      </c>
      <c r="L187" s="110">
        <f t="shared" si="67"/>
        <v>0.1333333333</v>
      </c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83">
        <v>1.0</v>
      </c>
      <c r="B188" s="84" t="s">
        <v>18</v>
      </c>
      <c r="C188" s="85" t="s">
        <v>192</v>
      </c>
      <c r="D188" s="22">
        <v>15000.0</v>
      </c>
      <c r="E188" s="15">
        <f t="shared" si="64"/>
        <v>15000</v>
      </c>
      <c r="F188" s="16"/>
      <c r="G188" s="25"/>
      <c r="H188" s="37"/>
      <c r="I188" s="87">
        <f>750*14</f>
        <v>10500</v>
      </c>
      <c r="J188" s="16">
        <f t="shared" si="65"/>
        <v>10500</v>
      </c>
      <c r="K188" s="16">
        <f t="shared" si="66"/>
        <v>4500</v>
      </c>
      <c r="L188" s="110">
        <f t="shared" si="67"/>
        <v>0.3</v>
      </c>
      <c r="M188" s="2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83">
        <v>1.0</v>
      </c>
      <c r="B189" s="84" t="s">
        <v>29</v>
      </c>
      <c r="C189" s="85" t="s">
        <v>55</v>
      </c>
      <c r="D189" s="22">
        <v>38000.0</v>
      </c>
      <c r="E189" s="15">
        <f t="shared" si="64"/>
        <v>38000</v>
      </c>
      <c r="F189" s="16"/>
      <c r="G189" s="25"/>
      <c r="H189" s="37"/>
      <c r="I189" s="22">
        <v>28000.0</v>
      </c>
      <c r="J189" s="16">
        <f t="shared" si="65"/>
        <v>28000</v>
      </c>
      <c r="K189" s="16">
        <f t="shared" si="66"/>
        <v>10000</v>
      </c>
      <c r="L189" s="110">
        <f t="shared" si="67"/>
        <v>0.2631578947</v>
      </c>
      <c r="M189" s="2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83">
        <v>1.0</v>
      </c>
      <c r="B190" s="84" t="s">
        <v>29</v>
      </c>
      <c r="C190" s="85" t="s">
        <v>78</v>
      </c>
      <c r="D190" s="22">
        <v>38000.0</v>
      </c>
      <c r="E190" s="15">
        <f t="shared" si="64"/>
        <v>38000</v>
      </c>
      <c r="F190" s="16"/>
      <c r="G190" s="25"/>
      <c r="H190" s="98"/>
      <c r="I190" s="87">
        <v>28000.0</v>
      </c>
      <c r="J190" s="16">
        <f t="shared" si="65"/>
        <v>28000</v>
      </c>
      <c r="K190" s="16">
        <f t="shared" si="66"/>
        <v>10000</v>
      </c>
      <c r="L190" s="110">
        <f t="shared" si="67"/>
        <v>0.2631578947</v>
      </c>
      <c r="M190" s="2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83">
        <v>1.0</v>
      </c>
      <c r="B191" s="84" t="s">
        <v>18</v>
      </c>
      <c r="C191" s="85" t="s">
        <v>237</v>
      </c>
      <c r="D191" s="22">
        <v>18000.0</v>
      </c>
      <c r="E191" s="15">
        <f t="shared" si="64"/>
        <v>18000</v>
      </c>
      <c r="F191" s="16"/>
      <c r="G191" s="25"/>
      <c r="H191" s="37"/>
      <c r="I191" s="87">
        <v>15000.0</v>
      </c>
      <c r="J191" s="16">
        <f t="shared" si="65"/>
        <v>15000</v>
      </c>
      <c r="K191" s="16">
        <f t="shared" si="66"/>
        <v>3000</v>
      </c>
      <c r="L191" s="110">
        <f t="shared" si="67"/>
        <v>0.1666666667</v>
      </c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83">
        <v>6.0</v>
      </c>
      <c r="B192" s="84" t="s">
        <v>5</v>
      </c>
      <c r="C192" s="85" t="s">
        <v>176</v>
      </c>
      <c r="D192" s="22">
        <v>1000.0</v>
      </c>
      <c r="E192" s="15">
        <f t="shared" si="64"/>
        <v>6000</v>
      </c>
      <c r="F192" s="16"/>
      <c r="G192" s="25"/>
      <c r="H192" s="37"/>
      <c r="I192" s="87">
        <v>560.0</v>
      </c>
      <c r="J192" s="16">
        <f t="shared" si="65"/>
        <v>3360</v>
      </c>
      <c r="K192" s="16">
        <f t="shared" si="66"/>
        <v>2640</v>
      </c>
      <c r="L192" s="110">
        <f t="shared" si="67"/>
        <v>0.44</v>
      </c>
      <c r="M192" s="2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83">
        <v>2.0</v>
      </c>
      <c r="B193" s="84" t="s">
        <v>38</v>
      </c>
      <c r="C193" s="85" t="s">
        <v>47</v>
      </c>
      <c r="D193" s="22">
        <v>12000.0</v>
      </c>
      <c r="E193" s="15">
        <f t="shared" si="64"/>
        <v>24000</v>
      </c>
      <c r="F193" s="16"/>
      <c r="G193" s="25"/>
      <c r="H193" s="37"/>
      <c r="I193" s="87">
        <v>8000.0</v>
      </c>
      <c r="J193" s="16">
        <f t="shared" si="65"/>
        <v>16000</v>
      </c>
      <c r="K193" s="16">
        <f t="shared" si="66"/>
        <v>8000</v>
      </c>
      <c r="L193" s="110">
        <f t="shared" si="67"/>
        <v>0.3333333333</v>
      </c>
      <c r="M193" s="2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83">
        <v>2.0</v>
      </c>
      <c r="B194" s="84" t="s">
        <v>38</v>
      </c>
      <c r="C194" s="85" t="s">
        <v>45</v>
      </c>
      <c r="D194" s="22">
        <v>14000.0</v>
      </c>
      <c r="E194" s="15">
        <f t="shared" si="64"/>
        <v>28000</v>
      </c>
      <c r="F194" s="16"/>
      <c r="G194" s="25"/>
      <c r="H194" s="37"/>
      <c r="I194" s="22">
        <v>8000.0</v>
      </c>
      <c r="J194" s="16">
        <f t="shared" si="65"/>
        <v>16000</v>
      </c>
      <c r="K194" s="16">
        <f t="shared" si="66"/>
        <v>12000</v>
      </c>
      <c r="L194" s="110">
        <f t="shared" si="67"/>
        <v>0.4285714286</v>
      </c>
      <c r="M194" s="2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83">
        <v>6.0</v>
      </c>
      <c r="B195" s="84" t="s">
        <v>340</v>
      </c>
      <c r="C195" s="85" t="s">
        <v>21</v>
      </c>
      <c r="D195" s="22">
        <v>5000.0</v>
      </c>
      <c r="E195" s="15">
        <f t="shared" si="64"/>
        <v>30000</v>
      </c>
      <c r="F195" s="16"/>
      <c r="G195" s="25"/>
      <c r="H195" s="37"/>
      <c r="I195" s="22">
        <v>4000.0</v>
      </c>
      <c r="J195" s="16">
        <f t="shared" si="65"/>
        <v>24000</v>
      </c>
      <c r="K195" s="16">
        <f t="shared" si="66"/>
        <v>6000</v>
      </c>
      <c r="L195" s="110">
        <f t="shared" si="67"/>
        <v>0.2</v>
      </c>
      <c r="M195" s="2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13"/>
      <c r="B196" s="12"/>
      <c r="C196" s="14"/>
      <c r="D196" s="15"/>
      <c r="E196" s="16"/>
      <c r="F196" s="16"/>
      <c r="H196" s="25"/>
      <c r="I196" s="16"/>
      <c r="J196" s="16"/>
      <c r="K196" s="16"/>
      <c r="L196" s="110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13"/>
      <c r="B197" s="12"/>
      <c r="C197" s="14"/>
      <c r="D197" s="15"/>
      <c r="E197" s="16">
        <f>SUM(E186:E196)</f>
        <v>255000</v>
      </c>
      <c r="F197" s="16"/>
      <c r="G197" s="25"/>
      <c r="H197" s="25"/>
      <c r="I197" s="16"/>
      <c r="J197" s="16"/>
      <c r="K197" s="16">
        <f>SUM(K186:K195)</f>
        <v>69473.33333</v>
      </c>
      <c r="L197" s="110">
        <f>IFERROR(K197/E197, 0)</f>
        <v>0.2724444444</v>
      </c>
      <c r="M197" s="2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52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6"/>
      <c r="M199" s="2"/>
      <c r="N199" s="2"/>
      <c r="O199" s="2"/>
      <c r="P199" s="2"/>
      <c r="Q199" s="3"/>
      <c r="R199" s="52"/>
      <c r="S199" s="3"/>
      <c r="T199" s="3"/>
      <c r="U199" s="3"/>
      <c r="V199" s="3"/>
      <c r="W199" s="3"/>
      <c r="X199" s="3"/>
      <c r="Y199" s="3"/>
      <c r="Z199" s="3"/>
    </row>
    <row r="200">
      <c r="A200" s="88" t="s">
        <v>0</v>
      </c>
      <c r="D200" s="22"/>
      <c r="E200" s="86" t="s">
        <v>341</v>
      </c>
      <c r="F200" s="82">
        <v>46071.0</v>
      </c>
      <c r="G200" s="6"/>
      <c r="H200" s="3"/>
      <c r="I200" s="8" t="s">
        <v>3</v>
      </c>
      <c r="L200" s="4"/>
      <c r="M200" s="1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A201" s="103"/>
      <c r="B201" s="101"/>
      <c r="C201" s="104"/>
      <c r="D201" s="101"/>
      <c r="E201" s="101"/>
      <c r="F201" s="101"/>
      <c r="G201" s="101"/>
      <c r="H201" s="101"/>
      <c r="I201" s="101"/>
      <c r="J201" s="101"/>
      <c r="K201" s="101"/>
      <c r="L201" s="4"/>
      <c r="M201" s="1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5" t="s">
        <v>4</v>
      </c>
      <c r="B202" s="10" t="s">
        <v>5</v>
      </c>
      <c r="C202" s="96" t="s">
        <v>6</v>
      </c>
      <c r="D202" s="10" t="s">
        <v>7</v>
      </c>
      <c r="E202" s="10" t="s">
        <v>8</v>
      </c>
      <c r="F202" s="10" t="s">
        <v>9</v>
      </c>
      <c r="G202" s="101"/>
      <c r="H202" s="101"/>
      <c r="I202" s="10" t="s">
        <v>260</v>
      </c>
      <c r="J202" s="10" t="s">
        <v>8</v>
      </c>
      <c r="K202" s="10" t="s">
        <v>10</v>
      </c>
      <c r="L202" s="4"/>
      <c r="M202" s="1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83">
        <v>4.0</v>
      </c>
      <c r="B203" s="84" t="s">
        <v>29</v>
      </c>
      <c r="C203" s="85" t="s">
        <v>55</v>
      </c>
      <c r="D203" s="22">
        <v>35000.0</v>
      </c>
      <c r="E203" s="15">
        <f t="shared" ref="E203:E211" si="68">A203*D203</f>
        <v>140000</v>
      </c>
      <c r="F203" s="22">
        <f t="shared" ref="F203:F209" si="69">E203*1.105</f>
        <v>154700</v>
      </c>
      <c r="G203" s="101"/>
      <c r="H203" s="101"/>
      <c r="I203" s="22">
        <v>28000.0</v>
      </c>
      <c r="J203" s="15">
        <f t="shared" ref="J203:J211" si="70">I203*A203</f>
        <v>112000</v>
      </c>
      <c r="K203" s="15">
        <f t="shared" ref="K203:K211" si="71">F203-J203</f>
        <v>42700</v>
      </c>
      <c r="L203" s="110">
        <f t="shared" ref="L203:L211" si="72">IFERROR(K203/E203, 0)</f>
        <v>0.305</v>
      </c>
      <c r="M203" s="1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83">
        <v>4.0</v>
      </c>
      <c r="B204" s="84" t="s">
        <v>18</v>
      </c>
      <c r="C204" s="85" t="s">
        <v>342</v>
      </c>
      <c r="D204" s="22">
        <v>25000.0</v>
      </c>
      <c r="E204" s="15">
        <f t="shared" si="68"/>
        <v>100000</v>
      </c>
      <c r="F204" s="22">
        <f t="shared" si="69"/>
        <v>110500</v>
      </c>
      <c r="G204" s="101"/>
      <c r="H204" s="101"/>
      <c r="I204" s="22">
        <v>20000.0</v>
      </c>
      <c r="J204" s="15">
        <f t="shared" si="70"/>
        <v>80000</v>
      </c>
      <c r="K204" s="15">
        <f t="shared" si="71"/>
        <v>30500</v>
      </c>
      <c r="L204" s="110">
        <f t="shared" si="72"/>
        <v>0.305</v>
      </c>
      <c r="M204" s="1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83">
        <v>4.0</v>
      </c>
      <c r="B205" s="84" t="s">
        <v>18</v>
      </c>
      <c r="C205" s="85" t="s">
        <v>201</v>
      </c>
      <c r="D205" s="22">
        <v>38000.0</v>
      </c>
      <c r="E205" s="15">
        <f t="shared" si="68"/>
        <v>152000</v>
      </c>
      <c r="F205" s="22">
        <f t="shared" si="69"/>
        <v>167960</v>
      </c>
      <c r="G205" s="101"/>
      <c r="H205" s="101"/>
      <c r="I205" s="22">
        <v>27000.0</v>
      </c>
      <c r="J205" s="15">
        <f t="shared" si="70"/>
        <v>108000</v>
      </c>
      <c r="K205" s="15">
        <f t="shared" si="71"/>
        <v>59960</v>
      </c>
      <c r="L205" s="110">
        <f t="shared" si="72"/>
        <v>0.3944736842</v>
      </c>
      <c r="M205" s="1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83">
        <v>4.0</v>
      </c>
      <c r="B206" s="84" t="s">
        <v>18</v>
      </c>
      <c r="C206" s="85" t="s">
        <v>214</v>
      </c>
      <c r="D206" s="22">
        <v>38000.0</v>
      </c>
      <c r="E206" s="15">
        <f t="shared" si="68"/>
        <v>152000</v>
      </c>
      <c r="F206" s="22">
        <f t="shared" si="69"/>
        <v>167960</v>
      </c>
      <c r="G206" s="101"/>
      <c r="H206" s="101"/>
      <c r="I206" s="22">
        <v>25000.0</v>
      </c>
      <c r="J206" s="15">
        <f t="shared" si="70"/>
        <v>100000</v>
      </c>
      <c r="K206" s="15">
        <f t="shared" si="71"/>
        <v>67960</v>
      </c>
      <c r="L206" s="110">
        <f t="shared" si="72"/>
        <v>0.4471052632</v>
      </c>
      <c r="M206" s="1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83">
        <v>3.0</v>
      </c>
      <c r="B207" s="84" t="s">
        <v>18</v>
      </c>
      <c r="C207" s="85" t="s">
        <v>20</v>
      </c>
      <c r="D207" s="22">
        <v>26000.0</v>
      </c>
      <c r="E207" s="15">
        <f t="shared" si="68"/>
        <v>78000</v>
      </c>
      <c r="F207" s="22">
        <f t="shared" si="69"/>
        <v>86190</v>
      </c>
      <c r="G207" s="101"/>
      <c r="H207" s="101"/>
      <c r="I207" s="22">
        <v>16000.0</v>
      </c>
      <c r="J207" s="15">
        <f t="shared" si="70"/>
        <v>48000</v>
      </c>
      <c r="K207" s="15">
        <f t="shared" si="71"/>
        <v>38190</v>
      </c>
      <c r="L207" s="110">
        <f t="shared" si="72"/>
        <v>0.4896153846</v>
      </c>
      <c r="M207" s="1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83">
        <v>3.0</v>
      </c>
      <c r="B208" s="84" t="s">
        <v>18</v>
      </c>
      <c r="C208" s="85" t="s">
        <v>232</v>
      </c>
      <c r="D208" s="22">
        <v>63000.0</v>
      </c>
      <c r="E208" s="15">
        <f t="shared" si="68"/>
        <v>189000</v>
      </c>
      <c r="F208" s="22">
        <f t="shared" si="69"/>
        <v>208845</v>
      </c>
      <c r="G208" s="101"/>
      <c r="H208" s="101"/>
      <c r="I208" s="22">
        <v>55000.0</v>
      </c>
      <c r="J208" s="15">
        <f t="shared" si="70"/>
        <v>165000</v>
      </c>
      <c r="K208" s="15">
        <f t="shared" si="71"/>
        <v>43845</v>
      </c>
      <c r="L208" s="110">
        <f t="shared" si="72"/>
        <v>0.231984127</v>
      </c>
      <c r="M208" s="1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>
      <c r="A209" s="83">
        <v>4.0</v>
      </c>
      <c r="B209" s="84" t="s">
        <v>18</v>
      </c>
      <c r="C209" s="85" t="s">
        <v>213</v>
      </c>
      <c r="D209" s="22">
        <v>40000.0</v>
      </c>
      <c r="E209" s="15">
        <f t="shared" si="68"/>
        <v>160000</v>
      </c>
      <c r="F209" s="22">
        <f t="shared" si="69"/>
        <v>176800</v>
      </c>
      <c r="G209" s="101"/>
      <c r="H209" s="101"/>
      <c r="I209" s="22">
        <v>28000.0</v>
      </c>
      <c r="J209" s="15">
        <f t="shared" si="70"/>
        <v>112000</v>
      </c>
      <c r="K209" s="15">
        <f t="shared" si="71"/>
        <v>64800</v>
      </c>
      <c r="L209" s="110">
        <f t="shared" si="72"/>
        <v>0.405</v>
      </c>
      <c r="M209" s="1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83">
        <v>0.5</v>
      </c>
      <c r="B210" s="84" t="s">
        <v>18</v>
      </c>
      <c r="C210" s="85" t="s">
        <v>21</v>
      </c>
      <c r="D210" s="22">
        <v>56000.0</v>
      </c>
      <c r="E210" s="15">
        <f t="shared" si="68"/>
        <v>28000</v>
      </c>
      <c r="F210" s="22">
        <f>E210*1.21</f>
        <v>33880</v>
      </c>
      <c r="G210" s="101"/>
      <c r="H210" s="101"/>
      <c r="I210" s="22">
        <v>48000.0</v>
      </c>
      <c r="J210" s="15">
        <f t="shared" si="70"/>
        <v>24000</v>
      </c>
      <c r="K210" s="15">
        <f t="shared" si="71"/>
        <v>9880</v>
      </c>
      <c r="L210" s="110">
        <f t="shared" si="72"/>
        <v>0.3528571429</v>
      </c>
      <c r="M210" s="1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83">
        <v>2.0</v>
      </c>
      <c r="B211" s="84" t="s">
        <v>18</v>
      </c>
      <c r="C211" s="85" t="s">
        <v>19</v>
      </c>
      <c r="D211" s="22">
        <v>36000.0</v>
      </c>
      <c r="E211" s="15">
        <f t="shared" si="68"/>
        <v>72000</v>
      </c>
      <c r="F211" s="22">
        <f>E211*1.105</f>
        <v>79560</v>
      </c>
      <c r="G211" s="101"/>
      <c r="H211" s="101"/>
      <c r="I211" s="22">
        <v>28000.0</v>
      </c>
      <c r="J211" s="15">
        <f t="shared" si="70"/>
        <v>56000</v>
      </c>
      <c r="K211" s="15">
        <f t="shared" si="71"/>
        <v>23560</v>
      </c>
      <c r="L211" s="110">
        <f t="shared" si="72"/>
        <v>0.3272222222</v>
      </c>
      <c r="M211" s="1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5"/>
      <c r="B212" s="10"/>
      <c r="C212" s="11"/>
      <c r="D212" s="12"/>
      <c r="E212" s="10"/>
      <c r="F212" s="10"/>
      <c r="G212" s="3"/>
      <c r="H212" s="3"/>
      <c r="I212" s="10"/>
      <c r="J212" s="10"/>
      <c r="K212" s="10"/>
      <c r="L212" s="110"/>
      <c r="M212" s="1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5"/>
      <c r="B213" s="10"/>
      <c r="C213" s="11"/>
      <c r="D213" s="12"/>
      <c r="E213" s="15">
        <f t="shared" ref="E213:F213" si="73">SUM(E203:E211)</f>
        <v>1071000</v>
      </c>
      <c r="F213" s="15">
        <f t="shared" si="73"/>
        <v>1186395</v>
      </c>
      <c r="G213" s="101"/>
      <c r="H213" s="101"/>
      <c r="I213" s="101"/>
      <c r="J213" s="101"/>
      <c r="K213" s="15">
        <f>SUM(K203:K211)</f>
        <v>381395</v>
      </c>
      <c r="L213" s="110">
        <f>IFERROR(K213/E213, 0)</f>
        <v>0.3561111111</v>
      </c>
      <c r="M213" s="1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89"/>
      <c r="B214" s="24"/>
      <c r="C214" s="24"/>
      <c r="D214" s="81"/>
      <c r="E214" s="82"/>
      <c r="F214" s="33"/>
      <c r="G214" s="25"/>
      <c r="H214" s="25"/>
      <c r="I214" s="16"/>
      <c r="J214" s="16"/>
      <c r="K214" s="16"/>
      <c r="L214" s="34"/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89"/>
      <c r="B215" s="24"/>
      <c r="C215" s="24"/>
      <c r="D215" s="81"/>
      <c r="E215" s="82"/>
      <c r="F215" s="33"/>
      <c r="G215" s="25"/>
      <c r="H215" s="25"/>
      <c r="I215" s="16"/>
      <c r="J215" s="16"/>
      <c r="K215" s="16"/>
      <c r="L215" s="34"/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>
      <c r="A216" s="89" t="s">
        <v>266</v>
      </c>
      <c r="B216" s="114" t="s">
        <v>343</v>
      </c>
      <c r="C216" s="24"/>
      <c r="D216" s="81" t="s">
        <v>285</v>
      </c>
      <c r="E216" s="82">
        <v>46071.0</v>
      </c>
      <c r="F216" s="33" t="s">
        <v>13</v>
      </c>
      <c r="G216" s="98" t="s">
        <v>2</v>
      </c>
      <c r="H216" s="25"/>
      <c r="I216" s="16"/>
      <c r="J216" s="16"/>
      <c r="K216" s="16"/>
      <c r="L216" s="34"/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B217" s="25"/>
      <c r="C217" s="35"/>
      <c r="D217" s="25"/>
      <c r="E217" s="25"/>
      <c r="F217" s="25"/>
      <c r="G217" s="25"/>
      <c r="H217" s="25"/>
      <c r="I217" s="16"/>
      <c r="J217" s="16"/>
      <c r="K217" s="16"/>
      <c r="L217" s="34"/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A218" s="5" t="s">
        <v>4</v>
      </c>
      <c r="B218" s="10" t="s">
        <v>5</v>
      </c>
      <c r="C218" s="11" t="s">
        <v>6</v>
      </c>
      <c r="D218" s="12" t="s">
        <v>7</v>
      </c>
      <c r="E218" s="10" t="s">
        <v>8</v>
      </c>
      <c r="F218" s="12"/>
      <c r="G218" s="25"/>
      <c r="H218" s="25"/>
      <c r="I218" s="12" t="s">
        <v>7</v>
      </c>
      <c r="J218" s="12" t="s">
        <v>8</v>
      </c>
      <c r="K218" s="12" t="s">
        <v>10</v>
      </c>
      <c r="L218" s="34"/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83">
        <v>2.0</v>
      </c>
      <c r="B219" s="84" t="s">
        <v>33</v>
      </c>
      <c r="C219" s="85" t="s">
        <v>174</v>
      </c>
      <c r="D219" s="22">
        <v>1600.0</v>
      </c>
      <c r="E219" s="15">
        <f t="shared" ref="E219:E229" si="74">A219*D219</f>
        <v>3200</v>
      </c>
      <c r="F219" s="16"/>
      <c r="G219" s="25"/>
      <c r="H219" s="37"/>
      <c r="I219" s="87">
        <v>1000.0</v>
      </c>
      <c r="J219" s="16">
        <f t="shared" ref="J219:J229" si="75">I219*A219</f>
        <v>2000</v>
      </c>
      <c r="K219" s="16">
        <f t="shared" ref="K219:K229" si="76">E219-J219</f>
        <v>1200</v>
      </c>
      <c r="L219" s="110">
        <f t="shared" ref="L219:L229" si="77">IFERROR(K219/E219, 0)</f>
        <v>0.375</v>
      </c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>
      <c r="A220" s="83">
        <v>1.0</v>
      </c>
      <c r="B220" s="84" t="s">
        <v>33</v>
      </c>
      <c r="C220" s="85" t="s">
        <v>67</v>
      </c>
      <c r="D220" s="22">
        <v>800.0</v>
      </c>
      <c r="E220" s="15">
        <f t="shared" si="74"/>
        <v>800</v>
      </c>
      <c r="F220" s="16"/>
      <c r="G220" s="25"/>
      <c r="H220" s="37"/>
      <c r="I220" s="87">
        <f>8000/17</f>
        <v>470.5882353</v>
      </c>
      <c r="J220" s="16">
        <f t="shared" si="75"/>
        <v>470.5882353</v>
      </c>
      <c r="K220" s="16">
        <f t="shared" si="76"/>
        <v>329.4117647</v>
      </c>
      <c r="L220" s="110">
        <f t="shared" si="77"/>
        <v>0.4117647059</v>
      </c>
      <c r="M220" s="2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>
      <c r="A221" s="83">
        <v>1.0</v>
      </c>
      <c r="B221" s="84" t="s">
        <v>29</v>
      </c>
      <c r="C221" s="85" t="s">
        <v>72</v>
      </c>
      <c r="D221" s="22">
        <v>37000.0</v>
      </c>
      <c r="E221" s="15">
        <f t="shared" si="74"/>
        <v>37000</v>
      </c>
      <c r="F221" s="16"/>
      <c r="G221" s="25"/>
      <c r="H221" s="37"/>
      <c r="I221" s="22">
        <v>30000.0</v>
      </c>
      <c r="J221" s="16">
        <f t="shared" si="75"/>
        <v>30000</v>
      </c>
      <c r="K221" s="16">
        <f t="shared" si="76"/>
        <v>7000</v>
      </c>
      <c r="L221" s="110">
        <f t="shared" si="77"/>
        <v>0.1891891892</v>
      </c>
      <c r="M221" s="2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>
      <c r="A222" s="83">
        <v>2.0</v>
      </c>
      <c r="B222" s="84" t="s">
        <v>50</v>
      </c>
      <c r="C222" s="85" t="s">
        <v>171</v>
      </c>
      <c r="D222" s="22">
        <v>3000.0</v>
      </c>
      <c r="E222" s="15">
        <f t="shared" si="74"/>
        <v>6000</v>
      </c>
      <c r="F222" s="16"/>
      <c r="G222" s="25"/>
      <c r="H222" s="37"/>
      <c r="I222" s="87">
        <v>2000.0</v>
      </c>
      <c r="J222" s="16">
        <f t="shared" si="75"/>
        <v>4000</v>
      </c>
      <c r="K222" s="16">
        <f t="shared" si="76"/>
        <v>2000</v>
      </c>
      <c r="L222" s="110">
        <f t="shared" si="77"/>
        <v>0.3333333333</v>
      </c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>
      <c r="A223" s="83">
        <v>3.0</v>
      </c>
      <c r="B223" s="84" t="s">
        <v>50</v>
      </c>
      <c r="C223" s="85" t="s">
        <v>235</v>
      </c>
      <c r="D223" s="22">
        <v>3000.0</v>
      </c>
      <c r="E223" s="15">
        <f t="shared" si="74"/>
        <v>9000</v>
      </c>
      <c r="F223" s="16"/>
      <c r="G223" s="25"/>
      <c r="H223" s="37"/>
      <c r="I223" s="87">
        <v>2000.0</v>
      </c>
      <c r="J223" s="16">
        <f t="shared" si="75"/>
        <v>6000</v>
      </c>
      <c r="K223" s="16">
        <f t="shared" si="76"/>
        <v>3000</v>
      </c>
      <c r="L223" s="110">
        <f t="shared" si="77"/>
        <v>0.3333333333</v>
      </c>
      <c r="M223" s="2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83">
        <v>1.0</v>
      </c>
      <c r="B224" s="84" t="s">
        <v>50</v>
      </c>
      <c r="C224" s="85" t="s">
        <v>104</v>
      </c>
      <c r="D224" s="22">
        <v>2500.0</v>
      </c>
      <c r="E224" s="15">
        <f t="shared" si="74"/>
        <v>2500</v>
      </c>
      <c r="F224" s="16"/>
      <c r="G224" s="25"/>
      <c r="H224" s="37"/>
      <c r="I224" s="87">
        <v>1000.0</v>
      </c>
      <c r="J224" s="16">
        <f t="shared" si="75"/>
        <v>1000</v>
      </c>
      <c r="K224" s="16">
        <f t="shared" si="76"/>
        <v>1500</v>
      </c>
      <c r="L224" s="110">
        <f t="shared" si="77"/>
        <v>0.6</v>
      </c>
      <c r="M224" s="2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>
      <c r="A225" s="83">
        <v>1.0</v>
      </c>
      <c r="B225" s="84" t="s">
        <v>50</v>
      </c>
      <c r="C225" s="85" t="s">
        <v>236</v>
      </c>
      <c r="D225" s="22">
        <v>5500.0</v>
      </c>
      <c r="E225" s="15">
        <f t="shared" si="74"/>
        <v>5500</v>
      </c>
      <c r="F225" s="16"/>
      <c r="G225" s="25"/>
      <c r="H225" s="37"/>
      <c r="I225" s="22">
        <v>3000.0</v>
      </c>
      <c r="J225" s="16">
        <f t="shared" si="75"/>
        <v>3000</v>
      </c>
      <c r="K225" s="16">
        <f t="shared" si="76"/>
        <v>2500</v>
      </c>
      <c r="L225" s="110">
        <f t="shared" si="77"/>
        <v>0.4545454545</v>
      </c>
      <c r="M225" s="2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>
      <c r="A226" s="83">
        <v>2.0</v>
      </c>
      <c r="B226" s="84" t="s">
        <v>33</v>
      </c>
      <c r="C226" s="85" t="s">
        <v>22</v>
      </c>
      <c r="D226" s="22">
        <v>1400.0</v>
      </c>
      <c r="E226" s="15">
        <f t="shared" si="74"/>
        <v>2800</v>
      </c>
      <c r="F226" s="16"/>
      <c r="G226" s="25"/>
      <c r="H226" s="37"/>
      <c r="I226" s="87">
        <f>7000/14</f>
        <v>500</v>
      </c>
      <c r="J226" s="16">
        <f t="shared" si="75"/>
        <v>1000</v>
      </c>
      <c r="K226" s="16">
        <f t="shared" si="76"/>
        <v>1800</v>
      </c>
      <c r="L226" s="110">
        <f t="shared" si="77"/>
        <v>0.6428571429</v>
      </c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>
      <c r="A227" s="83">
        <v>0.5</v>
      </c>
      <c r="B227" s="84" t="s">
        <v>33</v>
      </c>
      <c r="C227" s="85" t="s">
        <v>269</v>
      </c>
      <c r="D227" s="22">
        <v>9500.0</v>
      </c>
      <c r="E227" s="15">
        <f t="shared" si="74"/>
        <v>4750</v>
      </c>
      <c r="F227" s="16"/>
      <c r="G227" s="25"/>
      <c r="H227" s="37"/>
      <c r="I227" s="87">
        <v>6000.0</v>
      </c>
      <c r="J227" s="16">
        <f t="shared" si="75"/>
        <v>3000</v>
      </c>
      <c r="K227" s="16">
        <f t="shared" si="76"/>
        <v>1750</v>
      </c>
      <c r="L227" s="110">
        <f t="shared" si="77"/>
        <v>0.3684210526</v>
      </c>
      <c r="M227" s="2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83">
        <v>0.5</v>
      </c>
      <c r="B228" s="84" t="s">
        <v>33</v>
      </c>
      <c r="C228" s="85" t="s">
        <v>258</v>
      </c>
      <c r="D228" s="22">
        <v>11000.0</v>
      </c>
      <c r="E228" s="15">
        <f t="shared" si="74"/>
        <v>5500</v>
      </c>
      <c r="F228" s="16"/>
      <c r="G228" s="25"/>
      <c r="H228" s="37"/>
      <c r="I228" s="87">
        <v>8000.0</v>
      </c>
      <c r="J228" s="16">
        <f t="shared" si="75"/>
        <v>4000</v>
      </c>
      <c r="K228" s="16">
        <f t="shared" si="76"/>
        <v>1500</v>
      </c>
      <c r="L228" s="110">
        <f t="shared" si="77"/>
        <v>0.2727272727</v>
      </c>
      <c r="M228" s="2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>
      <c r="A229" s="83">
        <v>1.0</v>
      </c>
      <c r="B229" s="84" t="s">
        <v>50</v>
      </c>
      <c r="C229" s="85" t="s">
        <v>271</v>
      </c>
      <c r="D229" s="22">
        <v>3000.0</v>
      </c>
      <c r="E229" s="15">
        <f t="shared" si="74"/>
        <v>3000</v>
      </c>
      <c r="F229" s="16"/>
      <c r="G229" s="25"/>
      <c r="H229" s="37"/>
      <c r="I229" s="87">
        <v>2000.0</v>
      </c>
      <c r="J229" s="16">
        <f t="shared" si="75"/>
        <v>2000</v>
      </c>
      <c r="K229" s="16">
        <f t="shared" si="76"/>
        <v>1000</v>
      </c>
      <c r="L229" s="110">
        <f t="shared" si="77"/>
        <v>0.3333333333</v>
      </c>
      <c r="M229" s="2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13"/>
      <c r="B230" s="12"/>
      <c r="C230" s="14"/>
      <c r="D230" s="15"/>
      <c r="E230" s="16"/>
      <c r="F230" s="16"/>
      <c r="H230" s="25"/>
      <c r="I230" s="16"/>
      <c r="J230" s="16"/>
      <c r="K230" s="16"/>
      <c r="L230" s="110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>
      <c r="A231" s="13"/>
      <c r="B231" s="12"/>
      <c r="C231" s="14"/>
      <c r="D231" s="15"/>
      <c r="E231" s="16">
        <f>SUM(E219:E230)</f>
        <v>80050</v>
      </c>
      <c r="F231" s="16"/>
      <c r="G231" s="25"/>
      <c r="H231" s="25"/>
      <c r="I231" s="16"/>
      <c r="J231" s="16"/>
      <c r="K231" s="16">
        <f>SUM(K219:K229)</f>
        <v>23579.41176</v>
      </c>
      <c r="L231" s="110">
        <f>IFERROR(K231/E231, 0)</f>
        <v>0.294558548</v>
      </c>
      <c r="M231" s="2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3"/>
      <c r="T232" s="3"/>
      <c r="U232" s="3"/>
      <c r="V232" s="3"/>
      <c r="W232" s="3"/>
      <c r="X232" s="3"/>
      <c r="Y232" s="3"/>
      <c r="Z232" s="3"/>
    </row>
    <row r="233">
      <c r="A233" s="26" t="s">
        <v>60</v>
      </c>
      <c r="B233" s="27">
        <v>0.04</v>
      </c>
      <c r="C233" s="2"/>
      <c r="D233" s="3"/>
      <c r="E233" s="15">
        <f>E231*0.04</f>
        <v>3202</v>
      </c>
      <c r="F233" s="3"/>
      <c r="G233" s="2"/>
      <c r="H233" s="3"/>
      <c r="I233" s="3"/>
      <c r="J233" s="3"/>
      <c r="K233" s="3"/>
      <c r="L233" s="4"/>
      <c r="M233" s="1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30"/>
      <c r="B234" s="31"/>
      <c r="C234" s="2"/>
      <c r="D234" s="3"/>
      <c r="E234" s="3"/>
      <c r="F234" s="3"/>
      <c r="G234" s="2"/>
      <c r="H234" s="2"/>
      <c r="I234" s="2"/>
      <c r="J234" s="2"/>
      <c r="K234" s="3"/>
      <c r="L234" s="4"/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>
      <c r="A235" s="30"/>
      <c r="B235" s="31"/>
      <c r="C235" s="2"/>
      <c r="D235" s="3"/>
      <c r="E235" s="3"/>
      <c r="F235" s="3"/>
      <c r="G235" s="2"/>
      <c r="H235" s="2"/>
      <c r="I235" s="2"/>
      <c r="J235" s="2"/>
      <c r="K235" s="3"/>
      <c r="L235" s="4"/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>
      <c r="A236" s="30" t="s">
        <v>120</v>
      </c>
      <c r="B236" s="31">
        <f>E231+F213+E197+E180+E150+F138+E129+F116+F99+F83+F67+F55+F42+F26+F13</f>
        <v>2379549.975</v>
      </c>
      <c r="C236" s="2"/>
      <c r="D236" s="3"/>
      <c r="E236" s="3"/>
      <c r="F236" s="3"/>
      <c r="G236" s="2"/>
      <c r="H236" s="2"/>
      <c r="I236" s="2"/>
      <c r="J236" s="2"/>
      <c r="K236" s="3"/>
      <c r="L236" s="4"/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>
      <c r="A237" s="1"/>
      <c r="B237" s="2"/>
      <c r="C237" s="2"/>
      <c r="D237" s="3"/>
      <c r="E237" s="3"/>
      <c r="F237" s="3"/>
      <c r="G237" s="2"/>
      <c r="H237" s="2"/>
      <c r="I237" s="2"/>
      <c r="J237" s="2"/>
      <c r="K237" s="3"/>
      <c r="L237" s="4"/>
      <c r="M237" s="2"/>
      <c r="N237" s="2"/>
      <c r="O237" s="2"/>
      <c r="P237" s="2"/>
      <c r="Q237" s="3"/>
      <c r="R237" s="9"/>
      <c r="S237" s="3"/>
      <c r="T237" s="3"/>
      <c r="U237" s="1"/>
      <c r="V237" s="3"/>
      <c r="W237" s="3"/>
      <c r="X237" s="3"/>
      <c r="Y237" s="3"/>
      <c r="Z237" s="3"/>
    </row>
    <row r="238">
      <c r="A238" s="30" t="s">
        <v>121</v>
      </c>
      <c r="B238" s="108">
        <f>K231+K213+K197+K180+K150+K138+K129+K116+K99+K83+K67+K55+K42+K26+K13</f>
        <v>786595.5772</v>
      </c>
      <c r="C238" s="2"/>
      <c r="D238" s="3"/>
      <c r="E238" s="3"/>
      <c r="F238" s="3"/>
      <c r="G238" s="109"/>
      <c r="H238" s="2"/>
      <c r="I238" s="2"/>
      <c r="J238" s="2"/>
      <c r="K238" s="3"/>
      <c r="L238" s="4"/>
      <c r="M238" s="2"/>
      <c r="N238" s="2"/>
      <c r="O238" s="2"/>
      <c r="P238" s="2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1"/>
      <c r="B239" s="2"/>
      <c r="C239" s="2"/>
      <c r="D239" s="3"/>
      <c r="E239" s="3"/>
      <c r="F239" s="3"/>
      <c r="G239" s="2"/>
      <c r="H239" s="2"/>
      <c r="I239" s="2"/>
      <c r="J239" s="2"/>
      <c r="K239" s="3"/>
      <c r="L239" s="4"/>
      <c r="M239" s="2"/>
      <c r="N239" s="2"/>
      <c r="O239" s="2"/>
      <c r="P239" s="2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39" t="s">
        <v>122</v>
      </c>
      <c r="B240" s="99">
        <f>E233+E152+E118+E101</f>
        <v>15740</v>
      </c>
      <c r="C240" s="2"/>
      <c r="D240" s="3"/>
      <c r="E240" s="3"/>
      <c r="F240" s="3"/>
      <c r="G240" s="2"/>
      <c r="H240" s="2"/>
      <c r="I240" s="2"/>
      <c r="J240" s="2"/>
      <c r="K240" s="3"/>
      <c r="L240" s="4"/>
      <c r="M240" s="2"/>
      <c r="N240" s="2"/>
      <c r="O240" s="2"/>
      <c r="P240" s="2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1"/>
      <c r="B241" s="2"/>
      <c r="C241" s="2"/>
      <c r="D241" s="3"/>
      <c r="E241" s="3"/>
      <c r="F241" s="3"/>
      <c r="G241" s="2"/>
      <c r="H241" s="2"/>
      <c r="I241" s="2"/>
      <c r="J241" s="2"/>
      <c r="K241" s="3"/>
      <c r="L241" s="4"/>
      <c r="M241" s="2"/>
      <c r="N241" s="2"/>
      <c r="O241" s="2"/>
      <c r="P241" s="2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30" t="s">
        <v>123</v>
      </c>
      <c r="B242" s="41">
        <f>B238/B236</f>
        <v>0.3305648486</v>
      </c>
      <c r="C242" s="2"/>
      <c r="D242" s="3"/>
      <c r="E242" s="3"/>
      <c r="F242" s="3"/>
      <c r="G242" s="2"/>
      <c r="H242" s="2"/>
      <c r="I242" s="2"/>
      <c r="J242" s="2"/>
      <c r="K242" s="3"/>
      <c r="L242" s="4"/>
      <c r="M242" s="2"/>
      <c r="N242" s="2"/>
      <c r="O242" s="2"/>
      <c r="P242" s="2"/>
      <c r="Q242" s="2"/>
      <c r="R242" s="2"/>
      <c r="S242" s="3"/>
      <c r="T242" s="3"/>
      <c r="U242" s="1"/>
      <c r="V242" s="3"/>
      <c r="W242" s="3"/>
      <c r="X242" s="2"/>
      <c r="Y242" s="2"/>
      <c r="Z242" s="2"/>
    </row>
    <row r="243">
      <c r="A243" s="1"/>
      <c r="B243" s="2"/>
      <c r="C243" s="2"/>
      <c r="D243" s="3"/>
      <c r="E243" s="3"/>
      <c r="F243" s="3"/>
      <c r="G243" s="2"/>
      <c r="H243" s="2"/>
      <c r="I243" s="2"/>
      <c r="J243" s="2"/>
      <c r="K243" s="3"/>
      <c r="L243" s="4"/>
      <c r="M243" s="2"/>
      <c r="N243" s="2"/>
      <c r="O243" s="2"/>
      <c r="P243" s="2"/>
      <c r="Q243" s="3"/>
      <c r="R243" s="9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42" t="s">
        <v>124</v>
      </c>
      <c r="C244" s="4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3"/>
      <c r="R244" s="9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3"/>
      <c r="R245" s="2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3"/>
      <c r="R246" s="2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3"/>
      <c r="R247" s="2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3"/>
      <c r="R248" s="2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3"/>
      <c r="R249" s="2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3"/>
      <c r="R250" s="2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3"/>
      <c r="R251" s="2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3"/>
      <c r="R252" s="2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3"/>
      <c r="R253" s="2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3"/>
      <c r="R254" s="2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3"/>
      <c r="R255" s="2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3"/>
      <c r="R256" s="2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3"/>
      <c r="R257" s="2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  <c r="R258" s="2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3"/>
      <c r="R259" s="2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3"/>
      <c r="R260" s="2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3"/>
      <c r="R261" s="2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3"/>
      <c r="R262" s="2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3"/>
      <c r="R263" s="2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3"/>
      <c r="R264" s="2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3"/>
      <c r="R265" s="2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3"/>
      <c r="R266" s="2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3"/>
      <c r="R267" s="2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3"/>
      <c r="R268" s="2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3"/>
      <c r="R269" s="9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3"/>
      <c r="R270" s="2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3"/>
      <c r="R271" s="2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9"/>
      <c r="T272" s="3"/>
      <c r="U272" s="2"/>
      <c r="V272" s="3"/>
      <c r="W272" s="3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3"/>
      <c r="R273" s="9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3"/>
      <c r="R274" s="9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3"/>
      <c r="R275" s="2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3"/>
      <c r="R276" s="2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3"/>
      <c r="R277" s="2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3"/>
      <c r="R278" s="2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3"/>
      <c r="R279" s="2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3"/>
      <c r="R280" s="2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3"/>
      <c r="R281" s="2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  <c r="R282" s="2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  <c r="R283" s="2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  <c r="R284" s="9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  <c r="R285" s="2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  <c r="R286" s="2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  <c r="R287" s="2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  <c r="R288" s="2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9"/>
      <c r="T289" s="3"/>
      <c r="U289" s="2"/>
      <c r="V289" s="3"/>
      <c r="W289" s="3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  <c r="R290" s="9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  <c r="R291" s="9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3"/>
      <c r="R292" s="2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3"/>
      <c r="R293" s="2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3"/>
      <c r="R294" s="2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3"/>
      <c r="R295" s="9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3"/>
      <c r="R296" s="2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3"/>
      <c r="R297" s="2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3"/>
      <c r="R299" s="2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9"/>
      <c r="T300" s="3"/>
      <c r="U300" s="2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3"/>
      <c r="R301" s="2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3"/>
      <c r="R302" s="9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3"/>
      <c r="R303" s="2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3"/>
      <c r="R304" s="2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3"/>
      <c r="R305" s="2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3"/>
      <c r="R306" s="2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3"/>
      <c r="R307" s="2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3"/>
      <c r="R308" s="2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3"/>
      <c r="R309" s="2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3"/>
      <c r="R310" s="2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  <c r="R311" s="2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  <c r="R312" s="2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  <c r="R313" s="9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  <c r="R314" s="2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  <c r="R315" s="2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3"/>
      <c r="T316" s="3"/>
      <c r="U316" s="9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  <c r="R317" s="2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  <c r="R318" s="9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  <c r="R319" s="2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  <c r="R320" s="2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  <c r="R321" s="2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  <c r="R322" s="2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  <c r="R323" s="2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  <c r="R324" s="2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  <c r="R325" s="2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  <c r="R326" s="2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  <c r="R327" s="9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  <c r="R328" s="2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  <c r="R329" s="2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3"/>
      <c r="T330" s="9"/>
      <c r="U330" s="2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  <c r="R331" s="2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  <c r="R332" s="9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  <c r="R333" s="2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3"/>
      <c r="R334" s="2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3"/>
      <c r="R335" s="2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3"/>
      <c r="R336" s="2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3"/>
      <c r="R337" s="2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3"/>
      <c r="R338" s="2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3"/>
      <c r="R339" s="9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3"/>
      <c r="R340" s="9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3"/>
      <c r="R341" s="9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3"/>
      <c r="T342" s="9"/>
      <c r="U342" s="2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3"/>
      <c r="R343" s="2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9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3"/>
      <c r="R345" s="2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3"/>
      <c r="R347" s="2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3"/>
      <c r="R348" s="2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3"/>
      <c r="R349" s="2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3"/>
      <c r="R350" s="9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3"/>
      <c r="R351" s="2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3"/>
      <c r="R355" s="2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3"/>
      <c r="R357" s="2"/>
      <c r="S357" s="2"/>
      <c r="T357" s="3"/>
      <c r="U357" s="2"/>
      <c r="V357" s="2"/>
      <c r="W357" s="2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3"/>
      <c r="T358" s="3"/>
      <c r="U358" s="3"/>
      <c r="V358" s="2"/>
      <c r="W358" s="2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44"/>
      <c r="R360" s="44"/>
      <c r="S360" s="44"/>
      <c r="T360" s="44"/>
      <c r="U360" s="44"/>
      <c r="V360" s="44"/>
      <c r="W360" s="44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3"/>
      <c r="T361" s="3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"/>
      <c r="R362" s="2"/>
      <c r="S362" s="3"/>
      <c r="T362" s="3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4"/>
      <c r="R364" s="75"/>
      <c r="S364" s="76"/>
      <c r="T364" s="76"/>
      <c r="U364" s="76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7"/>
      <c r="R365" s="77"/>
      <c r="S365" s="77"/>
      <c r="T365" s="77"/>
      <c r="U365" s="77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52"/>
      <c r="R366" s="52"/>
      <c r="S366" s="52"/>
      <c r="T366" s="5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52"/>
      <c r="R368" s="52"/>
      <c r="S368" s="52"/>
      <c r="T368" s="52"/>
      <c r="U368" s="5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52"/>
      <c r="R369" s="52"/>
      <c r="S369" s="52"/>
      <c r="T369" s="5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52"/>
      <c r="R370" s="52"/>
      <c r="S370" s="52"/>
      <c r="T370" s="5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52"/>
      <c r="R371" s="52"/>
      <c r="S371" s="52"/>
      <c r="T371" s="5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52"/>
      <c r="R372" s="52"/>
      <c r="S372" s="52"/>
      <c r="T372" s="5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8"/>
      <c r="R373" s="78"/>
      <c r="S373" s="78"/>
      <c r="T373" s="78"/>
      <c r="U373" s="79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"/>
      <c r="R374" s="2"/>
      <c r="S374" s="3"/>
      <c r="T374" s="3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62"/>
      <c r="R376" s="62"/>
      <c r="S376" s="62"/>
      <c r="T376" s="6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62"/>
      <c r="R377" s="62"/>
      <c r="S377" s="62"/>
      <c r="T377" s="6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62"/>
      <c r="R378" s="62"/>
      <c r="S378" s="62"/>
      <c r="T378" s="6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62"/>
      <c r="R379" s="62"/>
      <c r="S379" s="62"/>
      <c r="T379" s="6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62"/>
      <c r="R380" s="62"/>
      <c r="S380" s="62"/>
      <c r="T380" s="62"/>
      <c r="U380" s="2"/>
      <c r="V380" s="2"/>
      <c r="W380" s="6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62"/>
      <c r="R381" s="62"/>
      <c r="S381" s="62"/>
      <c r="T381" s="6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62"/>
      <c r="R382" s="62"/>
      <c r="S382" s="62"/>
      <c r="T382" s="62"/>
      <c r="U382" s="2"/>
      <c r="V382" s="2"/>
      <c r="W382" s="6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62"/>
      <c r="R383" s="62"/>
      <c r="S383" s="62"/>
      <c r="T383" s="62"/>
      <c r="U383" s="2"/>
      <c r="V383" s="2"/>
      <c r="W383" s="6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52"/>
      <c r="R384" s="52"/>
      <c r="S384" s="52"/>
      <c r="T384" s="5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52"/>
      <c r="R385" s="52"/>
      <c r="S385" s="52"/>
      <c r="T385" s="52"/>
      <c r="U385" s="2"/>
      <c r="V385" s="2"/>
      <c r="W385" s="6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52"/>
      <c r="R386" s="52"/>
      <c r="S386" s="52"/>
      <c r="T386" s="5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52"/>
      <c r="R387" s="52"/>
      <c r="S387" s="52"/>
      <c r="T387" s="5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52"/>
      <c r="R388" s="52"/>
      <c r="S388" s="52"/>
      <c r="T388" s="5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52"/>
      <c r="R389" s="52"/>
      <c r="S389" s="52"/>
      <c r="T389" s="5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52"/>
      <c r="R390" s="52"/>
      <c r="S390" s="52"/>
      <c r="T390" s="5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52"/>
      <c r="R391" s="52"/>
      <c r="S391" s="52"/>
      <c r="T391" s="5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52"/>
      <c r="R392" s="52"/>
      <c r="S392" s="52"/>
      <c r="T392" s="5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"/>
      <c r="R393" s="52"/>
      <c r="S393" s="52"/>
      <c r="T393" s="5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8"/>
      <c r="R395" s="78"/>
      <c r="S395" s="78"/>
      <c r="T395" s="78"/>
      <c r="U395" s="79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7"/>
      <c r="R397" s="78"/>
      <c r="S397" s="78"/>
      <c r="T397" s="80"/>
      <c r="U397" s="80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52"/>
      <c r="R399" s="52"/>
      <c r="S399" s="52"/>
      <c r="T399" s="52"/>
      <c r="U399" s="5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5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</sheetData>
  <mergeCells count="17">
    <mergeCell ref="A2:C2"/>
    <mergeCell ref="I2:K2"/>
    <mergeCell ref="A16:C16"/>
    <mergeCell ref="I16:K16"/>
    <mergeCell ref="A29:C29"/>
    <mergeCell ref="I29:K29"/>
    <mergeCell ref="I45:K45"/>
    <mergeCell ref="A200:C200"/>
    <mergeCell ref="I200:K200"/>
    <mergeCell ref="A244:B244"/>
    <mergeCell ref="A45:C45"/>
    <mergeCell ref="A58:C58"/>
    <mergeCell ref="I58:K58"/>
    <mergeCell ref="A70:C70"/>
    <mergeCell ref="I70:K70"/>
    <mergeCell ref="I86:K86"/>
    <mergeCell ref="I104:K104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88" t="s">
        <v>92</v>
      </c>
      <c r="E2" s="86" t="s">
        <v>285</v>
      </c>
      <c r="F2" s="82">
        <v>46072.0</v>
      </c>
      <c r="G2" s="8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102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2.0</v>
      </c>
      <c r="B5" s="84" t="s">
        <v>38</v>
      </c>
      <c r="C5" s="85" t="s">
        <v>47</v>
      </c>
      <c r="D5" s="22">
        <v>12000.0</v>
      </c>
      <c r="E5" s="15">
        <f t="shared" ref="E5:E11" si="1">A5*D5</f>
        <v>24000</v>
      </c>
      <c r="F5" s="15">
        <f t="shared" ref="F5:F11" si="2">E5*1.105</f>
        <v>26520</v>
      </c>
      <c r="G5" s="101"/>
      <c r="H5" s="101"/>
      <c r="I5" s="22">
        <v>8000.0</v>
      </c>
      <c r="J5" s="15">
        <f t="shared" ref="J5:J11" si="3">I5*A5</f>
        <v>16000</v>
      </c>
      <c r="K5" s="15">
        <f t="shared" ref="K5:K11" si="4">F5-J5</f>
        <v>10520</v>
      </c>
      <c r="L5" s="110">
        <f t="shared" ref="L5:L11" si="5">IFERROR(K5/E5, 0)</f>
        <v>0.4383333333</v>
      </c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1.0</v>
      </c>
      <c r="B6" s="84" t="s">
        <v>18</v>
      </c>
      <c r="C6" s="85" t="s">
        <v>24</v>
      </c>
      <c r="D6" s="22">
        <v>32000.0</v>
      </c>
      <c r="E6" s="15">
        <f t="shared" si="1"/>
        <v>32000</v>
      </c>
      <c r="F6" s="15">
        <f t="shared" si="2"/>
        <v>35360</v>
      </c>
      <c r="G6" s="101"/>
      <c r="H6" s="101"/>
      <c r="I6" s="87">
        <v>24000.0</v>
      </c>
      <c r="J6" s="15">
        <f t="shared" si="3"/>
        <v>24000</v>
      </c>
      <c r="K6" s="15">
        <f t="shared" si="4"/>
        <v>11360</v>
      </c>
      <c r="L6" s="110">
        <f t="shared" si="5"/>
        <v>0.355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4.0</v>
      </c>
      <c r="B7" s="84" t="s">
        <v>33</v>
      </c>
      <c r="C7" s="85" t="s">
        <v>23</v>
      </c>
      <c r="D7" s="22">
        <v>1500.0</v>
      </c>
      <c r="E7" s="15">
        <f t="shared" si="1"/>
        <v>6000</v>
      </c>
      <c r="F7" s="15">
        <f t="shared" si="2"/>
        <v>6630</v>
      </c>
      <c r="G7" s="101"/>
      <c r="H7" s="101"/>
      <c r="I7" s="22">
        <v>1000.0</v>
      </c>
      <c r="J7" s="15">
        <f t="shared" si="3"/>
        <v>4000</v>
      </c>
      <c r="K7" s="15">
        <f t="shared" si="4"/>
        <v>2630</v>
      </c>
      <c r="L7" s="110">
        <f t="shared" si="5"/>
        <v>0.4383333333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4.0</v>
      </c>
      <c r="B8" s="84" t="s">
        <v>33</v>
      </c>
      <c r="C8" s="85" t="s">
        <v>22</v>
      </c>
      <c r="D8" s="22">
        <v>1200.0</v>
      </c>
      <c r="E8" s="15">
        <f t="shared" si="1"/>
        <v>4800</v>
      </c>
      <c r="F8" s="15">
        <f t="shared" si="2"/>
        <v>5304</v>
      </c>
      <c r="G8" s="101"/>
      <c r="H8" s="101"/>
      <c r="I8" s="22">
        <f>9000/15</f>
        <v>600</v>
      </c>
      <c r="J8" s="15">
        <f t="shared" si="3"/>
        <v>2400</v>
      </c>
      <c r="K8" s="15">
        <f t="shared" si="4"/>
        <v>2904</v>
      </c>
      <c r="L8" s="110">
        <f t="shared" si="5"/>
        <v>0.605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8.0</v>
      </c>
      <c r="B9" s="84" t="s">
        <v>38</v>
      </c>
      <c r="C9" s="85" t="s">
        <v>46</v>
      </c>
      <c r="D9" s="22">
        <v>15000.0</v>
      </c>
      <c r="E9" s="15">
        <f t="shared" si="1"/>
        <v>120000</v>
      </c>
      <c r="F9" s="15">
        <f t="shared" si="2"/>
        <v>132600</v>
      </c>
      <c r="G9" s="101"/>
      <c r="H9" s="101"/>
      <c r="I9" s="87">
        <v>12000.0</v>
      </c>
      <c r="J9" s="15">
        <f t="shared" si="3"/>
        <v>96000</v>
      </c>
      <c r="K9" s="15">
        <f t="shared" si="4"/>
        <v>36600</v>
      </c>
      <c r="L9" s="110">
        <f t="shared" si="5"/>
        <v>0.305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3.0</v>
      </c>
      <c r="B10" s="84" t="s">
        <v>29</v>
      </c>
      <c r="C10" s="85" t="s">
        <v>55</v>
      </c>
      <c r="D10" s="22">
        <v>32000.0</v>
      </c>
      <c r="E10" s="15">
        <f t="shared" si="1"/>
        <v>96000</v>
      </c>
      <c r="F10" s="15">
        <f t="shared" si="2"/>
        <v>106080</v>
      </c>
      <c r="G10" s="101"/>
      <c r="H10" s="101"/>
      <c r="I10" s="22">
        <v>28000.0</v>
      </c>
      <c r="J10" s="15">
        <f t="shared" si="3"/>
        <v>84000</v>
      </c>
      <c r="K10" s="15">
        <f t="shared" si="4"/>
        <v>22080</v>
      </c>
      <c r="L10" s="110">
        <f t="shared" si="5"/>
        <v>0.23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1.0</v>
      </c>
      <c r="B11" s="84" t="s">
        <v>18</v>
      </c>
      <c r="C11" s="85" t="s">
        <v>281</v>
      </c>
      <c r="D11" s="22">
        <v>18000.0</v>
      </c>
      <c r="E11" s="15">
        <f t="shared" si="1"/>
        <v>18000</v>
      </c>
      <c r="F11" s="15">
        <f t="shared" si="2"/>
        <v>19890</v>
      </c>
      <c r="G11" s="101"/>
      <c r="H11" s="101"/>
      <c r="I11" s="22">
        <v>15000.0</v>
      </c>
      <c r="J11" s="15">
        <f t="shared" si="3"/>
        <v>15000</v>
      </c>
      <c r="K11" s="15">
        <f t="shared" si="4"/>
        <v>4890</v>
      </c>
      <c r="L11" s="110">
        <f t="shared" si="5"/>
        <v>0.2716666667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103"/>
      <c r="B12" s="101"/>
      <c r="C12" s="104"/>
      <c r="D12" s="101"/>
      <c r="E12" s="101"/>
      <c r="F12" s="101"/>
      <c r="G12" s="101"/>
      <c r="H12" s="101"/>
      <c r="I12" s="101"/>
      <c r="J12" s="101"/>
      <c r="K12" s="101"/>
      <c r="L12" s="36"/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103"/>
      <c r="B13" s="101"/>
      <c r="C13" s="104"/>
      <c r="D13" s="101"/>
      <c r="E13" s="15">
        <f t="shared" ref="E13:F13" si="6">SUM(E5:E11)</f>
        <v>300800</v>
      </c>
      <c r="F13" s="15">
        <f t="shared" si="6"/>
        <v>332384</v>
      </c>
      <c r="G13" s="101"/>
      <c r="H13" s="101"/>
      <c r="I13" s="101"/>
      <c r="J13" s="101"/>
      <c r="K13" s="15">
        <f>SUM(K5:K11)</f>
        <v>90984</v>
      </c>
      <c r="L13" s="110">
        <f>IFERROR(K13/E13, 0)</f>
        <v>0.3024734043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103"/>
      <c r="B14" s="101"/>
      <c r="C14" s="104"/>
      <c r="D14" s="101"/>
      <c r="E14" s="15"/>
      <c r="F14" s="15"/>
      <c r="G14" s="101"/>
      <c r="H14" s="101"/>
      <c r="I14" s="101"/>
      <c r="J14" s="101"/>
      <c r="K14" s="15"/>
      <c r="L14" s="105"/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26" t="s">
        <v>60</v>
      </c>
      <c r="B15" s="27">
        <v>0.04</v>
      </c>
      <c r="C15" s="2"/>
      <c r="D15" s="3"/>
      <c r="E15" s="15">
        <f>E13*0.04</f>
        <v>12032</v>
      </c>
      <c r="F15" s="3"/>
      <c r="G15" s="2"/>
      <c r="H15" s="3"/>
      <c r="I15" s="3"/>
      <c r="J15" s="3"/>
      <c r="K15" s="3"/>
      <c r="L15" s="4"/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103"/>
      <c r="B16" s="101"/>
      <c r="C16" s="104"/>
      <c r="D16" s="101"/>
      <c r="E16" s="15"/>
      <c r="F16" s="15"/>
      <c r="G16" s="101"/>
      <c r="H16" s="101"/>
      <c r="I16" s="101"/>
      <c r="J16" s="101"/>
      <c r="K16" s="15"/>
      <c r="L16" s="105"/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5"/>
      <c r="B17" s="5"/>
      <c r="C17" s="5"/>
      <c r="E17" s="86"/>
      <c r="F17" s="82"/>
      <c r="G17" s="86"/>
      <c r="H17" s="3"/>
      <c r="I17" s="8"/>
      <c r="J17" s="8"/>
      <c r="K17" s="8"/>
      <c r="L17" s="4"/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5" t="s">
        <v>234</v>
      </c>
      <c r="E18" s="86" t="s">
        <v>74</v>
      </c>
      <c r="F18" s="82">
        <v>46072.0</v>
      </c>
      <c r="G18" s="6"/>
      <c r="H18" s="3"/>
      <c r="I18" s="8" t="s">
        <v>3</v>
      </c>
      <c r="L18" s="4"/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"/>
      <c r="B19" s="3"/>
      <c r="C19" s="9"/>
      <c r="D19" s="3"/>
      <c r="E19" s="3"/>
      <c r="F19" s="3"/>
      <c r="G19" s="3"/>
      <c r="H19" s="3"/>
      <c r="I19" s="3"/>
      <c r="J19" s="3"/>
      <c r="K19" s="3"/>
      <c r="L19" s="4"/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5" t="s">
        <v>4</v>
      </c>
      <c r="B20" s="10" t="s">
        <v>5</v>
      </c>
      <c r="C20" s="96" t="s">
        <v>6</v>
      </c>
      <c r="D20" s="10" t="s">
        <v>7</v>
      </c>
      <c r="E20" s="10" t="s">
        <v>8</v>
      </c>
      <c r="F20" s="10" t="s">
        <v>9</v>
      </c>
      <c r="G20" s="101"/>
      <c r="H20" s="101"/>
      <c r="I20" s="10" t="s">
        <v>260</v>
      </c>
      <c r="J20" s="10" t="s">
        <v>8</v>
      </c>
      <c r="K20" s="10" t="s">
        <v>10</v>
      </c>
      <c r="L20" s="102"/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1.0</v>
      </c>
      <c r="B21" s="84" t="s">
        <v>38</v>
      </c>
      <c r="C21" s="85" t="s">
        <v>180</v>
      </c>
      <c r="D21" s="22">
        <v>16000.0</v>
      </c>
      <c r="E21" s="15">
        <f t="shared" ref="E21:E34" si="7">A21*D21</f>
        <v>16000</v>
      </c>
      <c r="F21" s="15">
        <f t="shared" ref="F21:F34" si="8">E21*1.105</f>
        <v>17680</v>
      </c>
      <c r="G21" s="101"/>
      <c r="H21" s="101"/>
      <c r="I21" s="22">
        <v>11500.0</v>
      </c>
      <c r="J21" s="15">
        <f t="shared" ref="J21:J34" si="9">I21*A21</f>
        <v>11500</v>
      </c>
      <c r="K21" s="15">
        <f t="shared" ref="K21:K34" si="10">F21-J21</f>
        <v>6180</v>
      </c>
      <c r="L21" s="110">
        <f t="shared" ref="L21:L34" si="11">IFERROR(K21/E21, 0)</f>
        <v>0.38625</v>
      </c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1.0</v>
      </c>
      <c r="B22" s="84" t="s">
        <v>50</v>
      </c>
      <c r="C22" s="85" t="s">
        <v>171</v>
      </c>
      <c r="D22" s="22">
        <v>3000.0</v>
      </c>
      <c r="E22" s="15">
        <f t="shared" si="7"/>
        <v>3000</v>
      </c>
      <c r="F22" s="15">
        <f t="shared" si="8"/>
        <v>3315</v>
      </c>
      <c r="G22" s="101"/>
      <c r="H22" s="101"/>
      <c r="I22" s="87">
        <f>3500/6</f>
        <v>583.3333333</v>
      </c>
      <c r="J22" s="15">
        <f t="shared" si="9"/>
        <v>583.3333333</v>
      </c>
      <c r="K22" s="15">
        <f t="shared" si="10"/>
        <v>2731.666667</v>
      </c>
      <c r="L22" s="110">
        <f t="shared" si="11"/>
        <v>0.9105555556</v>
      </c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1.0</v>
      </c>
      <c r="B23" s="84" t="s">
        <v>50</v>
      </c>
      <c r="C23" s="85" t="s">
        <v>68</v>
      </c>
      <c r="D23" s="22">
        <v>4000.0</v>
      </c>
      <c r="E23" s="15">
        <f t="shared" si="7"/>
        <v>4000</v>
      </c>
      <c r="F23" s="15">
        <f t="shared" si="8"/>
        <v>4420</v>
      </c>
      <c r="G23" s="101"/>
      <c r="H23" s="101"/>
      <c r="I23" s="22">
        <v>2000.0</v>
      </c>
      <c r="J23" s="15">
        <f t="shared" si="9"/>
        <v>2000</v>
      </c>
      <c r="K23" s="15">
        <f t="shared" si="10"/>
        <v>2420</v>
      </c>
      <c r="L23" s="110">
        <f t="shared" si="11"/>
        <v>0.605</v>
      </c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4.0</v>
      </c>
      <c r="B24" s="84" t="s">
        <v>33</v>
      </c>
      <c r="C24" s="85" t="s">
        <v>99</v>
      </c>
      <c r="D24" s="22">
        <v>1800.0</v>
      </c>
      <c r="E24" s="15">
        <f t="shared" si="7"/>
        <v>7200</v>
      </c>
      <c r="F24" s="15">
        <f t="shared" si="8"/>
        <v>7956</v>
      </c>
      <c r="G24" s="101"/>
      <c r="H24" s="101"/>
      <c r="I24" s="22">
        <v>800.0</v>
      </c>
      <c r="J24" s="15">
        <f t="shared" si="9"/>
        <v>3200</v>
      </c>
      <c r="K24" s="15">
        <f t="shared" si="10"/>
        <v>4756</v>
      </c>
      <c r="L24" s="110">
        <f t="shared" si="11"/>
        <v>0.6605555556</v>
      </c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83">
        <v>3.5</v>
      </c>
      <c r="B25" s="84" t="s">
        <v>33</v>
      </c>
      <c r="C25" s="85" t="s">
        <v>98</v>
      </c>
      <c r="D25" s="22">
        <v>1800.0</v>
      </c>
      <c r="E25" s="15">
        <f t="shared" si="7"/>
        <v>6300</v>
      </c>
      <c r="F25" s="15">
        <f t="shared" si="8"/>
        <v>6961.5</v>
      </c>
      <c r="G25" s="101"/>
      <c r="H25" s="101"/>
      <c r="I25" s="22">
        <v>800.0</v>
      </c>
      <c r="J25" s="15">
        <f t="shared" si="9"/>
        <v>2800</v>
      </c>
      <c r="K25" s="15">
        <f t="shared" si="10"/>
        <v>4161.5</v>
      </c>
      <c r="L25" s="110">
        <f t="shared" si="11"/>
        <v>0.6605555556</v>
      </c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>
        <v>15.0</v>
      </c>
      <c r="B26" s="84" t="s">
        <v>33</v>
      </c>
      <c r="C26" s="85" t="s">
        <v>64</v>
      </c>
      <c r="D26" s="22">
        <v>2600.0</v>
      </c>
      <c r="E26" s="15">
        <f t="shared" si="7"/>
        <v>39000</v>
      </c>
      <c r="F26" s="15">
        <f t="shared" si="8"/>
        <v>43095</v>
      </c>
      <c r="G26" s="101"/>
      <c r="H26" s="101"/>
      <c r="I26" s="22">
        <f>20000/15</f>
        <v>1333.333333</v>
      </c>
      <c r="J26" s="15">
        <f t="shared" si="9"/>
        <v>20000</v>
      </c>
      <c r="K26" s="15">
        <f t="shared" si="10"/>
        <v>23095</v>
      </c>
      <c r="L26" s="110">
        <f t="shared" si="11"/>
        <v>0.5921794872</v>
      </c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3">
        <v>3.0</v>
      </c>
      <c r="B27" s="84" t="s">
        <v>33</v>
      </c>
      <c r="C27" s="85" t="s">
        <v>26</v>
      </c>
      <c r="D27" s="22">
        <v>4000.0</v>
      </c>
      <c r="E27" s="15">
        <f t="shared" si="7"/>
        <v>12000</v>
      </c>
      <c r="F27" s="15">
        <f t="shared" si="8"/>
        <v>13260</v>
      </c>
      <c r="G27" s="101"/>
      <c r="H27" s="101"/>
      <c r="I27" s="22">
        <f>25000/8</f>
        <v>3125</v>
      </c>
      <c r="J27" s="15">
        <f t="shared" si="9"/>
        <v>9375</v>
      </c>
      <c r="K27" s="15">
        <f t="shared" si="10"/>
        <v>3885</v>
      </c>
      <c r="L27" s="110">
        <f t="shared" si="11"/>
        <v>0.32375</v>
      </c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83">
        <v>0.5</v>
      </c>
      <c r="B28" s="84" t="s">
        <v>33</v>
      </c>
      <c r="C28" s="85" t="s">
        <v>24</v>
      </c>
      <c r="D28" s="22">
        <v>4000.0</v>
      </c>
      <c r="E28" s="15">
        <f t="shared" si="7"/>
        <v>2000</v>
      </c>
      <c r="F28" s="15">
        <f t="shared" si="8"/>
        <v>2210</v>
      </c>
      <c r="G28" s="101"/>
      <c r="H28" s="101"/>
      <c r="I28" s="22">
        <f>24000/8</f>
        <v>3000</v>
      </c>
      <c r="J28" s="15">
        <f t="shared" si="9"/>
        <v>1500</v>
      </c>
      <c r="K28" s="15">
        <f t="shared" si="10"/>
        <v>710</v>
      </c>
      <c r="L28" s="110">
        <f t="shared" si="11"/>
        <v>0.355</v>
      </c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83">
        <v>4.0</v>
      </c>
      <c r="B29" s="84" t="s">
        <v>33</v>
      </c>
      <c r="C29" s="85" t="s">
        <v>174</v>
      </c>
      <c r="D29" s="22">
        <v>1600.0</v>
      </c>
      <c r="E29" s="15">
        <f t="shared" si="7"/>
        <v>6400</v>
      </c>
      <c r="F29" s="15">
        <f t="shared" si="8"/>
        <v>7072</v>
      </c>
      <c r="G29" s="101"/>
      <c r="H29" s="101"/>
      <c r="I29" s="22">
        <f>18000/16</f>
        <v>1125</v>
      </c>
      <c r="J29" s="15">
        <f t="shared" si="9"/>
        <v>4500</v>
      </c>
      <c r="K29" s="15">
        <f t="shared" si="10"/>
        <v>2572</v>
      </c>
      <c r="L29" s="110">
        <f t="shared" si="11"/>
        <v>0.401875</v>
      </c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83">
        <v>3.5</v>
      </c>
      <c r="B30" s="84" t="s">
        <v>33</v>
      </c>
      <c r="C30" s="85" t="s">
        <v>67</v>
      </c>
      <c r="D30" s="22">
        <v>800.0</v>
      </c>
      <c r="E30" s="15">
        <f t="shared" si="7"/>
        <v>2800</v>
      </c>
      <c r="F30" s="15">
        <f t="shared" si="8"/>
        <v>3094</v>
      </c>
      <c r="G30" s="101"/>
      <c r="H30" s="101"/>
      <c r="I30" s="22">
        <f>8000/17</f>
        <v>470.5882353</v>
      </c>
      <c r="J30" s="15">
        <f t="shared" si="9"/>
        <v>1647.058824</v>
      </c>
      <c r="K30" s="15">
        <f t="shared" si="10"/>
        <v>1446.941176</v>
      </c>
      <c r="L30" s="110">
        <f t="shared" si="11"/>
        <v>0.5167647059</v>
      </c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83">
        <v>8.0</v>
      </c>
      <c r="B31" s="84" t="s">
        <v>50</v>
      </c>
      <c r="C31" s="85" t="s">
        <v>103</v>
      </c>
      <c r="D31" s="22">
        <v>1600.0</v>
      </c>
      <c r="E31" s="15">
        <f t="shared" si="7"/>
        <v>12800</v>
      </c>
      <c r="F31" s="15">
        <f t="shared" si="8"/>
        <v>14144</v>
      </c>
      <c r="G31" s="101"/>
      <c r="H31" s="101"/>
      <c r="I31" s="22">
        <v>1000.0</v>
      </c>
      <c r="J31" s="15">
        <f t="shared" si="9"/>
        <v>8000</v>
      </c>
      <c r="K31" s="15">
        <f t="shared" si="10"/>
        <v>6144</v>
      </c>
      <c r="L31" s="110">
        <f t="shared" si="11"/>
        <v>0.48</v>
      </c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83">
        <v>3.0</v>
      </c>
      <c r="B32" s="84" t="s">
        <v>33</v>
      </c>
      <c r="C32" s="85" t="s">
        <v>55</v>
      </c>
      <c r="D32" s="22">
        <v>2800.0</v>
      </c>
      <c r="E32" s="15">
        <f t="shared" si="7"/>
        <v>8400</v>
      </c>
      <c r="F32" s="15">
        <f t="shared" si="8"/>
        <v>9282</v>
      </c>
      <c r="G32" s="101"/>
      <c r="H32" s="101"/>
      <c r="I32" s="22">
        <f>28000/15</f>
        <v>1866.666667</v>
      </c>
      <c r="J32" s="15">
        <f t="shared" si="9"/>
        <v>5600</v>
      </c>
      <c r="K32" s="15">
        <f t="shared" si="10"/>
        <v>3682</v>
      </c>
      <c r="L32" s="110">
        <f t="shared" si="11"/>
        <v>0.4383333333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83">
        <v>2.0</v>
      </c>
      <c r="B33" s="84" t="s">
        <v>33</v>
      </c>
      <c r="C33" s="85" t="s">
        <v>194</v>
      </c>
      <c r="D33" s="22">
        <v>2800.0</v>
      </c>
      <c r="E33" s="15">
        <f t="shared" si="7"/>
        <v>5600</v>
      </c>
      <c r="F33" s="15">
        <f t="shared" si="8"/>
        <v>6188</v>
      </c>
      <c r="G33" s="101"/>
      <c r="H33" s="101"/>
      <c r="I33" s="22">
        <f>10000/8</f>
        <v>1250</v>
      </c>
      <c r="J33" s="15">
        <f t="shared" si="9"/>
        <v>2500</v>
      </c>
      <c r="K33" s="15">
        <f t="shared" si="10"/>
        <v>3688</v>
      </c>
      <c r="L33" s="110">
        <f t="shared" si="11"/>
        <v>0.6585714286</v>
      </c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83">
        <v>6.0</v>
      </c>
      <c r="B34" s="84" t="s">
        <v>50</v>
      </c>
      <c r="C34" s="85" t="s">
        <v>65</v>
      </c>
      <c r="D34" s="22">
        <v>500.0</v>
      </c>
      <c r="E34" s="15">
        <f t="shared" si="7"/>
        <v>3000</v>
      </c>
      <c r="F34" s="15">
        <f t="shared" si="8"/>
        <v>3315</v>
      </c>
      <c r="G34" s="101"/>
      <c r="H34" s="101"/>
      <c r="I34" s="22">
        <f>6000/24</f>
        <v>250</v>
      </c>
      <c r="J34" s="15">
        <f t="shared" si="9"/>
        <v>1500</v>
      </c>
      <c r="K34" s="15">
        <f t="shared" si="10"/>
        <v>1815</v>
      </c>
      <c r="L34" s="110">
        <f t="shared" si="11"/>
        <v>0.605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103"/>
      <c r="B35" s="101"/>
      <c r="C35" s="104"/>
      <c r="D35" s="101"/>
      <c r="E35" s="101"/>
      <c r="F35" s="101"/>
      <c r="G35" s="101"/>
      <c r="H35" s="101"/>
      <c r="I35" s="101"/>
      <c r="J35" s="101"/>
      <c r="K35" s="101"/>
      <c r="L35" s="105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03"/>
      <c r="B36" s="101"/>
      <c r="C36" s="104"/>
      <c r="D36" s="101"/>
      <c r="E36" s="15">
        <f t="shared" ref="E36:F36" si="12">SUM(E21:E34)</f>
        <v>128500</v>
      </c>
      <c r="F36" s="15">
        <f t="shared" si="12"/>
        <v>141992.5</v>
      </c>
      <c r="G36" s="101"/>
      <c r="H36" s="101"/>
      <c r="I36" s="101"/>
      <c r="J36" s="101"/>
      <c r="K36" s="15">
        <f>SUM(K21:K34)</f>
        <v>67287.10784</v>
      </c>
      <c r="L36" s="110">
        <f>IFERROR(K36/E36, 0)</f>
        <v>0.5236350805</v>
      </c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/>
      <c r="B37" s="84"/>
      <c r="C37" s="85"/>
      <c r="D37" s="22"/>
      <c r="E37" s="15"/>
      <c r="F37" s="15"/>
      <c r="G37" s="101"/>
      <c r="H37" s="101"/>
      <c r="I37" s="22"/>
      <c r="J37" s="15"/>
      <c r="K37" s="15"/>
      <c r="L37" s="36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/>
      <c r="B38" s="84"/>
      <c r="C38" s="85"/>
      <c r="D38" s="22"/>
      <c r="E38" s="15"/>
      <c r="F38" s="15"/>
      <c r="G38" s="101"/>
      <c r="H38" s="101"/>
      <c r="I38" s="22"/>
      <c r="J38" s="15"/>
      <c r="K38" s="15"/>
      <c r="L38" s="36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5" t="s">
        <v>344</v>
      </c>
      <c r="E39" s="86" t="s">
        <v>44</v>
      </c>
      <c r="F39" s="82">
        <v>46072.0</v>
      </c>
      <c r="G39" s="6"/>
      <c r="H39" s="3"/>
      <c r="I39" s="8" t="s">
        <v>3</v>
      </c>
      <c r="L39" s="4"/>
      <c r="M39" s="2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"/>
      <c r="B40" s="3"/>
      <c r="C40" s="9"/>
      <c r="D40" s="3"/>
      <c r="E40" s="3"/>
      <c r="F40" s="3"/>
      <c r="G40" s="3"/>
      <c r="H40" s="3"/>
      <c r="I40" s="3"/>
      <c r="J40" s="3"/>
      <c r="K40" s="3"/>
      <c r="L40" s="4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5" t="s">
        <v>4</v>
      </c>
      <c r="B41" s="10" t="s">
        <v>5</v>
      </c>
      <c r="C41" s="96" t="s">
        <v>6</v>
      </c>
      <c r="D41" s="10" t="s">
        <v>7</v>
      </c>
      <c r="E41" s="10" t="s">
        <v>8</v>
      </c>
      <c r="F41" s="10" t="s">
        <v>9</v>
      </c>
      <c r="G41" s="101"/>
      <c r="H41" s="101"/>
      <c r="I41" s="10" t="s">
        <v>260</v>
      </c>
      <c r="J41" s="10" t="s">
        <v>8</v>
      </c>
      <c r="K41" s="10" t="s">
        <v>10</v>
      </c>
      <c r="L41" s="102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>
        <v>10.0</v>
      </c>
      <c r="B42" s="84" t="s">
        <v>33</v>
      </c>
      <c r="C42" s="85" t="s">
        <v>64</v>
      </c>
      <c r="D42" s="22">
        <v>2600.0</v>
      </c>
      <c r="E42" s="15">
        <f t="shared" ref="E42:E77" si="13">A42*D42</f>
        <v>26000</v>
      </c>
      <c r="F42" s="15">
        <f t="shared" ref="F42:F71" si="14">E42*1.105</f>
        <v>28730</v>
      </c>
      <c r="G42" s="101"/>
      <c r="H42" s="101"/>
      <c r="I42" s="22">
        <v>1333.0</v>
      </c>
      <c r="J42" s="15">
        <f t="shared" ref="J42:J77" si="15">I42*A42</f>
        <v>13330</v>
      </c>
      <c r="K42" s="15">
        <f t="shared" ref="K42:K77" si="16">F42-J42</f>
        <v>15400</v>
      </c>
      <c r="L42" s="110">
        <f t="shared" ref="L42:L77" si="17">IFERROR(K42/E42, 0)</f>
        <v>0.5923076923</v>
      </c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83">
        <v>4.4</v>
      </c>
      <c r="B43" s="84" t="s">
        <v>33</v>
      </c>
      <c r="C43" s="85" t="s">
        <v>99</v>
      </c>
      <c r="D43" s="22">
        <v>1800.0</v>
      </c>
      <c r="E43" s="15">
        <f t="shared" si="13"/>
        <v>7920</v>
      </c>
      <c r="F43" s="15">
        <f t="shared" si="14"/>
        <v>8751.6</v>
      </c>
      <c r="G43" s="101"/>
      <c r="H43" s="101"/>
      <c r="I43" s="87">
        <v>800.0</v>
      </c>
      <c r="J43" s="15">
        <f t="shared" si="15"/>
        <v>3520</v>
      </c>
      <c r="K43" s="15">
        <f t="shared" si="16"/>
        <v>5231.6</v>
      </c>
      <c r="L43" s="110">
        <f t="shared" si="17"/>
        <v>0.6605555556</v>
      </c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83">
        <v>4.9</v>
      </c>
      <c r="B44" s="84" t="s">
        <v>33</v>
      </c>
      <c r="C44" s="85" t="s">
        <v>98</v>
      </c>
      <c r="D44" s="22">
        <v>1800.0</v>
      </c>
      <c r="E44" s="15">
        <f t="shared" si="13"/>
        <v>8820</v>
      </c>
      <c r="F44" s="15">
        <f t="shared" si="14"/>
        <v>9746.1</v>
      </c>
      <c r="G44" s="101"/>
      <c r="H44" s="101"/>
      <c r="I44" s="22">
        <v>800.0</v>
      </c>
      <c r="J44" s="15">
        <f t="shared" si="15"/>
        <v>3920</v>
      </c>
      <c r="K44" s="15">
        <f t="shared" si="16"/>
        <v>5826.1</v>
      </c>
      <c r="L44" s="110">
        <f t="shared" si="17"/>
        <v>0.6605555556</v>
      </c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83">
        <v>6.0</v>
      </c>
      <c r="B45" s="84" t="s">
        <v>33</v>
      </c>
      <c r="C45" s="85" t="s">
        <v>24</v>
      </c>
      <c r="D45" s="22">
        <v>4000.0</v>
      </c>
      <c r="E45" s="15">
        <f t="shared" si="13"/>
        <v>24000</v>
      </c>
      <c r="F45" s="15">
        <f t="shared" si="14"/>
        <v>26520</v>
      </c>
      <c r="G45" s="101"/>
      <c r="H45" s="101"/>
      <c r="I45" s="22">
        <v>3000.0</v>
      </c>
      <c r="J45" s="15">
        <f t="shared" si="15"/>
        <v>18000</v>
      </c>
      <c r="K45" s="15">
        <f t="shared" si="16"/>
        <v>8520</v>
      </c>
      <c r="L45" s="110">
        <f t="shared" si="17"/>
        <v>0.355</v>
      </c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6.0</v>
      </c>
      <c r="B46" s="84" t="s">
        <v>33</v>
      </c>
      <c r="C46" s="85" t="s">
        <v>25</v>
      </c>
      <c r="D46" s="22">
        <v>3100.0</v>
      </c>
      <c r="E46" s="15">
        <f t="shared" si="13"/>
        <v>18600</v>
      </c>
      <c r="F46" s="15">
        <f t="shared" si="14"/>
        <v>20553</v>
      </c>
      <c r="G46" s="101"/>
      <c r="H46" s="101"/>
      <c r="I46" s="22">
        <f>12000/8</f>
        <v>1500</v>
      </c>
      <c r="J46" s="15">
        <f t="shared" si="15"/>
        <v>9000</v>
      </c>
      <c r="K46" s="15">
        <f t="shared" si="16"/>
        <v>11553</v>
      </c>
      <c r="L46" s="110">
        <f t="shared" si="17"/>
        <v>0.6211290323</v>
      </c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6.0</v>
      </c>
      <c r="B47" s="84" t="s">
        <v>33</v>
      </c>
      <c r="C47" s="85" t="s">
        <v>26</v>
      </c>
      <c r="D47" s="22">
        <v>4000.0</v>
      </c>
      <c r="E47" s="15">
        <f t="shared" si="13"/>
        <v>24000</v>
      </c>
      <c r="F47" s="15">
        <f t="shared" si="14"/>
        <v>26520</v>
      </c>
      <c r="G47" s="101"/>
      <c r="H47" s="101"/>
      <c r="I47" s="22">
        <v>3125.0</v>
      </c>
      <c r="J47" s="15">
        <f t="shared" si="15"/>
        <v>18750</v>
      </c>
      <c r="K47" s="15">
        <f t="shared" si="16"/>
        <v>7770</v>
      </c>
      <c r="L47" s="110">
        <f t="shared" si="17"/>
        <v>0.32375</v>
      </c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1.0</v>
      </c>
      <c r="B48" s="84" t="s">
        <v>33</v>
      </c>
      <c r="C48" s="85" t="s">
        <v>22</v>
      </c>
      <c r="D48" s="22">
        <v>1500.0</v>
      </c>
      <c r="E48" s="15">
        <f t="shared" si="13"/>
        <v>1500</v>
      </c>
      <c r="F48" s="15">
        <f t="shared" si="14"/>
        <v>1657.5</v>
      </c>
      <c r="G48" s="101"/>
      <c r="H48" s="113" t="s">
        <v>274</v>
      </c>
      <c r="I48" s="22">
        <v>0.0</v>
      </c>
      <c r="J48" s="15">
        <f t="shared" si="15"/>
        <v>0</v>
      </c>
      <c r="K48" s="15">
        <f t="shared" si="16"/>
        <v>1657.5</v>
      </c>
      <c r="L48" s="110">
        <f t="shared" si="17"/>
        <v>1.105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2.0</v>
      </c>
      <c r="B49" s="84" t="s">
        <v>33</v>
      </c>
      <c r="C49" s="85" t="s">
        <v>174</v>
      </c>
      <c r="D49" s="22">
        <v>1600.0</v>
      </c>
      <c r="E49" s="15">
        <f t="shared" si="13"/>
        <v>3200</v>
      </c>
      <c r="F49" s="15">
        <f t="shared" si="14"/>
        <v>3536</v>
      </c>
      <c r="G49" s="101"/>
      <c r="H49" s="101"/>
      <c r="I49" s="22">
        <v>1125.0</v>
      </c>
      <c r="J49" s="15">
        <f t="shared" si="15"/>
        <v>2250</v>
      </c>
      <c r="K49" s="15">
        <f t="shared" si="16"/>
        <v>1286</v>
      </c>
      <c r="L49" s="110">
        <f t="shared" si="17"/>
        <v>0.401875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1.5</v>
      </c>
      <c r="B50" s="84" t="s">
        <v>33</v>
      </c>
      <c r="C50" s="85" t="s">
        <v>67</v>
      </c>
      <c r="D50" s="22">
        <v>800.0</v>
      </c>
      <c r="E50" s="15">
        <f t="shared" si="13"/>
        <v>1200</v>
      </c>
      <c r="F50" s="15">
        <f t="shared" si="14"/>
        <v>1326</v>
      </c>
      <c r="G50" s="101"/>
      <c r="H50" s="101"/>
      <c r="I50" s="22">
        <v>470.0</v>
      </c>
      <c r="J50" s="15">
        <f t="shared" si="15"/>
        <v>705</v>
      </c>
      <c r="K50" s="15">
        <f t="shared" si="16"/>
        <v>621</v>
      </c>
      <c r="L50" s="110">
        <f t="shared" si="17"/>
        <v>0.5175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2.0</v>
      </c>
      <c r="B51" s="84" t="s">
        <v>11</v>
      </c>
      <c r="C51" s="85" t="s">
        <v>104</v>
      </c>
      <c r="D51" s="22">
        <v>2500.0</v>
      </c>
      <c r="E51" s="15">
        <f t="shared" si="13"/>
        <v>5000</v>
      </c>
      <c r="F51" s="15">
        <f t="shared" si="14"/>
        <v>5525</v>
      </c>
      <c r="G51" s="101"/>
      <c r="H51" s="101"/>
      <c r="I51" s="22">
        <v>1500.0</v>
      </c>
      <c r="J51" s="15">
        <f t="shared" si="15"/>
        <v>3000</v>
      </c>
      <c r="K51" s="15">
        <f t="shared" si="16"/>
        <v>2525</v>
      </c>
      <c r="L51" s="110">
        <f t="shared" si="17"/>
        <v>0.505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1.0</v>
      </c>
      <c r="B52" s="84" t="s">
        <v>50</v>
      </c>
      <c r="C52" s="85" t="s">
        <v>89</v>
      </c>
      <c r="D52" s="22">
        <v>6000.0</v>
      </c>
      <c r="E52" s="15">
        <f t="shared" si="13"/>
        <v>6000</v>
      </c>
      <c r="F52" s="15">
        <f t="shared" si="14"/>
        <v>6630</v>
      </c>
      <c r="G52" s="101"/>
      <c r="H52" s="101"/>
      <c r="I52" s="22">
        <v>4000.0</v>
      </c>
      <c r="J52" s="15">
        <f t="shared" si="15"/>
        <v>4000</v>
      </c>
      <c r="K52" s="15">
        <f t="shared" si="16"/>
        <v>2630</v>
      </c>
      <c r="L52" s="110">
        <f t="shared" si="17"/>
        <v>0.4383333333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1.0</v>
      </c>
      <c r="B53" s="84" t="s">
        <v>50</v>
      </c>
      <c r="C53" s="85" t="s">
        <v>68</v>
      </c>
      <c r="D53" s="22">
        <v>4000.0</v>
      </c>
      <c r="E53" s="15">
        <f t="shared" si="13"/>
        <v>4000</v>
      </c>
      <c r="F53" s="15">
        <f t="shared" si="14"/>
        <v>4420</v>
      </c>
      <c r="G53" s="101"/>
      <c r="H53" s="101"/>
      <c r="I53" s="22">
        <v>2000.0</v>
      </c>
      <c r="J53" s="15">
        <f t="shared" si="15"/>
        <v>2000</v>
      </c>
      <c r="K53" s="15">
        <f t="shared" si="16"/>
        <v>2420</v>
      </c>
      <c r="L53" s="110">
        <f t="shared" si="17"/>
        <v>0.605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1.0</v>
      </c>
      <c r="B54" s="84" t="s">
        <v>50</v>
      </c>
      <c r="C54" s="85" t="s">
        <v>171</v>
      </c>
      <c r="D54" s="22">
        <v>3000.0</v>
      </c>
      <c r="E54" s="15">
        <f t="shared" si="13"/>
        <v>3000</v>
      </c>
      <c r="F54" s="15">
        <f t="shared" si="14"/>
        <v>3315</v>
      </c>
      <c r="G54" s="101"/>
      <c r="H54" s="101"/>
      <c r="I54" s="22">
        <v>583.0</v>
      </c>
      <c r="J54" s="15">
        <f t="shared" si="15"/>
        <v>583</v>
      </c>
      <c r="K54" s="15">
        <f t="shared" si="16"/>
        <v>2732</v>
      </c>
      <c r="L54" s="110">
        <f t="shared" si="17"/>
        <v>0.9106666667</v>
      </c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1.0</v>
      </c>
      <c r="B55" s="84" t="s">
        <v>50</v>
      </c>
      <c r="C55" s="85" t="s">
        <v>235</v>
      </c>
      <c r="D55" s="22">
        <v>3000.0</v>
      </c>
      <c r="E55" s="15">
        <f t="shared" si="13"/>
        <v>3000</v>
      </c>
      <c r="F55" s="15">
        <f t="shared" si="14"/>
        <v>3315</v>
      </c>
      <c r="G55" s="101"/>
      <c r="H55" s="101"/>
      <c r="I55" s="87">
        <v>2000.0</v>
      </c>
      <c r="J55" s="15">
        <f t="shared" si="15"/>
        <v>2000</v>
      </c>
      <c r="K55" s="15">
        <f t="shared" si="16"/>
        <v>1315</v>
      </c>
      <c r="L55" s="110">
        <f t="shared" si="17"/>
        <v>0.4383333333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83">
        <v>1.0</v>
      </c>
      <c r="B56" s="84" t="s">
        <v>50</v>
      </c>
      <c r="C56" s="85" t="s">
        <v>236</v>
      </c>
      <c r="D56" s="22">
        <v>5000.0</v>
      </c>
      <c r="E56" s="15">
        <f t="shared" si="13"/>
        <v>5000</v>
      </c>
      <c r="F56" s="15">
        <f t="shared" si="14"/>
        <v>5525</v>
      </c>
      <c r="G56" s="101"/>
      <c r="H56" s="101"/>
      <c r="I56" s="22">
        <v>3500.0</v>
      </c>
      <c r="J56" s="15">
        <f t="shared" si="15"/>
        <v>3500</v>
      </c>
      <c r="K56" s="15">
        <f t="shared" si="16"/>
        <v>2025</v>
      </c>
      <c r="L56" s="110">
        <f t="shared" si="17"/>
        <v>0.405</v>
      </c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3">
        <v>1.0</v>
      </c>
      <c r="B57" s="84" t="s">
        <v>50</v>
      </c>
      <c r="C57" s="85" t="s">
        <v>16</v>
      </c>
      <c r="D57" s="22">
        <v>1000.0</v>
      </c>
      <c r="E57" s="15">
        <f t="shared" si="13"/>
        <v>1000</v>
      </c>
      <c r="F57" s="15">
        <f t="shared" si="14"/>
        <v>1105</v>
      </c>
      <c r="G57" s="101"/>
      <c r="H57" s="101"/>
      <c r="I57" s="22">
        <v>800.0</v>
      </c>
      <c r="J57" s="15">
        <f t="shared" si="15"/>
        <v>800</v>
      </c>
      <c r="K57" s="15">
        <f t="shared" si="16"/>
        <v>305</v>
      </c>
      <c r="L57" s="110">
        <f t="shared" si="17"/>
        <v>0.305</v>
      </c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83">
        <v>1.0</v>
      </c>
      <c r="B58" s="84" t="s">
        <v>33</v>
      </c>
      <c r="C58" s="85" t="s">
        <v>345</v>
      </c>
      <c r="D58" s="22">
        <v>1200.0</v>
      </c>
      <c r="E58" s="15">
        <f t="shared" si="13"/>
        <v>1200</v>
      </c>
      <c r="F58" s="15">
        <f t="shared" si="14"/>
        <v>1326</v>
      </c>
      <c r="G58" s="101"/>
      <c r="H58" s="101"/>
      <c r="I58" s="22">
        <v>0.0</v>
      </c>
      <c r="J58" s="15">
        <f t="shared" si="15"/>
        <v>0</v>
      </c>
      <c r="K58" s="15">
        <f t="shared" si="16"/>
        <v>1326</v>
      </c>
      <c r="L58" s="110">
        <f t="shared" si="17"/>
        <v>1.105</v>
      </c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83">
        <v>1.0</v>
      </c>
      <c r="B59" s="84" t="s">
        <v>33</v>
      </c>
      <c r="C59" s="85" t="s">
        <v>69</v>
      </c>
      <c r="D59" s="22">
        <v>1600.0</v>
      </c>
      <c r="E59" s="15">
        <f t="shared" si="13"/>
        <v>1600</v>
      </c>
      <c r="F59" s="15">
        <f t="shared" si="14"/>
        <v>1768</v>
      </c>
      <c r="G59" s="101"/>
      <c r="H59" s="101"/>
      <c r="I59" s="22">
        <v>1000.0</v>
      </c>
      <c r="J59" s="15">
        <f t="shared" si="15"/>
        <v>1000</v>
      </c>
      <c r="K59" s="15">
        <f t="shared" si="16"/>
        <v>768</v>
      </c>
      <c r="L59" s="110">
        <f t="shared" si="17"/>
        <v>0.48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83">
        <v>15.0</v>
      </c>
      <c r="B60" s="84" t="s">
        <v>5</v>
      </c>
      <c r="C60" s="85" t="s">
        <v>241</v>
      </c>
      <c r="D60" s="22">
        <v>1100.0</v>
      </c>
      <c r="E60" s="15">
        <f t="shared" si="13"/>
        <v>16500</v>
      </c>
      <c r="F60" s="15">
        <f t="shared" si="14"/>
        <v>18232.5</v>
      </c>
      <c r="G60" s="101"/>
      <c r="H60" s="101"/>
      <c r="I60" s="22">
        <f>15000/40</f>
        <v>375</v>
      </c>
      <c r="J60" s="15">
        <f t="shared" si="15"/>
        <v>5625</v>
      </c>
      <c r="K60" s="15">
        <f t="shared" si="16"/>
        <v>12607.5</v>
      </c>
      <c r="L60" s="110">
        <f t="shared" si="17"/>
        <v>0.7640909091</v>
      </c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83">
        <v>3.0</v>
      </c>
      <c r="B61" s="84" t="s">
        <v>5</v>
      </c>
      <c r="C61" s="85" t="s">
        <v>176</v>
      </c>
      <c r="D61" s="22">
        <v>900.0</v>
      </c>
      <c r="E61" s="15">
        <f t="shared" si="13"/>
        <v>2700</v>
      </c>
      <c r="F61" s="15">
        <f t="shared" si="14"/>
        <v>2983.5</v>
      </c>
      <c r="G61" s="101"/>
      <c r="H61" s="101"/>
      <c r="I61" s="87">
        <v>560.0</v>
      </c>
      <c r="J61" s="15">
        <f t="shared" si="15"/>
        <v>1680</v>
      </c>
      <c r="K61" s="15">
        <f t="shared" si="16"/>
        <v>1303.5</v>
      </c>
      <c r="L61" s="110">
        <f t="shared" si="17"/>
        <v>0.4827777778</v>
      </c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83">
        <v>8.0</v>
      </c>
      <c r="B62" s="84" t="s">
        <v>50</v>
      </c>
      <c r="C62" s="85" t="s">
        <v>103</v>
      </c>
      <c r="D62" s="22">
        <v>1600.0</v>
      </c>
      <c r="E62" s="15">
        <f t="shared" si="13"/>
        <v>12800</v>
      </c>
      <c r="F62" s="15">
        <f t="shared" si="14"/>
        <v>14144</v>
      </c>
      <c r="G62" s="101"/>
      <c r="H62" s="101"/>
      <c r="I62" s="22">
        <v>1000.0</v>
      </c>
      <c r="J62" s="15">
        <f t="shared" si="15"/>
        <v>8000</v>
      </c>
      <c r="K62" s="15">
        <f t="shared" si="16"/>
        <v>6144</v>
      </c>
      <c r="L62" s="110">
        <f t="shared" si="17"/>
        <v>0.48</v>
      </c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83">
        <v>1.5</v>
      </c>
      <c r="B63" s="84" t="s">
        <v>33</v>
      </c>
      <c r="C63" s="85" t="s">
        <v>194</v>
      </c>
      <c r="D63" s="22">
        <v>2800.0</v>
      </c>
      <c r="E63" s="15">
        <f t="shared" si="13"/>
        <v>4200</v>
      </c>
      <c r="F63" s="15">
        <f t="shared" si="14"/>
        <v>4641</v>
      </c>
      <c r="G63" s="101"/>
      <c r="H63" s="101"/>
      <c r="I63" s="22">
        <f>10000/8</f>
        <v>1250</v>
      </c>
      <c r="J63" s="15">
        <f t="shared" si="15"/>
        <v>1875</v>
      </c>
      <c r="K63" s="15">
        <f t="shared" si="16"/>
        <v>2766</v>
      </c>
      <c r="L63" s="110">
        <f t="shared" si="17"/>
        <v>0.6585714286</v>
      </c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83">
        <v>12.0</v>
      </c>
      <c r="B64" s="84" t="s">
        <v>50</v>
      </c>
      <c r="C64" s="85" t="s">
        <v>65</v>
      </c>
      <c r="D64" s="22">
        <v>500.0</v>
      </c>
      <c r="E64" s="15">
        <f t="shared" si="13"/>
        <v>6000</v>
      </c>
      <c r="F64" s="15">
        <f t="shared" si="14"/>
        <v>6630</v>
      </c>
      <c r="G64" s="101"/>
      <c r="H64" s="101"/>
      <c r="I64" s="22">
        <f>6000/24</f>
        <v>250</v>
      </c>
      <c r="J64" s="15">
        <f t="shared" si="15"/>
        <v>3000</v>
      </c>
      <c r="K64" s="15">
        <f t="shared" si="16"/>
        <v>3630</v>
      </c>
      <c r="L64" s="110">
        <f t="shared" si="17"/>
        <v>0.605</v>
      </c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3">
        <v>0.5</v>
      </c>
      <c r="B65" s="84" t="s">
        <v>33</v>
      </c>
      <c r="C65" s="85" t="s">
        <v>20</v>
      </c>
      <c r="D65" s="22">
        <v>3500.0</v>
      </c>
      <c r="E65" s="15">
        <f t="shared" si="13"/>
        <v>1750</v>
      </c>
      <c r="F65" s="15">
        <f t="shared" si="14"/>
        <v>1933.75</v>
      </c>
      <c r="G65" s="101"/>
      <c r="H65" s="113" t="s">
        <v>274</v>
      </c>
      <c r="I65" s="22">
        <v>0.0</v>
      </c>
      <c r="J65" s="15">
        <f t="shared" si="15"/>
        <v>0</v>
      </c>
      <c r="K65" s="15">
        <f t="shared" si="16"/>
        <v>1933.75</v>
      </c>
      <c r="L65" s="110">
        <f t="shared" si="17"/>
        <v>1.105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83">
        <v>2.0</v>
      </c>
      <c r="B66" s="84" t="s">
        <v>5</v>
      </c>
      <c r="C66" s="85" t="s">
        <v>87</v>
      </c>
      <c r="D66" s="22">
        <v>1300.0</v>
      </c>
      <c r="E66" s="15">
        <f t="shared" si="13"/>
        <v>2600</v>
      </c>
      <c r="F66" s="15">
        <f t="shared" si="14"/>
        <v>2873</v>
      </c>
      <c r="G66" s="101"/>
      <c r="H66" s="101"/>
      <c r="I66" s="22">
        <v>900.0</v>
      </c>
      <c r="J66" s="15">
        <f t="shared" si="15"/>
        <v>1800</v>
      </c>
      <c r="K66" s="15">
        <f t="shared" si="16"/>
        <v>1073</v>
      </c>
      <c r="L66" s="110">
        <f t="shared" si="17"/>
        <v>0.4126923077</v>
      </c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83">
        <v>2.0</v>
      </c>
      <c r="B67" s="84" t="s">
        <v>33</v>
      </c>
      <c r="C67" s="85" t="s">
        <v>279</v>
      </c>
      <c r="D67" s="22">
        <v>4000.0</v>
      </c>
      <c r="E67" s="15">
        <f t="shared" si="13"/>
        <v>8000</v>
      </c>
      <c r="F67" s="15">
        <f t="shared" si="14"/>
        <v>8840</v>
      </c>
      <c r="G67" s="101"/>
      <c r="H67" s="101"/>
      <c r="I67" s="22">
        <v>4000.0</v>
      </c>
      <c r="J67" s="15">
        <f t="shared" si="15"/>
        <v>8000</v>
      </c>
      <c r="K67" s="15">
        <f t="shared" si="16"/>
        <v>840</v>
      </c>
      <c r="L67" s="115">
        <f t="shared" si="17"/>
        <v>0.105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83">
        <v>5.0</v>
      </c>
      <c r="B68" s="84" t="s">
        <v>38</v>
      </c>
      <c r="C68" s="85" t="s">
        <v>179</v>
      </c>
      <c r="D68" s="22">
        <v>21000.0</v>
      </c>
      <c r="E68" s="15">
        <f t="shared" si="13"/>
        <v>105000</v>
      </c>
      <c r="F68" s="15">
        <f t="shared" si="14"/>
        <v>116025</v>
      </c>
      <c r="G68" s="101"/>
      <c r="H68" s="101"/>
      <c r="I68" s="22">
        <v>18000.0</v>
      </c>
      <c r="J68" s="15">
        <f t="shared" si="15"/>
        <v>90000</v>
      </c>
      <c r="K68" s="15">
        <f t="shared" si="16"/>
        <v>26025</v>
      </c>
      <c r="L68" s="110">
        <f t="shared" si="17"/>
        <v>0.2478571429</v>
      </c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1.0</v>
      </c>
      <c r="B69" s="84" t="s">
        <v>38</v>
      </c>
      <c r="C69" s="85" t="s">
        <v>180</v>
      </c>
      <c r="D69" s="22">
        <v>16000.0</v>
      </c>
      <c r="E69" s="15">
        <f t="shared" si="13"/>
        <v>16000</v>
      </c>
      <c r="F69" s="15">
        <f t="shared" si="14"/>
        <v>17680</v>
      </c>
      <c r="G69" s="101"/>
      <c r="H69" s="101"/>
      <c r="I69" s="22">
        <v>11500.0</v>
      </c>
      <c r="J69" s="15">
        <f t="shared" si="15"/>
        <v>11500</v>
      </c>
      <c r="K69" s="15">
        <f t="shared" si="16"/>
        <v>6180</v>
      </c>
      <c r="L69" s="110">
        <f t="shared" si="17"/>
        <v>0.38625</v>
      </c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83">
        <v>1.0</v>
      </c>
      <c r="B70" s="84" t="s">
        <v>38</v>
      </c>
      <c r="C70" s="85" t="s">
        <v>47</v>
      </c>
      <c r="D70" s="22">
        <v>12000.0</v>
      </c>
      <c r="E70" s="15">
        <f t="shared" si="13"/>
        <v>12000</v>
      </c>
      <c r="F70" s="15">
        <f t="shared" si="14"/>
        <v>13260</v>
      </c>
      <c r="G70" s="101"/>
      <c r="H70" s="101"/>
      <c r="I70" s="22">
        <v>8000.0</v>
      </c>
      <c r="J70" s="15">
        <f t="shared" si="15"/>
        <v>8000</v>
      </c>
      <c r="K70" s="15">
        <f t="shared" si="16"/>
        <v>5260</v>
      </c>
      <c r="L70" s="110">
        <f t="shared" si="17"/>
        <v>0.4383333333</v>
      </c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83">
        <v>1.0</v>
      </c>
      <c r="B71" s="84" t="s">
        <v>38</v>
      </c>
      <c r="C71" s="85" t="s">
        <v>45</v>
      </c>
      <c r="D71" s="22">
        <v>13000.0</v>
      </c>
      <c r="E71" s="15">
        <f t="shared" si="13"/>
        <v>13000</v>
      </c>
      <c r="F71" s="15">
        <f t="shared" si="14"/>
        <v>14365</v>
      </c>
      <c r="G71" s="101"/>
      <c r="H71" s="101"/>
      <c r="I71" s="22">
        <v>8000.0</v>
      </c>
      <c r="J71" s="15">
        <f t="shared" si="15"/>
        <v>8000</v>
      </c>
      <c r="K71" s="15">
        <f t="shared" si="16"/>
        <v>6365</v>
      </c>
      <c r="L71" s="110">
        <f t="shared" si="17"/>
        <v>0.4896153846</v>
      </c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83">
        <v>0.5</v>
      </c>
      <c r="B72" s="84" t="s">
        <v>18</v>
      </c>
      <c r="C72" s="85" t="s">
        <v>277</v>
      </c>
      <c r="D72" s="22">
        <v>52000.0</v>
      </c>
      <c r="E72" s="15">
        <f t="shared" si="13"/>
        <v>26000</v>
      </c>
      <c r="F72" s="15">
        <f>E72*1.21</f>
        <v>31460</v>
      </c>
      <c r="G72" s="101"/>
      <c r="H72" s="101"/>
      <c r="I72" s="22">
        <v>52000.0</v>
      </c>
      <c r="J72" s="15">
        <f t="shared" si="15"/>
        <v>26000</v>
      </c>
      <c r="K72" s="15">
        <f t="shared" si="16"/>
        <v>5460</v>
      </c>
      <c r="L72" s="110">
        <f t="shared" si="17"/>
        <v>0.21</v>
      </c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3">
        <v>1.0</v>
      </c>
      <c r="B73" s="84" t="s">
        <v>18</v>
      </c>
      <c r="C73" s="85" t="s">
        <v>346</v>
      </c>
      <c r="D73" s="22">
        <v>24000.0</v>
      </c>
      <c r="E73" s="15">
        <f t="shared" si="13"/>
        <v>24000</v>
      </c>
      <c r="F73" s="15">
        <f t="shared" ref="F73:F77" si="18">E73*1.105</f>
        <v>26520</v>
      </c>
      <c r="G73" s="101"/>
      <c r="H73" s="101"/>
      <c r="I73" s="22">
        <v>20000.0</v>
      </c>
      <c r="J73" s="15">
        <f t="shared" si="15"/>
        <v>20000</v>
      </c>
      <c r="K73" s="15">
        <f t="shared" si="16"/>
        <v>6520</v>
      </c>
      <c r="L73" s="110">
        <f t="shared" si="17"/>
        <v>0.2716666667</v>
      </c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4.0</v>
      </c>
      <c r="B74" s="84" t="s">
        <v>33</v>
      </c>
      <c r="C74" s="85" t="s">
        <v>55</v>
      </c>
      <c r="D74" s="22">
        <v>2800.0</v>
      </c>
      <c r="E74" s="15">
        <f t="shared" si="13"/>
        <v>11200</v>
      </c>
      <c r="F74" s="15">
        <f t="shared" si="18"/>
        <v>12376</v>
      </c>
      <c r="G74" s="101"/>
      <c r="H74" s="101"/>
      <c r="I74" s="22">
        <f>28000/16</f>
        <v>1750</v>
      </c>
      <c r="J74" s="15">
        <f t="shared" si="15"/>
        <v>7000</v>
      </c>
      <c r="K74" s="15">
        <f t="shared" si="16"/>
        <v>5376</v>
      </c>
      <c r="L74" s="110">
        <f t="shared" si="17"/>
        <v>0.48</v>
      </c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1.0</v>
      </c>
      <c r="B75" s="84" t="s">
        <v>33</v>
      </c>
      <c r="C75" s="85" t="s">
        <v>221</v>
      </c>
      <c r="D75" s="22">
        <v>4500.0</v>
      </c>
      <c r="E75" s="15">
        <f t="shared" si="13"/>
        <v>4500</v>
      </c>
      <c r="F75" s="15">
        <f t="shared" si="18"/>
        <v>4972.5</v>
      </c>
      <c r="G75" s="101"/>
      <c r="H75" s="101"/>
      <c r="I75" s="22">
        <v>4000.0</v>
      </c>
      <c r="J75" s="15">
        <f t="shared" si="15"/>
        <v>4000</v>
      </c>
      <c r="K75" s="15">
        <f t="shared" si="16"/>
        <v>972.5</v>
      </c>
      <c r="L75" s="110">
        <f t="shared" si="17"/>
        <v>0.2161111111</v>
      </c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3.0</v>
      </c>
      <c r="B76" s="84" t="s">
        <v>33</v>
      </c>
      <c r="C76" s="85" t="s">
        <v>78</v>
      </c>
      <c r="D76" s="22">
        <v>4500.0</v>
      </c>
      <c r="E76" s="15">
        <f t="shared" si="13"/>
        <v>13500</v>
      </c>
      <c r="F76" s="15">
        <f t="shared" si="18"/>
        <v>14917.5</v>
      </c>
      <c r="G76" s="101"/>
      <c r="H76" s="101"/>
      <c r="I76" s="22">
        <f>65000/20</f>
        <v>3250</v>
      </c>
      <c r="J76" s="15">
        <f t="shared" si="15"/>
        <v>9750</v>
      </c>
      <c r="K76" s="15">
        <f t="shared" si="16"/>
        <v>5167.5</v>
      </c>
      <c r="L76" s="110">
        <f t="shared" si="17"/>
        <v>0.3827777778</v>
      </c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3.0</v>
      </c>
      <c r="B77" s="84" t="s">
        <v>33</v>
      </c>
      <c r="C77" s="85" t="s">
        <v>232</v>
      </c>
      <c r="D77" s="22">
        <v>4000.0</v>
      </c>
      <c r="E77" s="15">
        <f t="shared" si="13"/>
        <v>12000</v>
      </c>
      <c r="F77" s="15">
        <f t="shared" si="18"/>
        <v>13260</v>
      </c>
      <c r="G77" s="101"/>
      <c r="H77" s="101"/>
      <c r="I77" s="22">
        <f>55000/18</f>
        <v>3055.555556</v>
      </c>
      <c r="J77" s="15">
        <f t="shared" si="15"/>
        <v>9166.666667</v>
      </c>
      <c r="K77" s="15">
        <f t="shared" si="16"/>
        <v>4093.333333</v>
      </c>
      <c r="L77" s="110">
        <f t="shared" si="17"/>
        <v>0.3411111111</v>
      </c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103"/>
      <c r="B78" s="101"/>
      <c r="C78" s="104"/>
      <c r="D78" s="101"/>
      <c r="E78" s="101"/>
      <c r="F78" s="101"/>
      <c r="G78" s="101"/>
      <c r="H78" s="101"/>
      <c r="I78" s="101"/>
      <c r="J78" s="101"/>
      <c r="K78" s="101"/>
      <c r="L78" s="105"/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103"/>
      <c r="B79" s="101"/>
      <c r="C79" s="104"/>
      <c r="D79" s="101"/>
      <c r="E79" s="15">
        <f t="shared" ref="E79:F79" si="19">SUM(E42:E77)</f>
        <v>436790</v>
      </c>
      <c r="F79" s="15">
        <f t="shared" si="19"/>
        <v>485382.95</v>
      </c>
      <c r="G79" s="101"/>
      <c r="H79" s="101"/>
      <c r="I79" s="101"/>
      <c r="J79" s="101"/>
      <c r="K79" s="15">
        <f>SUM(K42:K77)</f>
        <v>175628.2833</v>
      </c>
      <c r="L79" s="110">
        <f>IFERROR(K79/E79, 0)</f>
        <v>0.4020886086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8"/>
      <c r="B80" s="88"/>
      <c r="C80" s="88"/>
      <c r="E80" s="86"/>
      <c r="F80" s="82"/>
      <c r="G80" s="86"/>
      <c r="H80" s="3"/>
      <c r="I80" s="8"/>
      <c r="J80" s="8"/>
      <c r="K80" s="8"/>
      <c r="L80" s="4"/>
      <c r="M80" s="2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8"/>
      <c r="B81" s="88"/>
      <c r="C81" s="88"/>
      <c r="E81" s="86"/>
      <c r="F81" s="82"/>
      <c r="G81" s="86"/>
      <c r="H81" s="3"/>
      <c r="I81" s="8"/>
      <c r="J81" s="8"/>
      <c r="K81" s="8"/>
      <c r="L81" s="4"/>
      <c r="M81" s="2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8" t="s">
        <v>0</v>
      </c>
      <c r="D82" s="22"/>
      <c r="E82" s="86" t="s">
        <v>347</v>
      </c>
      <c r="F82" s="82">
        <v>46072.0</v>
      </c>
      <c r="G82" s="6"/>
      <c r="H82" s="3"/>
      <c r="I82" s="8" t="s">
        <v>3</v>
      </c>
      <c r="L82" s="4"/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03"/>
      <c r="B83" s="101"/>
      <c r="C83" s="104"/>
      <c r="D83" s="101"/>
      <c r="E83" s="101"/>
      <c r="F83" s="101"/>
      <c r="G83" s="101"/>
      <c r="H83" s="101"/>
      <c r="I83" s="101"/>
      <c r="J83" s="101"/>
      <c r="K83" s="101"/>
      <c r="L83" s="4"/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5" t="s">
        <v>4</v>
      </c>
      <c r="B84" s="10" t="s">
        <v>5</v>
      </c>
      <c r="C84" s="96" t="s">
        <v>6</v>
      </c>
      <c r="D84" s="10" t="s">
        <v>7</v>
      </c>
      <c r="E84" s="10" t="s">
        <v>8</v>
      </c>
      <c r="F84" s="10" t="s">
        <v>9</v>
      </c>
      <c r="G84" s="101"/>
      <c r="H84" s="101"/>
      <c r="I84" s="10" t="s">
        <v>260</v>
      </c>
      <c r="J84" s="10" t="s">
        <v>8</v>
      </c>
      <c r="K84" s="10" t="s">
        <v>10</v>
      </c>
      <c r="L84" s="4"/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3.0</v>
      </c>
      <c r="B85" s="84" t="s">
        <v>18</v>
      </c>
      <c r="C85" s="85" t="s">
        <v>48</v>
      </c>
      <c r="D85" s="22">
        <v>12000.0</v>
      </c>
      <c r="E85" s="15">
        <f t="shared" ref="E85:E111" si="20">A85*D85</f>
        <v>36000</v>
      </c>
      <c r="F85" s="22">
        <f t="shared" ref="F85:F93" si="21">E85*1.105</f>
        <v>39780</v>
      </c>
      <c r="G85" s="101"/>
      <c r="H85" s="101"/>
      <c r="I85" s="22">
        <f>10000/3</f>
        <v>3333.333333</v>
      </c>
      <c r="J85" s="15">
        <f t="shared" ref="J85:J111" si="22">I85*A85</f>
        <v>10000</v>
      </c>
      <c r="K85" s="15">
        <f t="shared" ref="K85:K111" si="23">F85-J85</f>
        <v>29780</v>
      </c>
      <c r="L85" s="110">
        <f t="shared" ref="L85:L111" si="24">IFERROR(K85/E85, 0)</f>
        <v>0.8272222222</v>
      </c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83">
        <v>10.0</v>
      </c>
      <c r="B86" s="84" t="s">
        <v>348</v>
      </c>
      <c r="C86" s="85" t="s">
        <v>65</v>
      </c>
      <c r="D86" s="22">
        <v>7500.0</v>
      </c>
      <c r="E86" s="15">
        <f t="shared" si="20"/>
        <v>75000</v>
      </c>
      <c r="F86" s="22">
        <f t="shared" si="21"/>
        <v>82875</v>
      </c>
      <c r="G86" s="101"/>
      <c r="H86" s="101"/>
      <c r="I86" s="22">
        <v>3000.0</v>
      </c>
      <c r="J86" s="15">
        <f t="shared" si="22"/>
        <v>30000</v>
      </c>
      <c r="K86" s="15">
        <f t="shared" si="23"/>
        <v>52875</v>
      </c>
      <c r="L86" s="110">
        <f t="shared" si="24"/>
        <v>0.705</v>
      </c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83">
        <v>3.0</v>
      </c>
      <c r="B87" s="84" t="s">
        <v>18</v>
      </c>
      <c r="C87" s="85" t="s">
        <v>19</v>
      </c>
      <c r="D87" s="22">
        <v>36000.0</v>
      </c>
      <c r="E87" s="15">
        <f t="shared" si="20"/>
        <v>108000</v>
      </c>
      <c r="F87" s="22">
        <f t="shared" si="21"/>
        <v>119340</v>
      </c>
      <c r="G87" s="101"/>
      <c r="H87" s="101"/>
      <c r="I87" s="22">
        <v>25000.0</v>
      </c>
      <c r="J87" s="15">
        <f t="shared" si="22"/>
        <v>75000</v>
      </c>
      <c r="K87" s="15">
        <f t="shared" si="23"/>
        <v>44340</v>
      </c>
      <c r="L87" s="110">
        <f t="shared" si="24"/>
        <v>0.4105555556</v>
      </c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83">
        <v>2.0</v>
      </c>
      <c r="B88" s="84" t="s">
        <v>288</v>
      </c>
      <c r="C88" s="85" t="s">
        <v>20</v>
      </c>
      <c r="D88" s="22">
        <v>26000.0</v>
      </c>
      <c r="E88" s="15">
        <f t="shared" si="20"/>
        <v>52000</v>
      </c>
      <c r="F88" s="22">
        <f t="shared" si="21"/>
        <v>57460</v>
      </c>
      <c r="G88" s="101"/>
      <c r="H88" s="113" t="s">
        <v>274</v>
      </c>
      <c r="I88" s="22">
        <v>0.0</v>
      </c>
      <c r="J88" s="15">
        <f t="shared" si="22"/>
        <v>0</v>
      </c>
      <c r="K88" s="15">
        <f t="shared" si="23"/>
        <v>57460</v>
      </c>
      <c r="L88" s="110">
        <f t="shared" si="24"/>
        <v>1.105</v>
      </c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83">
        <v>2.0</v>
      </c>
      <c r="B89" s="84" t="s">
        <v>18</v>
      </c>
      <c r="C89" s="85" t="s">
        <v>177</v>
      </c>
      <c r="D89" s="22">
        <v>15000.0</v>
      </c>
      <c r="E89" s="15">
        <f t="shared" si="20"/>
        <v>30000</v>
      </c>
      <c r="F89" s="22">
        <f t="shared" si="21"/>
        <v>33150</v>
      </c>
      <c r="G89" s="101"/>
      <c r="H89" s="101"/>
      <c r="I89" s="22">
        <v>7000.0</v>
      </c>
      <c r="J89" s="15">
        <f t="shared" si="22"/>
        <v>14000</v>
      </c>
      <c r="K89" s="15">
        <f t="shared" si="23"/>
        <v>19150</v>
      </c>
      <c r="L89" s="110">
        <f t="shared" si="24"/>
        <v>0.6383333333</v>
      </c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83">
        <v>2.0</v>
      </c>
      <c r="B90" s="84" t="s">
        <v>18</v>
      </c>
      <c r="C90" s="85" t="s">
        <v>23</v>
      </c>
      <c r="D90" s="22">
        <v>14000.0</v>
      </c>
      <c r="E90" s="15">
        <f t="shared" si="20"/>
        <v>28000</v>
      </c>
      <c r="F90" s="22">
        <f t="shared" si="21"/>
        <v>30940</v>
      </c>
      <c r="G90" s="101"/>
      <c r="H90" s="101"/>
      <c r="I90" s="22">
        <v>10000.0</v>
      </c>
      <c r="J90" s="15">
        <f t="shared" si="22"/>
        <v>20000</v>
      </c>
      <c r="K90" s="15">
        <f t="shared" si="23"/>
        <v>10940</v>
      </c>
      <c r="L90" s="110">
        <f t="shared" si="24"/>
        <v>0.3907142857</v>
      </c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83">
        <v>1.0</v>
      </c>
      <c r="B91" s="84" t="s">
        <v>18</v>
      </c>
      <c r="C91" s="85" t="s">
        <v>99</v>
      </c>
      <c r="D91" s="22">
        <v>15000.0</v>
      </c>
      <c r="E91" s="15">
        <f t="shared" si="20"/>
        <v>15000</v>
      </c>
      <c r="F91" s="22">
        <f t="shared" si="21"/>
        <v>16575</v>
      </c>
      <c r="G91" s="101"/>
      <c r="H91" s="101"/>
      <c r="I91" s="22">
        <v>10000.0</v>
      </c>
      <c r="J91" s="15">
        <f t="shared" si="22"/>
        <v>10000</v>
      </c>
      <c r="K91" s="15">
        <f t="shared" si="23"/>
        <v>6575</v>
      </c>
      <c r="L91" s="110">
        <f t="shared" si="24"/>
        <v>0.4383333333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83">
        <v>1.0</v>
      </c>
      <c r="B92" s="84" t="s">
        <v>18</v>
      </c>
      <c r="C92" s="85" t="s">
        <v>98</v>
      </c>
      <c r="D92" s="22">
        <v>17000.0</v>
      </c>
      <c r="E92" s="15">
        <f t="shared" si="20"/>
        <v>17000</v>
      </c>
      <c r="F92" s="22">
        <f t="shared" si="21"/>
        <v>18785</v>
      </c>
      <c r="G92" s="101"/>
      <c r="H92" s="101"/>
      <c r="I92" s="22">
        <v>12000.0</v>
      </c>
      <c r="J92" s="15">
        <f t="shared" si="22"/>
        <v>12000</v>
      </c>
      <c r="K92" s="15">
        <f t="shared" si="23"/>
        <v>6785</v>
      </c>
      <c r="L92" s="110">
        <f t="shared" si="24"/>
        <v>0.3991176471</v>
      </c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3">
        <v>2.0</v>
      </c>
      <c r="B93" s="84" t="s">
        <v>18</v>
      </c>
      <c r="C93" s="85" t="s">
        <v>69</v>
      </c>
      <c r="D93" s="22">
        <v>14000.0</v>
      </c>
      <c r="E93" s="15">
        <f t="shared" si="20"/>
        <v>28000</v>
      </c>
      <c r="F93" s="22">
        <f t="shared" si="21"/>
        <v>30940</v>
      </c>
      <c r="G93" s="101"/>
      <c r="H93" s="101"/>
      <c r="I93" s="22">
        <v>15000.0</v>
      </c>
      <c r="J93" s="15">
        <f t="shared" si="22"/>
        <v>30000</v>
      </c>
      <c r="K93" s="15">
        <f t="shared" si="23"/>
        <v>940</v>
      </c>
      <c r="L93" s="115">
        <f t="shared" si="24"/>
        <v>0.03357142857</v>
      </c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3">
        <v>2.0</v>
      </c>
      <c r="B94" s="84" t="s">
        <v>18</v>
      </c>
      <c r="C94" s="85" t="s">
        <v>22</v>
      </c>
      <c r="D94" s="22">
        <v>14000.0</v>
      </c>
      <c r="E94" s="15">
        <f t="shared" si="20"/>
        <v>28000</v>
      </c>
      <c r="F94" s="22">
        <f>E94*1.21</f>
        <v>33880</v>
      </c>
      <c r="G94" s="101"/>
      <c r="H94" s="101"/>
      <c r="I94" s="22">
        <v>9000.0</v>
      </c>
      <c r="J94" s="15">
        <f t="shared" si="22"/>
        <v>18000</v>
      </c>
      <c r="K94" s="15">
        <f t="shared" si="23"/>
        <v>15880</v>
      </c>
      <c r="L94" s="110">
        <f t="shared" si="24"/>
        <v>0.5671428571</v>
      </c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2.0</v>
      </c>
      <c r="B95" s="84" t="s">
        <v>18</v>
      </c>
      <c r="C95" s="85" t="s">
        <v>24</v>
      </c>
      <c r="D95" s="22">
        <v>35000.0</v>
      </c>
      <c r="E95" s="15">
        <f t="shared" si="20"/>
        <v>70000</v>
      </c>
      <c r="F95" s="22">
        <f t="shared" ref="F95:F102" si="25">E95*1.105</f>
        <v>77350</v>
      </c>
      <c r="G95" s="101"/>
      <c r="H95" s="101"/>
      <c r="I95" s="22">
        <v>24000.0</v>
      </c>
      <c r="J95" s="15">
        <f t="shared" si="22"/>
        <v>48000</v>
      </c>
      <c r="K95" s="15">
        <f t="shared" si="23"/>
        <v>29350</v>
      </c>
      <c r="L95" s="110">
        <f t="shared" si="24"/>
        <v>0.4192857143</v>
      </c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1.0</v>
      </c>
      <c r="B96" s="84" t="s">
        <v>18</v>
      </c>
      <c r="C96" s="85" t="s">
        <v>25</v>
      </c>
      <c r="D96" s="22">
        <v>18000.0</v>
      </c>
      <c r="E96" s="15">
        <f t="shared" si="20"/>
        <v>18000</v>
      </c>
      <c r="F96" s="22">
        <f t="shared" si="25"/>
        <v>19890</v>
      </c>
      <c r="G96" s="101"/>
      <c r="H96" s="101"/>
      <c r="I96" s="22">
        <v>12000.0</v>
      </c>
      <c r="J96" s="15">
        <f t="shared" si="22"/>
        <v>12000</v>
      </c>
      <c r="K96" s="15">
        <f t="shared" si="23"/>
        <v>7890</v>
      </c>
      <c r="L96" s="110">
        <f t="shared" si="24"/>
        <v>0.4383333333</v>
      </c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3.0</v>
      </c>
      <c r="B97" s="84" t="s">
        <v>29</v>
      </c>
      <c r="C97" s="85" t="s">
        <v>30</v>
      </c>
      <c r="D97" s="22">
        <v>63000.0</v>
      </c>
      <c r="E97" s="15">
        <f t="shared" si="20"/>
        <v>189000</v>
      </c>
      <c r="F97" s="22">
        <f t="shared" si="25"/>
        <v>208845</v>
      </c>
      <c r="G97" s="101"/>
      <c r="H97" s="101"/>
      <c r="I97" s="22">
        <v>45000.0</v>
      </c>
      <c r="J97" s="15">
        <f t="shared" si="22"/>
        <v>135000</v>
      </c>
      <c r="K97" s="15">
        <f t="shared" si="23"/>
        <v>73845</v>
      </c>
      <c r="L97" s="110">
        <f t="shared" si="24"/>
        <v>0.3907142857</v>
      </c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3.0</v>
      </c>
      <c r="B98" s="84" t="s">
        <v>18</v>
      </c>
      <c r="C98" s="85" t="s">
        <v>214</v>
      </c>
      <c r="D98" s="22">
        <v>38000.0</v>
      </c>
      <c r="E98" s="15">
        <f t="shared" si="20"/>
        <v>114000</v>
      </c>
      <c r="F98" s="22">
        <f t="shared" si="25"/>
        <v>125970</v>
      </c>
      <c r="G98" s="101"/>
      <c r="H98" s="101"/>
      <c r="I98" s="22">
        <v>22000.0</v>
      </c>
      <c r="J98" s="15">
        <f t="shared" si="22"/>
        <v>66000</v>
      </c>
      <c r="K98" s="15">
        <f t="shared" si="23"/>
        <v>59970</v>
      </c>
      <c r="L98" s="110">
        <f t="shared" si="24"/>
        <v>0.5260526316</v>
      </c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38.0</v>
      </c>
      <c r="B99" s="84" t="s">
        <v>33</v>
      </c>
      <c r="C99" s="85" t="s">
        <v>34</v>
      </c>
      <c r="D99" s="22">
        <v>1000.0</v>
      </c>
      <c r="E99" s="15">
        <f t="shared" si="20"/>
        <v>38000</v>
      </c>
      <c r="F99" s="22">
        <f t="shared" si="25"/>
        <v>41990</v>
      </c>
      <c r="G99" s="101"/>
      <c r="H99" s="113"/>
      <c r="I99" s="22">
        <f>24000/38</f>
        <v>631.5789474</v>
      </c>
      <c r="J99" s="15">
        <f t="shared" si="22"/>
        <v>24000</v>
      </c>
      <c r="K99" s="15">
        <f t="shared" si="23"/>
        <v>17990</v>
      </c>
      <c r="L99" s="110">
        <f t="shared" si="24"/>
        <v>0.4734210526</v>
      </c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2.0</v>
      </c>
      <c r="B100" s="84" t="s">
        <v>18</v>
      </c>
      <c r="C100" s="85" t="s">
        <v>216</v>
      </c>
      <c r="D100" s="22">
        <v>22000.0</v>
      </c>
      <c r="E100" s="15">
        <f t="shared" si="20"/>
        <v>44000</v>
      </c>
      <c r="F100" s="22">
        <f t="shared" si="25"/>
        <v>48620</v>
      </c>
      <c r="G100" s="101"/>
      <c r="H100" s="101"/>
      <c r="I100" s="22">
        <v>12000.0</v>
      </c>
      <c r="J100" s="15">
        <f t="shared" si="22"/>
        <v>24000</v>
      </c>
      <c r="K100" s="15">
        <f t="shared" si="23"/>
        <v>24620</v>
      </c>
      <c r="L100" s="110">
        <f t="shared" si="24"/>
        <v>0.5595454545</v>
      </c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2.0</v>
      </c>
      <c r="B101" s="84" t="s">
        <v>18</v>
      </c>
      <c r="C101" s="85" t="s">
        <v>55</v>
      </c>
      <c r="D101" s="22">
        <v>35000.0</v>
      </c>
      <c r="E101" s="15">
        <f t="shared" si="20"/>
        <v>70000</v>
      </c>
      <c r="F101" s="22">
        <f t="shared" si="25"/>
        <v>77350</v>
      </c>
      <c r="G101" s="101"/>
      <c r="H101" s="101"/>
      <c r="I101" s="22">
        <v>28000.0</v>
      </c>
      <c r="J101" s="15">
        <f t="shared" si="22"/>
        <v>56000</v>
      </c>
      <c r="K101" s="15">
        <f t="shared" si="23"/>
        <v>21350</v>
      </c>
      <c r="L101" s="110">
        <f t="shared" si="24"/>
        <v>0.305</v>
      </c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4.0</v>
      </c>
      <c r="B102" s="84" t="s">
        <v>18</v>
      </c>
      <c r="C102" s="85" t="s">
        <v>54</v>
      </c>
      <c r="D102" s="22">
        <v>25000.0</v>
      </c>
      <c r="E102" s="15">
        <f t="shared" si="20"/>
        <v>100000</v>
      </c>
      <c r="F102" s="22">
        <f t="shared" si="25"/>
        <v>110500</v>
      </c>
      <c r="G102" s="101"/>
      <c r="H102" s="101"/>
      <c r="I102" s="22">
        <v>20000.0</v>
      </c>
      <c r="J102" s="15">
        <f t="shared" si="22"/>
        <v>80000</v>
      </c>
      <c r="K102" s="15">
        <f t="shared" si="23"/>
        <v>30500</v>
      </c>
      <c r="L102" s="110">
        <f t="shared" si="24"/>
        <v>0.305</v>
      </c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1.0</v>
      </c>
      <c r="B103" s="84" t="s">
        <v>50</v>
      </c>
      <c r="C103" s="85" t="s">
        <v>68</v>
      </c>
      <c r="D103" s="22">
        <v>4000.0</v>
      </c>
      <c r="E103" s="15">
        <f t="shared" si="20"/>
        <v>4000</v>
      </c>
      <c r="F103" s="22">
        <f>E103*1.21</f>
        <v>4840</v>
      </c>
      <c r="G103" s="101"/>
      <c r="H103" s="101"/>
      <c r="I103" s="22">
        <v>2000.0</v>
      </c>
      <c r="J103" s="15">
        <f t="shared" si="22"/>
        <v>2000</v>
      </c>
      <c r="K103" s="15">
        <f t="shared" si="23"/>
        <v>2840</v>
      </c>
      <c r="L103" s="110">
        <f t="shared" si="24"/>
        <v>0.71</v>
      </c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1.0</v>
      </c>
      <c r="B104" s="84" t="s">
        <v>18</v>
      </c>
      <c r="C104" s="85" t="s">
        <v>21</v>
      </c>
      <c r="D104" s="22">
        <v>56000.0</v>
      </c>
      <c r="E104" s="15">
        <f t="shared" si="20"/>
        <v>56000</v>
      </c>
      <c r="F104" s="22">
        <f t="shared" ref="F104:F110" si="26">E104*1.105</f>
        <v>61880</v>
      </c>
      <c r="G104" s="101"/>
      <c r="H104" s="101"/>
      <c r="I104" s="22">
        <v>48000.0</v>
      </c>
      <c r="J104" s="15">
        <f t="shared" si="22"/>
        <v>48000</v>
      </c>
      <c r="K104" s="15">
        <f t="shared" si="23"/>
        <v>13880</v>
      </c>
      <c r="L104" s="110">
        <f t="shared" si="24"/>
        <v>0.2478571429</v>
      </c>
      <c r="M104" s="1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1.0</v>
      </c>
      <c r="B105" s="84" t="s">
        <v>18</v>
      </c>
      <c r="C105" s="85" t="s">
        <v>55</v>
      </c>
      <c r="D105" s="22">
        <v>35000.0</v>
      </c>
      <c r="E105" s="15">
        <f t="shared" si="20"/>
        <v>35000</v>
      </c>
      <c r="F105" s="22">
        <f t="shared" si="26"/>
        <v>38675</v>
      </c>
      <c r="G105" s="113" t="s">
        <v>38</v>
      </c>
      <c r="H105" s="101"/>
      <c r="I105" s="22">
        <v>0.0</v>
      </c>
      <c r="J105" s="15">
        <f t="shared" si="22"/>
        <v>0</v>
      </c>
      <c r="K105" s="15">
        <f t="shared" si="23"/>
        <v>38675</v>
      </c>
      <c r="L105" s="110">
        <f t="shared" si="24"/>
        <v>1.105</v>
      </c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>
      <c r="A106" s="83">
        <v>1.0</v>
      </c>
      <c r="B106" s="84" t="s">
        <v>18</v>
      </c>
      <c r="C106" s="85" t="s">
        <v>19</v>
      </c>
      <c r="D106" s="22">
        <v>36000.0</v>
      </c>
      <c r="E106" s="15">
        <f t="shared" si="20"/>
        <v>36000</v>
      </c>
      <c r="F106" s="22">
        <f t="shared" si="26"/>
        <v>39780</v>
      </c>
      <c r="G106" s="113" t="s">
        <v>38</v>
      </c>
      <c r="H106" s="101"/>
      <c r="I106" s="22">
        <v>0.0</v>
      </c>
      <c r="J106" s="15">
        <f t="shared" si="22"/>
        <v>0</v>
      </c>
      <c r="K106" s="15">
        <f t="shared" si="23"/>
        <v>39780</v>
      </c>
      <c r="L106" s="110">
        <f t="shared" si="24"/>
        <v>1.105</v>
      </c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83">
        <v>1.0</v>
      </c>
      <c r="B107" s="84" t="s">
        <v>288</v>
      </c>
      <c r="C107" s="85" t="s">
        <v>20</v>
      </c>
      <c r="D107" s="22">
        <v>26000.0</v>
      </c>
      <c r="E107" s="15">
        <f t="shared" si="20"/>
        <v>26000</v>
      </c>
      <c r="F107" s="22">
        <f t="shared" si="26"/>
        <v>28730</v>
      </c>
      <c r="G107" s="113" t="s">
        <v>38</v>
      </c>
      <c r="H107" s="101"/>
      <c r="I107" s="22">
        <v>0.0</v>
      </c>
      <c r="J107" s="15">
        <f t="shared" si="22"/>
        <v>0</v>
      </c>
      <c r="K107" s="15">
        <f t="shared" si="23"/>
        <v>28730</v>
      </c>
      <c r="L107" s="110">
        <f t="shared" si="24"/>
        <v>1.105</v>
      </c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83">
        <v>1.0</v>
      </c>
      <c r="B108" s="84" t="s">
        <v>18</v>
      </c>
      <c r="C108" s="85" t="s">
        <v>22</v>
      </c>
      <c r="D108" s="22">
        <v>14000.0</v>
      </c>
      <c r="E108" s="15">
        <f t="shared" si="20"/>
        <v>14000</v>
      </c>
      <c r="F108" s="22">
        <f t="shared" si="26"/>
        <v>15470</v>
      </c>
      <c r="G108" s="113" t="s">
        <v>38</v>
      </c>
      <c r="H108" s="101"/>
      <c r="I108" s="22">
        <v>0.0</v>
      </c>
      <c r="J108" s="15">
        <f t="shared" si="22"/>
        <v>0</v>
      </c>
      <c r="K108" s="15">
        <f t="shared" si="23"/>
        <v>15470</v>
      </c>
      <c r="L108" s="110">
        <f t="shared" si="24"/>
        <v>1.105</v>
      </c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83">
        <v>1.0</v>
      </c>
      <c r="B109" s="84" t="s">
        <v>18</v>
      </c>
      <c r="C109" s="85" t="s">
        <v>24</v>
      </c>
      <c r="D109" s="22">
        <v>35000.0</v>
      </c>
      <c r="E109" s="15">
        <f t="shared" si="20"/>
        <v>35000</v>
      </c>
      <c r="F109" s="22">
        <f t="shared" si="26"/>
        <v>38675</v>
      </c>
      <c r="G109" s="113" t="s">
        <v>41</v>
      </c>
      <c r="H109" s="101"/>
      <c r="I109" s="22">
        <v>0.0</v>
      </c>
      <c r="J109" s="15">
        <f t="shared" si="22"/>
        <v>0</v>
      </c>
      <c r="K109" s="15">
        <f t="shared" si="23"/>
        <v>38675</v>
      </c>
      <c r="L109" s="110">
        <f t="shared" si="24"/>
        <v>1.105</v>
      </c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83">
        <v>1.0</v>
      </c>
      <c r="B110" s="84" t="s">
        <v>29</v>
      </c>
      <c r="C110" s="85" t="s">
        <v>30</v>
      </c>
      <c r="D110" s="22">
        <v>63000.0</v>
      </c>
      <c r="E110" s="15">
        <f t="shared" si="20"/>
        <v>63000</v>
      </c>
      <c r="F110" s="22">
        <f t="shared" si="26"/>
        <v>69615</v>
      </c>
      <c r="G110" s="113" t="s">
        <v>41</v>
      </c>
      <c r="H110" s="101"/>
      <c r="I110" s="22">
        <v>0.0</v>
      </c>
      <c r="J110" s="15">
        <f t="shared" si="22"/>
        <v>0</v>
      </c>
      <c r="K110" s="15">
        <f t="shared" si="23"/>
        <v>69615</v>
      </c>
      <c r="L110" s="110">
        <f t="shared" si="24"/>
        <v>1.105</v>
      </c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83">
        <v>1.0</v>
      </c>
      <c r="B111" s="84" t="s">
        <v>18</v>
      </c>
      <c r="C111" s="85" t="s">
        <v>25</v>
      </c>
      <c r="D111" s="22">
        <v>18000.0</v>
      </c>
      <c r="E111" s="15">
        <f t="shared" si="20"/>
        <v>18000</v>
      </c>
      <c r="F111" s="22">
        <f>E111*1.21</f>
        <v>21780</v>
      </c>
      <c r="G111" s="113" t="s">
        <v>41</v>
      </c>
      <c r="H111" s="101"/>
      <c r="I111" s="22">
        <v>0.0</v>
      </c>
      <c r="J111" s="15">
        <f t="shared" si="22"/>
        <v>0</v>
      </c>
      <c r="K111" s="15">
        <f t="shared" si="23"/>
        <v>21780</v>
      </c>
      <c r="L111" s="110">
        <f t="shared" si="24"/>
        <v>1.21</v>
      </c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5"/>
      <c r="B112" s="10"/>
      <c r="C112" s="11"/>
      <c r="D112" s="12"/>
      <c r="E112" s="10"/>
      <c r="F112" s="10"/>
      <c r="G112" s="3"/>
      <c r="H112" s="3"/>
      <c r="I112" s="10"/>
      <c r="J112" s="10"/>
      <c r="K112" s="10"/>
      <c r="L112" s="110"/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5"/>
      <c r="B113" s="10"/>
      <c r="C113" s="11"/>
      <c r="D113" s="12"/>
      <c r="E113" s="15">
        <f t="shared" ref="E113:F113" si="27">SUM(E85:E111)</f>
        <v>1347000</v>
      </c>
      <c r="F113" s="15">
        <f t="shared" si="27"/>
        <v>1493685</v>
      </c>
      <c r="G113" s="101"/>
      <c r="H113" s="101"/>
      <c r="I113" s="101"/>
      <c r="J113" s="101"/>
      <c r="K113" s="15">
        <f>SUM(K85:K111)</f>
        <v>779685</v>
      </c>
      <c r="L113" s="110">
        <f>IFERROR(K113/E113, 0)</f>
        <v>0.578830735</v>
      </c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91"/>
      <c r="B115" s="10"/>
      <c r="C115" s="93"/>
      <c r="D115" s="22"/>
      <c r="E115" s="15"/>
      <c r="F115" s="15"/>
      <c r="G115" s="3"/>
      <c r="H115" s="3"/>
      <c r="I115" s="22"/>
      <c r="J115" s="15"/>
      <c r="K115" s="15"/>
      <c r="L115" s="23"/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83"/>
      <c r="B116" s="84"/>
      <c r="C116" s="85"/>
      <c r="D116" s="22"/>
      <c r="E116" s="15"/>
      <c r="F116" s="15"/>
      <c r="G116" s="101"/>
      <c r="H116" s="101"/>
      <c r="I116" s="22"/>
      <c r="J116" s="15"/>
      <c r="K116" s="15"/>
      <c r="L116" s="36"/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/>
      <c r="B117" s="84"/>
      <c r="C117" s="85"/>
      <c r="D117" s="22"/>
      <c r="E117" s="15"/>
      <c r="F117" s="15"/>
      <c r="G117" s="101"/>
      <c r="H117" s="101"/>
      <c r="I117" s="22"/>
      <c r="J117" s="15"/>
      <c r="K117" s="15"/>
      <c r="L117" s="36"/>
      <c r="M117" s="1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30" t="s">
        <v>120</v>
      </c>
      <c r="B118" s="31">
        <f>F113+F79+F36+F13</f>
        <v>2453444.45</v>
      </c>
      <c r="C118" s="2"/>
      <c r="D118" s="3"/>
      <c r="E118" s="3"/>
      <c r="F118" s="3"/>
      <c r="G118" s="2"/>
      <c r="H118" s="2"/>
      <c r="I118" s="2"/>
      <c r="J118" s="2"/>
      <c r="K118" s="3"/>
      <c r="L118" s="4"/>
      <c r="M118" s="2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"/>
      <c r="B119" s="2"/>
      <c r="C119" s="2"/>
      <c r="D119" s="3"/>
      <c r="E119" s="3"/>
      <c r="F119" s="3"/>
      <c r="G119" s="2"/>
      <c r="H119" s="2"/>
      <c r="I119" s="2"/>
      <c r="J119" s="2"/>
      <c r="K119" s="3"/>
      <c r="L119" s="4"/>
      <c r="M119" s="2"/>
      <c r="N119" s="2"/>
      <c r="O119" s="2"/>
      <c r="P119" s="2"/>
      <c r="Q119" s="3"/>
      <c r="R119" s="9"/>
      <c r="S119" s="3"/>
      <c r="T119" s="3"/>
      <c r="U119" s="1"/>
      <c r="V119" s="3"/>
      <c r="W119" s="3"/>
      <c r="X119" s="3"/>
      <c r="Y119" s="3"/>
      <c r="Z119" s="3"/>
    </row>
    <row r="120">
      <c r="A120" s="30" t="s">
        <v>121</v>
      </c>
      <c r="B120" s="108">
        <f>K113+K79+K36+K13</f>
        <v>1113584.391</v>
      </c>
      <c r="C120" s="2"/>
      <c r="D120" s="3"/>
      <c r="E120" s="3"/>
      <c r="F120" s="3"/>
      <c r="G120" s="109"/>
      <c r="H120" s="2"/>
      <c r="I120" s="2"/>
      <c r="J120" s="2"/>
      <c r="K120" s="3"/>
      <c r="L120" s="4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"/>
      <c r="B121" s="2"/>
      <c r="C121" s="2"/>
      <c r="D121" s="3"/>
      <c r="E121" s="3"/>
      <c r="F121" s="3"/>
      <c r="G121" s="2"/>
      <c r="H121" s="2"/>
      <c r="I121" s="2"/>
      <c r="J121" s="2"/>
      <c r="K121" s="3"/>
      <c r="L121" s="4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39" t="s">
        <v>122</v>
      </c>
      <c r="B122" s="99">
        <f>E15</f>
        <v>12032</v>
      </c>
      <c r="C122" s="2"/>
      <c r="D122" s="3"/>
      <c r="E122" s="3"/>
      <c r="F122" s="3"/>
      <c r="G122" s="2"/>
      <c r="H122" s="2"/>
      <c r="I122" s="2"/>
      <c r="J122" s="2"/>
      <c r="K122" s="3"/>
      <c r="L122" s="4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1"/>
      <c r="B123" s="2"/>
      <c r="C123" s="2"/>
      <c r="D123" s="3"/>
      <c r="E123" s="3"/>
      <c r="F123" s="3"/>
      <c r="G123" s="2"/>
      <c r="H123" s="2"/>
      <c r="I123" s="2"/>
      <c r="J123" s="2"/>
      <c r="K123" s="3"/>
      <c r="L123" s="4"/>
      <c r="M123" s="2"/>
      <c r="N123" s="2"/>
      <c r="O123" s="2"/>
      <c r="P123" s="2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30" t="s">
        <v>123</v>
      </c>
      <c r="B124" s="41">
        <f>B120/B118</f>
        <v>0.4538861237</v>
      </c>
      <c r="C124" s="2"/>
      <c r="D124" s="3"/>
      <c r="E124" s="3"/>
      <c r="F124" s="3"/>
      <c r="G124" s="2"/>
      <c r="H124" s="2"/>
      <c r="I124" s="2"/>
      <c r="J124" s="2"/>
      <c r="K124" s="3"/>
      <c r="L124" s="4"/>
      <c r="M124" s="2"/>
      <c r="N124" s="2"/>
      <c r="O124" s="2"/>
      <c r="P124" s="2"/>
      <c r="Q124" s="2"/>
      <c r="R124" s="2"/>
      <c r="S124" s="3"/>
      <c r="T124" s="3"/>
      <c r="U124" s="1"/>
      <c r="V124" s="3"/>
      <c r="W124" s="3"/>
      <c r="X124" s="2"/>
      <c r="Y124" s="2"/>
      <c r="Z124" s="2"/>
    </row>
    <row r="125">
      <c r="A125" s="1"/>
      <c r="B125" s="2"/>
      <c r="C125" s="2"/>
      <c r="D125" s="3"/>
      <c r="E125" s="3"/>
      <c r="F125" s="3"/>
      <c r="G125" s="2"/>
      <c r="H125" s="2"/>
      <c r="I125" s="2"/>
      <c r="J125" s="2"/>
      <c r="K125" s="3"/>
      <c r="L125" s="4"/>
      <c r="M125" s="2"/>
      <c r="N125" s="2"/>
      <c r="O125" s="2"/>
      <c r="P125" s="2"/>
      <c r="Q125" s="3"/>
      <c r="R125" s="9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42" t="s">
        <v>124</v>
      </c>
      <c r="C126" s="4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9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9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9"/>
      <c r="T154" s="3"/>
      <c r="U154" s="2"/>
      <c r="V154" s="3"/>
      <c r="W154" s="3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9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9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9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9"/>
      <c r="T171" s="3"/>
      <c r="U171" s="2"/>
      <c r="V171" s="3"/>
      <c r="W171" s="3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9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9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9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9"/>
      <c r="T182" s="3"/>
      <c r="U182" s="2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9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9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3"/>
      <c r="T198" s="3"/>
      <c r="U198" s="9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9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9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3"/>
      <c r="T212" s="9"/>
      <c r="U212" s="2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9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9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9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9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3"/>
      <c r="T224" s="9"/>
      <c r="U224" s="2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9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9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3"/>
      <c r="R237" s="2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3"/>
      <c r="R239" s="2"/>
      <c r="S239" s="2"/>
      <c r="T239" s="3"/>
      <c r="U239" s="2"/>
      <c r="V239" s="2"/>
      <c r="W239" s="2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3"/>
      <c r="T240" s="3"/>
      <c r="U240" s="3"/>
      <c r="V240" s="2"/>
      <c r="W240" s="2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44"/>
      <c r="R242" s="44"/>
      <c r="S242" s="44"/>
      <c r="T242" s="44"/>
      <c r="U242" s="44"/>
      <c r="V242" s="44"/>
      <c r="W242" s="44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3"/>
      <c r="T243" s="3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"/>
      <c r="R244" s="2"/>
      <c r="S244" s="3"/>
      <c r="T244" s="3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4"/>
      <c r="R246" s="75"/>
      <c r="S246" s="76"/>
      <c r="T246" s="76"/>
      <c r="U246" s="76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7"/>
      <c r="R247" s="77"/>
      <c r="S247" s="77"/>
      <c r="T247" s="77"/>
      <c r="U247" s="77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52"/>
      <c r="R248" s="52"/>
      <c r="S248" s="52"/>
      <c r="T248" s="5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52"/>
      <c r="R250" s="52"/>
      <c r="S250" s="52"/>
      <c r="T250" s="52"/>
      <c r="U250" s="5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52"/>
      <c r="R251" s="52"/>
      <c r="S251" s="52"/>
      <c r="T251" s="5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52"/>
      <c r="R252" s="52"/>
      <c r="S252" s="52"/>
      <c r="T252" s="5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52"/>
      <c r="R253" s="52"/>
      <c r="S253" s="52"/>
      <c r="T253" s="5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52"/>
      <c r="R254" s="52"/>
      <c r="S254" s="52"/>
      <c r="T254" s="5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8"/>
      <c r="R255" s="78"/>
      <c r="S255" s="78"/>
      <c r="T255" s="78"/>
      <c r="U255" s="79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2"/>
      <c r="S256" s="3"/>
      <c r="T256" s="3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62"/>
      <c r="R258" s="62"/>
      <c r="S258" s="62"/>
      <c r="T258" s="6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62"/>
      <c r="R259" s="62"/>
      <c r="S259" s="62"/>
      <c r="T259" s="6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62"/>
      <c r="R260" s="62"/>
      <c r="S260" s="62"/>
      <c r="T260" s="6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62"/>
      <c r="R261" s="62"/>
      <c r="S261" s="62"/>
      <c r="T261" s="6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62"/>
      <c r="R262" s="62"/>
      <c r="S262" s="62"/>
      <c r="T262" s="62"/>
      <c r="U262" s="2"/>
      <c r="V262" s="2"/>
      <c r="W262" s="6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62"/>
      <c r="R263" s="62"/>
      <c r="S263" s="62"/>
      <c r="T263" s="6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62"/>
      <c r="R264" s="62"/>
      <c r="S264" s="62"/>
      <c r="T264" s="62"/>
      <c r="U264" s="2"/>
      <c r="V264" s="2"/>
      <c r="W264" s="6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62"/>
      <c r="R265" s="62"/>
      <c r="S265" s="62"/>
      <c r="T265" s="62"/>
      <c r="U265" s="2"/>
      <c r="V265" s="2"/>
      <c r="W265" s="6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52"/>
      <c r="R266" s="52"/>
      <c r="S266" s="52"/>
      <c r="T266" s="5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52"/>
      <c r="R267" s="52"/>
      <c r="S267" s="52"/>
      <c r="T267" s="52"/>
      <c r="U267" s="2"/>
      <c r="V267" s="2"/>
      <c r="W267" s="6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52"/>
      <c r="R268" s="52"/>
      <c r="S268" s="52"/>
      <c r="T268" s="5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52"/>
      <c r="R269" s="52"/>
      <c r="S269" s="52"/>
      <c r="T269" s="5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52"/>
      <c r="R270" s="52"/>
      <c r="S270" s="52"/>
      <c r="T270" s="5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52"/>
      <c r="R271" s="52"/>
      <c r="S271" s="52"/>
      <c r="T271" s="5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52"/>
      <c r="R272" s="52"/>
      <c r="S272" s="52"/>
      <c r="T272" s="5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52"/>
      <c r="R273" s="52"/>
      <c r="S273" s="52"/>
      <c r="T273" s="5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52"/>
      <c r="R274" s="52"/>
      <c r="S274" s="52"/>
      <c r="T274" s="5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52"/>
      <c r="S275" s="52"/>
      <c r="T275" s="5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8"/>
      <c r="R277" s="78"/>
      <c r="S277" s="78"/>
      <c r="T277" s="78"/>
      <c r="U277" s="79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7"/>
      <c r="R279" s="78"/>
      <c r="S279" s="78"/>
      <c r="T279" s="80"/>
      <c r="U279" s="80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52"/>
      <c r="R281" s="52"/>
      <c r="S281" s="52"/>
      <c r="T281" s="52"/>
      <c r="U281" s="5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5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</sheetData>
  <mergeCells count="9">
    <mergeCell ref="A82:C82"/>
    <mergeCell ref="A126:B126"/>
    <mergeCell ref="A2:C2"/>
    <mergeCell ref="I2:K2"/>
    <mergeCell ref="A18:C18"/>
    <mergeCell ref="I18:K18"/>
    <mergeCell ref="A39:C39"/>
    <mergeCell ref="I39:K39"/>
    <mergeCell ref="I82:K82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5"/>
      <c r="B2" s="5"/>
      <c r="C2" s="5"/>
      <c r="E2" s="86"/>
      <c r="F2" s="82"/>
      <c r="G2" s="86"/>
      <c r="H2" s="3"/>
      <c r="I2" s="8"/>
      <c r="J2" s="8"/>
      <c r="K2" s="8"/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5" t="s">
        <v>234</v>
      </c>
      <c r="E3" s="86" t="s">
        <v>223</v>
      </c>
      <c r="F3" s="82">
        <v>46073.0</v>
      </c>
      <c r="G3" s="6"/>
      <c r="H3" s="3"/>
      <c r="I3" s="8" t="s">
        <v>3</v>
      </c>
      <c r="L3" s="4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1"/>
      <c r="B4" s="3"/>
      <c r="C4" s="9"/>
      <c r="D4" s="3"/>
      <c r="E4" s="3"/>
      <c r="F4" s="3"/>
      <c r="G4" s="3"/>
      <c r="H4" s="3"/>
      <c r="I4" s="3"/>
      <c r="J4" s="3"/>
      <c r="K4" s="3"/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96" t="s">
        <v>6</v>
      </c>
      <c r="D5" s="10" t="s">
        <v>7</v>
      </c>
      <c r="E5" s="10" t="s">
        <v>8</v>
      </c>
      <c r="F5" s="10" t="s">
        <v>9</v>
      </c>
      <c r="G5" s="101"/>
      <c r="H5" s="101"/>
      <c r="I5" s="10" t="s">
        <v>260</v>
      </c>
      <c r="J5" s="10" t="s">
        <v>8</v>
      </c>
      <c r="K5" s="10" t="s">
        <v>10</v>
      </c>
      <c r="L5" s="102"/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1.0</v>
      </c>
      <c r="B6" s="84" t="s">
        <v>50</v>
      </c>
      <c r="C6" s="85" t="s">
        <v>171</v>
      </c>
      <c r="D6" s="22">
        <v>3000.0</v>
      </c>
      <c r="E6" s="15">
        <f t="shared" ref="E6:E38" si="1">A6*D6</f>
        <v>3000</v>
      </c>
      <c r="F6" s="15">
        <f t="shared" ref="F6:F38" si="2">E6*1.105</f>
        <v>3315</v>
      </c>
      <c r="G6" s="101"/>
      <c r="H6" s="101"/>
      <c r="I6" s="22">
        <v>2000.0</v>
      </c>
      <c r="J6" s="15">
        <f t="shared" ref="J6:J38" si="3">I6*A6</f>
        <v>2000</v>
      </c>
      <c r="K6" s="15">
        <f t="shared" ref="K6:K38" si="4">F6-J6</f>
        <v>1315</v>
      </c>
      <c r="L6" s="110">
        <f t="shared" ref="L6:L38" si="5">IFERROR(K6/E6, 0)</f>
        <v>0.4383333333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1.0</v>
      </c>
      <c r="B7" s="84" t="s">
        <v>50</v>
      </c>
      <c r="C7" s="85" t="s">
        <v>68</v>
      </c>
      <c r="D7" s="22">
        <v>4000.0</v>
      </c>
      <c r="E7" s="15">
        <f t="shared" si="1"/>
        <v>4000</v>
      </c>
      <c r="F7" s="15">
        <f t="shared" si="2"/>
        <v>4420</v>
      </c>
      <c r="G7" s="101"/>
      <c r="H7" s="101"/>
      <c r="I7" s="87">
        <v>1000.0</v>
      </c>
      <c r="J7" s="15">
        <f t="shared" si="3"/>
        <v>1000</v>
      </c>
      <c r="K7" s="15">
        <f t="shared" si="4"/>
        <v>3420</v>
      </c>
      <c r="L7" s="110">
        <f t="shared" si="5"/>
        <v>0.855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4.0</v>
      </c>
      <c r="B8" s="84" t="s">
        <v>33</v>
      </c>
      <c r="C8" s="85" t="s">
        <v>99</v>
      </c>
      <c r="D8" s="22">
        <v>1800.0</v>
      </c>
      <c r="E8" s="15">
        <f t="shared" si="1"/>
        <v>7200</v>
      </c>
      <c r="F8" s="15">
        <f t="shared" si="2"/>
        <v>7956</v>
      </c>
      <c r="G8" s="101"/>
      <c r="H8" s="101"/>
      <c r="I8" s="22">
        <v>1000.0</v>
      </c>
      <c r="J8" s="15">
        <f t="shared" si="3"/>
        <v>4000</v>
      </c>
      <c r="K8" s="15">
        <f t="shared" si="4"/>
        <v>3956</v>
      </c>
      <c r="L8" s="110">
        <f t="shared" si="5"/>
        <v>0.5494444444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3.0</v>
      </c>
      <c r="B9" s="84" t="s">
        <v>33</v>
      </c>
      <c r="C9" s="85" t="s">
        <v>98</v>
      </c>
      <c r="D9" s="22">
        <v>1800.0</v>
      </c>
      <c r="E9" s="15">
        <f t="shared" si="1"/>
        <v>5400</v>
      </c>
      <c r="F9" s="15">
        <f t="shared" si="2"/>
        <v>5967</v>
      </c>
      <c r="G9" s="101"/>
      <c r="H9" s="101"/>
      <c r="I9" s="22">
        <v>1000.0</v>
      </c>
      <c r="J9" s="15">
        <f t="shared" si="3"/>
        <v>3000</v>
      </c>
      <c r="K9" s="15">
        <f t="shared" si="4"/>
        <v>2967</v>
      </c>
      <c r="L9" s="110">
        <f t="shared" si="5"/>
        <v>0.5494444444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15.0</v>
      </c>
      <c r="B10" s="84" t="s">
        <v>33</v>
      </c>
      <c r="C10" s="85" t="s">
        <v>64</v>
      </c>
      <c r="D10" s="22">
        <v>2300.0</v>
      </c>
      <c r="E10" s="15">
        <f t="shared" si="1"/>
        <v>34500</v>
      </c>
      <c r="F10" s="15">
        <f t="shared" si="2"/>
        <v>38122.5</v>
      </c>
      <c r="G10" s="101"/>
      <c r="H10" s="101"/>
      <c r="I10" s="22">
        <f>20000/15</f>
        <v>1333.333333</v>
      </c>
      <c r="J10" s="15">
        <f t="shared" si="3"/>
        <v>20000</v>
      </c>
      <c r="K10" s="15">
        <f t="shared" si="4"/>
        <v>18122.5</v>
      </c>
      <c r="L10" s="110">
        <f t="shared" si="5"/>
        <v>0.5252898551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2.0</v>
      </c>
      <c r="B11" s="84" t="s">
        <v>33</v>
      </c>
      <c r="C11" s="85" t="s">
        <v>26</v>
      </c>
      <c r="D11" s="22">
        <v>4000.0</v>
      </c>
      <c r="E11" s="15">
        <f t="shared" si="1"/>
        <v>8000</v>
      </c>
      <c r="F11" s="15">
        <f t="shared" si="2"/>
        <v>8840</v>
      </c>
      <c r="G11" s="101"/>
      <c r="H11" s="101"/>
      <c r="I11" s="22">
        <f>22000/8</f>
        <v>2750</v>
      </c>
      <c r="J11" s="15">
        <f t="shared" si="3"/>
        <v>5500</v>
      </c>
      <c r="K11" s="15">
        <f t="shared" si="4"/>
        <v>3340</v>
      </c>
      <c r="L11" s="110">
        <f t="shared" si="5"/>
        <v>0.4175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3.0</v>
      </c>
      <c r="B12" s="84" t="s">
        <v>33</v>
      </c>
      <c r="C12" s="85" t="s">
        <v>25</v>
      </c>
      <c r="D12" s="22">
        <v>3100.0</v>
      </c>
      <c r="E12" s="15">
        <f t="shared" si="1"/>
        <v>9300</v>
      </c>
      <c r="F12" s="15">
        <f t="shared" si="2"/>
        <v>10276.5</v>
      </c>
      <c r="G12" s="101"/>
      <c r="H12" s="101"/>
      <c r="I12" s="22">
        <f>12000/8</f>
        <v>1500</v>
      </c>
      <c r="J12" s="15">
        <f t="shared" si="3"/>
        <v>4500</v>
      </c>
      <c r="K12" s="15">
        <f t="shared" si="4"/>
        <v>5776.5</v>
      </c>
      <c r="L12" s="110">
        <f t="shared" si="5"/>
        <v>0.6211290323</v>
      </c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4.0</v>
      </c>
      <c r="B13" s="84" t="s">
        <v>33</v>
      </c>
      <c r="C13" s="85" t="s">
        <v>24</v>
      </c>
      <c r="D13" s="22">
        <v>4000.0</v>
      </c>
      <c r="E13" s="15">
        <f t="shared" si="1"/>
        <v>16000</v>
      </c>
      <c r="F13" s="15">
        <f t="shared" si="2"/>
        <v>17680</v>
      </c>
      <c r="G13" s="101"/>
      <c r="H13" s="101"/>
      <c r="I13" s="22">
        <f>28000/8</f>
        <v>3500</v>
      </c>
      <c r="J13" s="15">
        <f t="shared" si="3"/>
        <v>14000</v>
      </c>
      <c r="K13" s="15">
        <f t="shared" si="4"/>
        <v>3680</v>
      </c>
      <c r="L13" s="110">
        <f t="shared" si="5"/>
        <v>0.23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4.0</v>
      </c>
      <c r="B14" s="84" t="s">
        <v>33</v>
      </c>
      <c r="C14" s="85" t="s">
        <v>174</v>
      </c>
      <c r="D14" s="22">
        <v>1600.0</v>
      </c>
      <c r="E14" s="15">
        <f t="shared" si="1"/>
        <v>6400</v>
      </c>
      <c r="F14" s="15">
        <f t="shared" si="2"/>
        <v>7072</v>
      </c>
      <c r="G14" s="101"/>
      <c r="H14" s="101"/>
      <c r="I14" s="22">
        <f>18000/17</f>
        <v>1058.823529</v>
      </c>
      <c r="J14" s="15">
        <f t="shared" si="3"/>
        <v>4235.294118</v>
      </c>
      <c r="K14" s="15">
        <f t="shared" si="4"/>
        <v>2836.705882</v>
      </c>
      <c r="L14" s="110">
        <f t="shared" si="5"/>
        <v>0.4432352941</v>
      </c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3.5</v>
      </c>
      <c r="B15" s="84" t="s">
        <v>33</v>
      </c>
      <c r="C15" s="85" t="s">
        <v>67</v>
      </c>
      <c r="D15" s="22">
        <v>800.0</v>
      </c>
      <c r="E15" s="15">
        <f t="shared" si="1"/>
        <v>2800</v>
      </c>
      <c r="F15" s="15">
        <f t="shared" si="2"/>
        <v>3094</v>
      </c>
      <c r="G15" s="101"/>
      <c r="H15" s="101"/>
      <c r="I15" s="22">
        <f>9000/17</f>
        <v>529.4117647</v>
      </c>
      <c r="J15" s="15">
        <f t="shared" si="3"/>
        <v>1852.941176</v>
      </c>
      <c r="K15" s="15">
        <f t="shared" si="4"/>
        <v>1241.058824</v>
      </c>
      <c r="L15" s="110">
        <f t="shared" si="5"/>
        <v>0.4432352941</v>
      </c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14.0</v>
      </c>
      <c r="B16" s="84" t="s">
        <v>50</v>
      </c>
      <c r="C16" s="85" t="s">
        <v>103</v>
      </c>
      <c r="D16" s="22">
        <v>1600.0</v>
      </c>
      <c r="E16" s="15">
        <f t="shared" si="1"/>
        <v>22400</v>
      </c>
      <c r="F16" s="15">
        <f t="shared" si="2"/>
        <v>24752</v>
      </c>
      <c r="G16" s="101"/>
      <c r="H16" s="101"/>
      <c r="I16" s="22">
        <f>1000</f>
        <v>1000</v>
      </c>
      <c r="J16" s="15">
        <f t="shared" si="3"/>
        <v>14000</v>
      </c>
      <c r="K16" s="15">
        <f t="shared" si="4"/>
        <v>10752</v>
      </c>
      <c r="L16" s="110">
        <f t="shared" si="5"/>
        <v>0.48</v>
      </c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4.0</v>
      </c>
      <c r="B17" s="84" t="s">
        <v>33</v>
      </c>
      <c r="C17" s="85" t="s">
        <v>55</v>
      </c>
      <c r="D17" s="22">
        <v>2800.0</v>
      </c>
      <c r="E17" s="15">
        <f t="shared" si="1"/>
        <v>11200</v>
      </c>
      <c r="F17" s="15">
        <f t="shared" si="2"/>
        <v>12376</v>
      </c>
      <c r="G17" s="101"/>
      <c r="H17" s="101"/>
      <c r="I17" s="22">
        <f>15000/18</f>
        <v>833.3333333</v>
      </c>
      <c r="J17" s="15">
        <f t="shared" si="3"/>
        <v>3333.333333</v>
      </c>
      <c r="K17" s="15">
        <f t="shared" si="4"/>
        <v>9042.666667</v>
      </c>
      <c r="L17" s="110">
        <f t="shared" si="5"/>
        <v>0.8073809524</v>
      </c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5.0</v>
      </c>
      <c r="B18" s="84" t="s">
        <v>33</v>
      </c>
      <c r="C18" s="85" t="s">
        <v>233</v>
      </c>
      <c r="D18" s="22">
        <v>2800.0</v>
      </c>
      <c r="E18" s="15">
        <f t="shared" si="1"/>
        <v>14000</v>
      </c>
      <c r="F18" s="15">
        <f t="shared" si="2"/>
        <v>15470</v>
      </c>
      <c r="G18" s="101"/>
      <c r="H18" s="101"/>
      <c r="I18" s="22">
        <f>8000/7</f>
        <v>1142.857143</v>
      </c>
      <c r="J18" s="15">
        <f t="shared" si="3"/>
        <v>5714.285714</v>
      </c>
      <c r="K18" s="15">
        <f t="shared" si="4"/>
        <v>9755.714286</v>
      </c>
      <c r="L18" s="110">
        <f t="shared" si="5"/>
        <v>0.6968367347</v>
      </c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20.0</v>
      </c>
      <c r="B19" s="84" t="s">
        <v>50</v>
      </c>
      <c r="C19" s="85" t="s">
        <v>65</v>
      </c>
      <c r="D19" s="22">
        <v>500.0</v>
      </c>
      <c r="E19" s="15">
        <f t="shared" si="1"/>
        <v>10000</v>
      </c>
      <c r="F19" s="15">
        <f t="shared" si="2"/>
        <v>11050</v>
      </c>
      <c r="G19" s="101"/>
      <c r="H19" s="101"/>
      <c r="I19" s="22">
        <f>6000/24</f>
        <v>250</v>
      </c>
      <c r="J19" s="15">
        <f t="shared" si="3"/>
        <v>5000</v>
      </c>
      <c r="K19" s="15">
        <f t="shared" si="4"/>
        <v>6050</v>
      </c>
      <c r="L19" s="110">
        <f t="shared" si="5"/>
        <v>0.605</v>
      </c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91">
        <v>20.0</v>
      </c>
      <c r="B20" s="92" t="s">
        <v>5</v>
      </c>
      <c r="C20" s="93" t="s">
        <v>241</v>
      </c>
      <c r="D20" s="22">
        <v>800.0</v>
      </c>
      <c r="E20" s="15">
        <f t="shared" si="1"/>
        <v>16000</v>
      </c>
      <c r="F20" s="15">
        <f t="shared" si="2"/>
        <v>17680</v>
      </c>
      <c r="G20" s="3"/>
      <c r="H20" s="3"/>
      <c r="I20" s="15">
        <f>9000/20</f>
        <v>450</v>
      </c>
      <c r="J20" s="15">
        <f t="shared" si="3"/>
        <v>9000</v>
      </c>
      <c r="K20" s="15">
        <f t="shared" si="4"/>
        <v>8680</v>
      </c>
      <c r="L20" s="116">
        <f t="shared" si="5"/>
        <v>0.5425</v>
      </c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26">
        <v>1.0</v>
      </c>
      <c r="B21" s="92" t="s">
        <v>38</v>
      </c>
      <c r="C21" s="93" t="s">
        <v>45</v>
      </c>
      <c r="D21" s="22">
        <v>13000.0</v>
      </c>
      <c r="E21" s="15">
        <f t="shared" si="1"/>
        <v>13000</v>
      </c>
      <c r="F21" s="15">
        <f t="shared" si="2"/>
        <v>14365</v>
      </c>
      <c r="G21" s="3"/>
      <c r="H21" s="3"/>
      <c r="I21" s="22">
        <v>10000.0</v>
      </c>
      <c r="J21" s="15">
        <f t="shared" si="3"/>
        <v>10000</v>
      </c>
      <c r="K21" s="15">
        <f t="shared" si="4"/>
        <v>4365</v>
      </c>
      <c r="L21" s="116">
        <f t="shared" si="5"/>
        <v>0.3357692308</v>
      </c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91">
        <v>4.0</v>
      </c>
      <c r="B22" s="92" t="s">
        <v>33</v>
      </c>
      <c r="C22" s="93" t="s">
        <v>289</v>
      </c>
      <c r="D22" s="22">
        <v>2200.0</v>
      </c>
      <c r="E22" s="15">
        <f t="shared" si="1"/>
        <v>8800</v>
      </c>
      <c r="F22" s="15">
        <f t="shared" si="2"/>
        <v>9724</v>
      </c>
      <c r="G22" s="3"/>
      <c r="H22" s="3"/>
      <c r="I22" s="15">
        <f>12000/10</f>
        <v>1200</v>
      </c>
      <c r="J22" s="15">
        <f t="shared" si="3"/>
        <v>4800</v>
      </c>
      <c r="K22" s="15">
        <f t="shared" si="4"/>
        <v>4924</v>
      </c>
      <c r="L22" s="116">
        <f t="shared" si="5"/>
        <v>0.5595454545</v>
      </c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91">
        <v>1.5</v>
      </c>
      <c r="B23" s="10" t="s">
        <v>33</v>
      </c>
      <c r="C23" s="93" t="s">
        <v>349</v>
      </c>
      <c r="D23" s="22">
        <v>4000.0</v>
      </c>
      <c r="E23" s="15">
        <f t="shared" si="1"/>
        <v>6000</v>
      </c>
      <c r="F23" s="15">
        <f t="shared" si="2"/>
        <v>6630</v>
      </c>
      <c r="G23" s="3"/>
      <c r="H23" s="3"/>
      <c r="I23" s="15">
        <f>22000/7</f>
        <v>3142.857143</v>
      </c>
      <c r="J23" s="15">
        <f t="shared" si="3"/>
        <v>4714.285714</v>
      </c>
      <c r="K23" s="15">
        <f t="shared" si="4"/>
        <v>1915.714286</v>
      </c>
      <c r="L23" s="116">
        <f t="shared" si="5"/>
        <v>0.3192857143</v>
      </c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91">
        <v>1.0</v>
      </c>
      <c r="B24" s="10" t="s">
        <v>33</v>
      </c>
      <c r="C24" s="93" t="s">
        <v>177</v>
      </c>
      <c r="D24" s="22">
        <v>1000.0</v>
      </c>
      <c r="E24" s="15">
        <f t="shared" si="1"/>
        <v>1000</v>
      </c>
      <c r="F24" s="15">
        <f t="shared" si="2"/>
        <v>1105</v>
      </c>
      <c r="G24" s="3"/>
      <c r="H24" s="3"/>
      <c r="I24" s="15">
        <f>7000/15</f>
        <v>466.6666667</v>
      </c>
      <c r="J24" s="15">
        <f t="shared" si="3"/>
        <v>466.6666667</v>
      </c>
      <c r="K24" s="15">
        <f t="shared" si="4"/>
        <v>638.3333333</v>
      </c>
      <c r="L24" s="116">
        <f t="shared" si="5"/>
        <v>0.6383333333</v>
      </c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91">
        <v>1.0</v>
      </c>
      <c r="B25" s="92" t="s">
        <v>38</v>
      </c>
      <c r="C25" s="93" t="s">
        <v>47</v>
      </c>
      <c r="D25" s="22">
        <v>13000.0</v>
      </c>
      <c r="E25" s="15">
        <f t="shared" si="1"/>
        <v>13000</v>
      </c>
      <c r="F25" s="15">
        <f t="shared" si="2"/>
        <v>14365</v>
      </c>
      <c r="G25" s="3"/>
      <c r="H25" s="3"/>
      <c r="I25" s="22">
        <v>8000.0</v>
      </c>
      <c r="J25" s="15">
        <f t="shared" si="3"/>
        <v>8000</v>
      </c>
      <c r="K25" s="15">
        <f t="shared" si="4"/>
        <v>6365</v>
      </c>
      <c r="L25" s="116">
        <f t="shared" si="5"/>
        <v>0.4896153846</v>
      </c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91">
        <v>1.0</v>
      </c>
      <c r="B26" s="92" t="s">
        <v>50</v>
      </c>
      <c r="C26" s="93" t="s">
        <v>89</v>
      </c>
      <c r="D26" s="22">
        <v>6000.0</v>
      </c>
      <c r="E26" s="15">
        <f t="shared" si="1"/>
        <v>6000</v>
      </c>
      <c r="F26" s="15">
        <f t="shared" si="2"/>
        <v>6630</v>
      </c>
      <c r="G26" s="3"/>
      <c r="H26" s="3"/>
      <c r="I26" s="22">
        <f>45000/11</f>
        <v>4090.909091</v>
      </c>
      <c r="J26" s="15">
        <f t="shared" si="3"/>
        <v>4090.909091</v>
      </c>
      <c r="K26" s="15">
        <f t="shared" si="4"/>
        <v>2539.090909</v>
      </c>
      <c r="L26" s="116">
        <f t="shared" si="5"/>
        <v>0.4231818182</v>
      </c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91">
        <v>2.0</v>
      </c>
      <c r="B27" s="10" t="s">
        <v>33</v>
      </c>
      <c r="C27" s="93" t="s">
        <v>57</v>
      </c>
      <c r="D27" s="22">
        <v>8500.0</v>
      </c>
      <c r="E27" s="15">
        <f t="shared" si="1"/>
        <v>17000</v>
      </c>
      <c r="F27" s="15">
        <f t="shared" si="2"/>
        <v>18785</v>
      </c>
      <c r="G27" s="3"/>
      <c r="H27" s="3"/>
      <c r="I27" s="15">
        <f>30000/4</f>
        <v>7500</v>
      </c>
      <c r="J27" s="15">
        <f t="shared" si="3"/>
        <v>15000</v>
      </c>
      <c r="K27" s="15">
        <f t="shared" si="4"/>
        <v>3785</v>
      </c>
      <c r="L27" s="116">
        <f t="shared" si="5"/>
        <v>0.2226470588</v>
      </c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91">
        <v>2.0</v>
      </c>
      <c r="B28" s="92" t="s">
        <v>5</v>
      </c>
      <c r="C28" s="93" t="s">
        <v>176</v>
      </c>
      <c r="D28" s="22">
        <v>900.0</v>
      </c>
      <c r="E28" s="15">
        <f t="shared" si="1"/>
        <v>1800</v>
      </c>
      <c r="F28" s="15">
        <f t="shared" si="2"/>
        <v>1989</v>
      </c>
      <c r="G28" s="3"/>
      <c r="H28" s="3"/>
      <c r="I28" s="22">
        <v>560.0</v>
      </c>
      <c r="J28" s="15">
        <f t="shared" si="3"/>
        <v>1120</v>
      </c>
      <c r="K28" s="15">
        <f t="shared" si="4"/>
        <v>869</v>
      </c>
      <c r="L28" s="116">
        <f t="shared" si="5"/>
        <v>0.4827777778</v>
      </c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91">
        <v>0.6</v>
      </c>
      <c r="B29" s="10" t="s">
        <v>33</v>
      </c>
      <c r="C29" s="93" t="s">
        <v>23</v>
      </c>
      <c r="D29" s="22">
        <v>1400.0</v>
      </c>
      <c r="E29" s="15">
        <f t="shared" si="1"/>
        <v>840</v>
      </c>
      <c r="F29" s="15">
        <f t="shared" si="2"/>
        <v>928.2</v>
      </c>
      <c r="G29" s="3"/>
      <c r="H29" s="3"/>
      <c r="I29" s="15">
        <f>1000</f>
        <v>1000</v>
      </c>
      <c r="J29" s="15">
        <f t="shared" si="3"/>
        <v>600</v>
      </c>
      <c r="K29" s="15">
        <f t="shared" si="4"/>
        <v>328.2</v>
      </c>
      <c r="L29" s="116">
        <f t="shared" si="5"/>
        <v>0.3907142857</v>
      </c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91">
        <v>1.0</v>
      </c>
      <c r="B30" s="92" t="s">
        <v>33</v>
      </c>
      <c r="C30" s="93" t="s">
        <v>22</v>
      </c>
      <c r="D30" s="22">
        <v>1000.0</v>
      </c>
      <c r="E30" s="15">
        <f t="shared" si="1"/>
        <v>1000</v>
      </c>
      <c r="F30" s="15">
        <f t="shared" si="2"/>
        <v>1105</v>
      </c>
      <c r="G30" s="3"/>
      <c r="H30" s="3"/>
      <c r="I30" s="15">
        <f>7000/15</f>
        <v>466.6666667</v>
      </c>
      <c r="J30" s="15">
        <f t="shared" si="3"/>
        <v>466.6666667</v>
      </c>
      <c r="K30" s="15">
        <f t="shared" si="4"/>
        <v>638.3333333</v>
      </c>
      <c r="L30" s="116">
        <f t="shared" si="5"/>
        <v>0.6383333333</v>
      </c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91">
        <v>2.0</v>
      </c>
      <c r="B31" s="92" t="s">
        <v>5</v>
      </c>
      <c r="C31" s="93" t="s">
        <v>95</v>
      </c>
      <c r="D31" s="22">
        <v>2500.0</v>
      </c>
      <c r="E31" s="15">
        <f t="shared" si="1"/>
        <v>5000</v>
      </c>
      <c r="F31" s="15">
        <f t="shared" si="2"/>
        <v>5525</v>
      </c>
      <c r="G31" s="3"/>
      <c r="H31" s="3"/>
      <c r="I31" s="15">
        <f>13000/8</f>
        <v>1625</v>
      </c>
      <c r="J31" s="15">
        <f t="shared" si="3"/>
        <v>3250</v>
      </c>
      <c r="K31" s="15">
        <f t="shared" si="4"/>
        <v>2275</v>
      </c>
      <c r="L31" s="116">
        <f t="shared" si="5"/>
        <v>0.455</v>
      </c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91">
        <v>3.0</v>
      </c>
      <c r="B32" s="10" t="s">
        <v>33</v>
      </c>
      <c r="C32" s="93" t="s">
        <v>69</v>
      </c>
      <c r="D32" s="22">
        <v>2000.0</v>
      </c>
      <c r="E32" s="15">
        <f t="shared" si="1"/>
        <v>6000</v>
      </c>
      <c r="F32" s="15">
        <f t="shared" si="2"/>
        <v>6630</v>
      </c>
      <c r="G32" s="3"/>
      <c r="H32" s="3"/>
      <c r="I32" s="15">
        <f>15000/9</f>
        <v>1666.666667</v>
      </c>
      <c r="J32" s="15">
        <f t="shared" si="3"/>
        <v>5000</v>
      </c>
      <c r="K32" s="15">
        <f t="shared" si="4"/>
        <v>1630</v>
      </c>
      <c r="L32" s="116">
        <f t="shared" si="5"/>
        <v>0.2716666667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91">
        <v>3.0</v>
      </c>
      <c r="B33" s="92" t="s">
        <v>33</v>
      </c>
      <c r="C33" s="93" t="s">
        <v>278</v>
      </c>
      <c r="D33" s="22">
        <v>3200.0</v>
      </c>
      <c r="E33" s="15">
        <f t="shared" si="1"/>
        <v>9600</v>
      </c>
      <c r="F33" s="15">
        <f t="shared" si="2"/>
        <v>10608</v>
      </c>
      <c r="G33" s="3"/>
      <c r="H33" s="3"/>
      <c r="I33" s="15">
        <f>38000/14</f>
        <v>2714.285714</v>
      </c>
      <c r="J33" s="15">
        <f t="shared" si="3"/>
        <v>8142.857143</v>
      </c>
      <c r="K33" s="15">
        <f t="shared" si="4"/>
        <v>2465.142857</v>
      </c>
      <c r="L33" s="116">
        <f t="shared" si="5"/>
        <v>0.2567857143</v>
      </c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83">
        <v>2.0</v>
      </c>
      <c r="B34" s="84" t="s">
        <v>33</v>
      </c>
      <c r="C34" s="85" t="s">
        <v>56</v>
      </c>
      <c r="D34" s="22">
        <v>2200.0</v>
      </c>
      <c r="E34" s="15">
        <f t="shared" si="1"/>
        <v>4400</v>
      </c>
      <c r="F34" s="15">
        <f t="shared" si="2"/>
        <v>4862</v>
      </c>
      <c r="G34" s="101"/>
      <c r="H34" s="101"/>
      <c r="I34" s="22">
        <f>28000/17</f>
        <v>1647.058824</v>
      </c>
      <c r="J34" s="15">
        <f t="shared" si="3"/>
        <v>3294.117647</v>
      </c>
      <c r="K34" s="15">
        <f t="shared" si="4"/>
        <v>1567.882353</v>
      </c>
      <c r="L34" s="110">
        <f t="shared" si="5"/>
        <v>0.3563368984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83">
        <v>2.0</v>
      </c>
      <c r="B35" s="84" t="s">
        <v>50</v>
      </c>
      <c r="C35" s="85" t="s">
        <v>235</v>
      </c>
      <c r="D35" s="22">
        <v>3000.0</v>
      </c>
      <c r="E35" s="15">
        <f t="shared" si="1"/>
        <v>6000</v>
      </c>
      <c r="F35" s="15">
        <f t="shared" si="2"/>
        <v>6630</v>
      </c>
      <c r="G35" s="101"/>
      <c r="H35" s="101"/>
      <c r="I35" s="22">
        <v>2000.0</v>
      </c>
      <c r="J35" s="15">
        <f t="shared" si="3"/>
        <v>4000</v>
      </c>
      <c r="K35" s="15">
        <f t="shared" si="4"/>
        <v>2630</v>
      </c>
      <c r="L35" s="110">
        <f t="shared" si="5"/>
        <v>0.4383333333</v>
      </c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83">
        <v>2.0</v>
      </c>
      <c r="B36" s="84" t="s">
        <v>18</v>
      </c>
      <c r="C36" s="85" t="s">
        <v>54</v>
      </c>
      <c r="D36" s="22">
        <v>24000.0</v>
      </c>
      <c r="E36" s="15">
        <f t="shared" si="1"/>
        <v>48000</v>
      </c>
      <c r="F36" s="15">
        <f t="shared" si="2"/>
        <v>53040</v>
      </c>
      <c r="G36" s="101"/>
      <c r="H36" s="101"/>
      <c r="I36" s="22">
        <v>20000.0</v>
      </c>
      <c r="J36" s="15">
        <f t="shared" si="3"/>
        <v>40000</v>
      </c>
      <c r="K36" s="15">
        <f t="shared" si="4"/>
        <v>13040</v>
      </c>
      <c r="L36" s="110">
        <f t="shared" si="5"/>
        <v>0.2716666667</v>
      </c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83">
        <v>0.5</v>
      </c>
      <c r="B37" s="84" t="s">
        <v>18</v>
      </c>
      <c r="C37" s="85" t="s">
        <v>78</v>
      </c>
      <c r="D37" s="22">
        <v>70000.0</v>
      </c>
      <c r="E37" s="15">
        <f t="shared" si="1"/>
        <v>35000</v>
      </c>
      <c r="F37" s="15">
        <f t="shared" si="2"/>
        <v>38675</v>
      </c>
      <c r="G37" s="101"/>
      <c r="H37" s="101"/>
      <c r="I37" s="22">
        <v>65000.0</v>
      </c>
      <c r="J37" s="15">
        <f t="shared" si="3"/>
        <v>32500</v>
      </c>
      <c r="K37" s="15">
        <f t="shared" si="4"/>
        <v>6175</v>
      </c>
      <c r="L37" s="110">
        <f t="shared" si="5"/>
        <v>0.1764285714</v>
      </c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83">
        <v>0.5</v>
      </c>
      <c r="B38" s="84" t="s">
        <v>18</v>
      </c>
      <c r="C38" s="85" t="s">
        <v>232</v>
      </c>
      <c r="D38" s="22">
        <v>65000.0</v>
      </c>
      <c r="E38" s="15">
        <f t="shared" si="1"/>
        <v>32500</v>
      </c>
      <c r="F38" s="15">
        <f t="shared" si="2"/>
        <v>35912.5</v>
      </c>
      <c r="G38" s="101"/>
      <c r="H38" s="101"/>
      <c r="I38" s="22">
        <f>60000</f>
        <v>60000</v>
      </c>
      <c r="J38" s="15">
        <f t="shared" si="3"/>
        <v>30000</v>
      </c>
      <c r="K38" s="15">
        <f t="shared" si="4"/>
        <v>5912.5</v>
      </c>
      <c r="L38" s="110">
        <f t="shared" si="5"/>
        <v>0.1819230769</v>
      </c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103"/>
      <c r="B39" s="101"/>
      <c r="C39" s="104"/>
      <c r="D39" s="101"/>
      <c r="E39" s="101"/>
      <c r="F39" s="101"/>
      <c r="G39" s="101"/>
      <c r="H39" s="101"/>
      <c r="I39" s="101"/>
      <c r="J39" s="101"/>
      <c r="K39" s="101"/>
      <c r="L39" s="105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103"/>
      <c r="B40" s="101"/>
      <c r="C40" s="104"/>
      <c r="D40" s="22" t="s">
        <v>13</v>
      </c>
      <c r="E40" s="15">
        <f t="shared" ref="E40:F40" si="6">SUM(E6:E38)</f>
        <v>385140</v>
      </c>
      <c r="F40" s="15">
        <f t="shared" si="6"/>
        <v>425579.7</v>
      </c>
      <c r="G40" s="101"/>
      <c r="H40" s="101"/>
      <c r="I40" s="101"/>
      <c r="J40" s="101"/>
      <c r="K40" s="15">
        <f>SUM(K6:K38)</f>
        <v>152998.3427</v>
      </c>
      <c r="L40" s="110">
        <f>IFERROR(K40/E40, 0)</f>
        <v>0.3972538369</v>
      </c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83"/>
      <c r="B41" s="84"/>
      <c r="C41" s="85"/>
      <c r="D41" s="22"/>
      <c r="E41" s="15"/>
      <c r="F41" s="15"/>
      <c r="G41" s="101"/>
      <c r="H41" s="101"/>
      <c r="I41" s="22"/>
      <c r="J41" s="15"/>
      <c r="K41" s="15"/>
      <c r="L41" s="36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83"/>
      <c r="B42" s="84"/>
      <c r="C42" s="85"/>
      <c r="D42" s="22"/>
      <c r="E42" s="15"/>
      <c r="F42" s="15"/>
      <c r="G42" s="101"/>
      <c r="H42" s="101"/>
      <c r="I42" s="22"/>
      <c r="J42" s="15"/>
      <c r="K42" s="15"/>
      <c r="L42" s="36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5" t="s">
        <v>350</v>
      </c>
      <c r="E43" s="86" t="s">
        <v>44</v>
      </c>
      <c r="F43" s="82">
        <v>46073.0</v>
      </c>
      <c r="G43" s="6"/>
      <c r="H43" s="3"/>
      <c r="I43" s="8" t="s">
        <v>3</v>
      </c>
      <c r="L43" s="4"/>
      <c r="M43" s="2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"/>
      <c r="B44" s="3"/>
      <c r="C44" s="9"/>
      <c r="D44" s="3"/>
      <c r="E44" s="3"/>
      <c r="F44" s="3"/>
      <c r="G44" s="3"/>
      <c r="H44" s="3"/>
      <c r="I44" s="3"/>
      <c r="J44" s="3"/>
      <c r="K44" s="3"/>
      <c r="L44" s="4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5" t="s">
        <v>4</v>
      </c>
      <c r="B45" s="10" t="s">
        <v>5</v>
      </c>
      <c r="C45" s="96" t="s">
        <v>6</v>
      </c>
      <c r="D45" s="10" t="s">
        <v>7</v>
      </c>
      <c r="E45" s="10" t="s">
        <v>8</v>
      </c>
      <c r="F45" s="10" t="s">
        <v>9</v>
      </c>
      <c r="G45" s="101"/>
      <c r="H45" s="101"/>
      <c r="I45" s="10" t="s">
        <v>260</v>
      </c>
      <c r="J45" s="10" t="s">
        <v>8</v>
      </c>
      <c r="K45" s="10" t="s">
        <v>10</v>
      </c>
      <c r="L45" s="102"/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83">
        <v>1.0</v>
      </c>
      <c r="B46" s="84" t="s">
        <v>38</v>
      </c>
      <c r="C46" s="85" t="s">
        <v>179</v>
      </c>
      <c r="D46" s="22">
        <v>21000.0</v>
      </c>
      <c r="E46" s="15">
        <f t="shared" ref="E46:E69" si="7">A46*D46</f>
        <v>21000</v>
      </c>
      <c r="F46" s="15">
        <f t="shared" ref="F46:F68" si="8">E46*1.105</f>
        <v>23205</v>
      </c>
      <c r="G46" s="101"/>
      <c r="H46" s="101"/>
      <c r="I46" s="22">
        <v>18000.0</v>
      </c>
      <c r="J46" s="15">
        <f t="shared" ref="J46:J69" si="9">I46*A46</f>
        <v>18000</v>
      </c>
      <c r="K46" s="15">
        <f t="shared" ref="K46:K69" si="10">F46-J46</f>
        <v>5205</v>
      </c>
      <c r="L46" s="110">
        <f t="shared" ref="L46:L69" si="11">IFERROR(K46/E46, 0)</f>
        <v>0.2478571429</v>
      </c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83">
        <v>7.0</v>
      </c>
      <c r="B47" s="84" t="s">
        <v>33</v>
      </c>
      <c r="C47" s="85" t="s">
        <v>45</v>
      </c>
      <c r="D47" s="22">
        <v>1000.0</v>
      </c>
      <c r="E47" s="15">
        <f t="shared" si="7"/>
        <v>7000</v>
      </c>
      <c r="F47" s="15">
        <f t="shared" si="8"/>
        <v>7735</v>
      </c>
      <c r="G47" s="101"/>
      <c r="H47" s="101"/>
      <c r="I47" s="87">
        <f>10000/16</f>
        <v>625</v>
      </c>
      <c r="J47" s="15">
        <f t="shared" si="9"/>
        <v>4375</v>
      </c>
      <c r="K47" s="15">
        <f t="shared" si="10"/>
        <v>3360</v>
      </c>
      <c r="L47" s="110">
        <f t="shared" si="11"/>
        <v>0.48</v>
      </c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83">
        <v>0.9</v>
      </c>
      <c r="B48" s="84" t="s">
        <v>33</v>
      </c>
      <c r="C48" s="85" t="s">
        <v>24</v>
      </c>
      <c r="D48" s="22">
        <v>4000.0</v>
      </c>
      <c r="E48" s="15">
        <f t="shared" si="7"/>
        <v>3600</v>
      </c>
      <c r="F48" s="15">
        <f t="shared" si="8"/>
        <v>3978</v>
      </c>
      <c r="G48" s="101"/>
      <c r="H48" s="101"/>
      <c r="I48" s="22">
        <f>28000/8</f>
        <v>3500</v>
      </c>
      <c r="J48" s="15">
        <f t="shared" si="9"/>
        <v>3150</v>
      </c>
      <c r="K48" s="15">
        <f t="shared" si="10"/>
        <v>828</v>
      </c>
      <c r="L48" s="110">
        <f t="shared" si="11"/>
        <v>0.23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83">
        <v>4.0</v>
      </c>
      <c r="B49" s="84" t="s">
        <v>33</v>
      </c>
      <c r="C49" s="85" t="s">
        <v>67</v>
      </c>
      <c r="D49" s="22">
        <v>800.0</v>
      </c>
      <c r="E49" s="15">
        <f t="shared" si="7"/>
        <v>3200</v>
      </c>
      <c r="F49" s="15">
        <f t="shared" si="8"/>
        <v>3536</v>
      </c>
      <c r="G49" s="101"/>
      <c r="H49" s="101"/>
      <c r="I49" s="22">
        <f>9000/17</f>
        <v>529.4117647</v>
      </c>
      <c r="J49" s="15">
        <f t="shared" si="9"/>
        <v>2117.647059</v>
      </c>
      <c r="K49" s="15">
        <f t="shared" si="10"/>
        <v>1418.352941</v>
      </c>
      <c r="L49" s="110">
        <f t="shared" si="11"/>
        <v>0.4432352941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83">
        <v>5.0</v>
      </c>
      <c r="B50" s="84" t="s">
        <v>33</v>
      </c>
      <c r="C50" s="85" t="s">
        <v>64</v>
      </c>
      <c r="D50" s="22">
        <v>2300.0</v>
      </c>
      <c r="E50" s="15">
        <f t="shared" si="7"/>
        <v>11500</v>
      </c>
      <c r="F50" s="15">
        <f t="shared" si="8"/>
        <v>12707.5</v>
      </c>
      <c r="G50" s="101"/>
      <c r="H50" s="101"/>
      <c r="I50" s="22">
        <f>20000/15</f>
        <v>1333.333333</v>
      </c>
      <c r="J50" s="15">
        <f t="shared" si="9"/>
        <v>6666.666667</v>
      </c>
      <c r="K50" s="15">
        <f t="shared" si="10"/>
        <v>6040.833333</v>
      </c>
      <c r="L50" s="110">
        <f t="shared" si="11"/>
        <v>0.5252898551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84" t="s">
        <v>50</v>
      </c>
      <c r="C51" s="85" t="s">
        <v>65</v>
      </c>
      <c r="D51" s="22">
        <v>500.0</v>
      </c>
      <c r="E51" s="15">
        <f t="shared" si="7"/>
        <v>500</v>
      </c>
      <c r="F51" s="15">
        <f t="shared" si="8"/>
        <v>552.5</v>
      </c>
      <c r="G51" s="101"/>
      <c r="H51" s="101"/>
      <c r="I51" s="22">
        <f>6000/24</f>
        <v>250</v>
      </c>
      <c r="J51" s="15">
        <f t="shared" si="9"/>
        <v>250</v>
      </c>
      <c r="K51" s="15">
        <f t="shared" si="10"/>
        <v>302.5</v>
      </c>
      <c r="L51" s="110">
        <f t="shared" si="11"/>
        <v>0.605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1.0</v>
      </c>
      <c r="B52" s="84" t="s">
        <v>50</v>
      </c>
      <c r="C52" s="85" t="s">
        <v>89</v>
      </c>
      <c r="D52" s="22">
        <v>6000.0</v>
      </c>
      <c r="E52" s="15">
        <f t="shared" si="7"/>
        <v>6000</v>
      </c>
      <c r="F52" s="15">
        <f t="shared" si="8"/>
        <v>6630</v>
      </c>
      <c r="G52" s="101"/>
      <c r="H52" s="113"/>
      <c r="I52" s="22">
        <v>4100.0</v>
      </c>
      <c r="J52" s="15">
        <f t="shared" si="9"/>
        <v>4100</v>
      </c>
      <c r="K52" s="15">
        <f t="shared" si="10"/>
        <v>2530</v>
      </c>
      <c r="L52" s="110">
        <f t="shared" si="11"/>
        <v>0.4216666667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1.0</v>
      </c>
      <c r="B53" s="84" t="s">
        <v>33</v>
      </c>
      <c r="C53" s="85" t="s">
        <v>180</v>
      </c>
      <c r="D53" s="22">
        <v>1600.0</v>
      </c>
      <c r="E53" s="15">
        <f t="shared" si="7"/>
        <v>1600</v>
      </c>
      <c r="F53" s="15">
        <f t="shared" si="8"/>
        <v>1768</v>
      </c>
      <c r="G53" s="101"/>
      <c r="H53" s="101"/>
      <c r="I53" s="22">
        <f>10500/12</f>
        <v>875</v>
      </c>
      <c r="J53" s="15">
        <f t="shared" si="9"/>
        <v>875</v>
      </c>
      <c r="K53" s="15">
        <f t="shared" si="10"/>
        <v>893</v>
      </c>
      <c r="L53" s="110">
        <f t="shared" si="11"/>
        <v>0.558125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1.0</v>
      </c>
      <c r="B54" s="84" t="s">
        <v>33</v>
      </c>
      <c r="C54" s="85" t="s">
        <v>345</v>
      </c>
      <c r="D54" s="22">
        <v>1000.0</v>
      </c>
      <c r="E54" s="15">
        <f t="shared" si="7"/>
        <v>1000</v>
      </c>
      <c r="F54" s="15">
        <f t="shared" si="8"/>
        <v>1105</v>
      </c>
      <c r="G54" s="101"/>
      <c r="H54" s="101"/>
      <c r="I54" s="22">
        <f>10000/15</f>
        <v>666.6666667</v>
      </c>
      <c r="J54" s="15">
        <f t="shared" si="9"/>
        <v>666.6666667</v>
      </c>
      <c r="K54" s="15">
        <f t="shared" si="10"/>
        <v>438.3333333</v>
      </c>
      <c r="L54" s="110">
        <f t="shared" si="11"/>
        <v>0.4383333333</v>
      </c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1.0</v>
      </c>
      <c r="B55" s="84" t="s">
        <v>33</v>
      </c>
      <c r="C55" s="85" t="s">
        <v>72</v>
      </c>
      <c r="D55" s="22">
        <v>2600.0</v>
      </c>
      <c r="E55" s="15">
        <f t="shared" si="7"/>
        <v>2600</v>
      </c>
      <c r="F55" s="15">
        <f t="shared" si="8"/>
        <v>2873</v>
      </c>
      <c r="G55" s="101"/>
      <c r="H55" s="101"/>
      <c r="I55" s="22">
        <f>30000/15</f>
        <v>2000</v>
      </c>
      <c r="J55" s="15">
        <f t="shared" si="9"/>
        <v>2000</v>
      </c>
      <c r="K55" s="15">
        <f t="shared" si="10"/>
        <v>873</v>
      </c>
      <c r="L55" s="110">
        <f t="shared" si="11"/>
        <v>0.3357692308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83">
        <v>2.0</v>
      </c>
      <c r="B56" s="84" t="s">
        <v>33</v>
      </c>
      <c r="C56" s="85" t="s">
        <v>47</v>
      </c>
      <c r="D56" s="22">
        <v>1400.0</v>
      </c>
      <c r="E56" s="15">
        <f t="shared" si="7"/>
        <v>2800</v>
      </c>
      <c r="F56" s="15">
        <f t="shared" si="8"/>
        <v>3094</v>
      </c>
      <c r="G56" s="101"/>
      <c r="H56" s="101"/>
      <c r="I56" s="22">
        <f>8000/8</f>
        <v>1000</v>
      </c>
      <c r="J56" s="15">
        <f t="shared" si="9"/>
        <v>2000</v>
      </c>
      <c r="K56" s="15">
        <f t="shared" si="10"/>
        <v>1094</v>
      </c>
      <c r="L56" s="110">
        <f t="shared" si="11"/>
        <v>0.3907142857</v>
      </c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83">
        <v>1.0</v>
      </c>
      <c r="B57" s="84" t="s">
        <v>33</v>
      </c>
      <c r="C57" s="85" t="s">
        <v>23</v>
      </c>
      <c r="D57" s="22">
        <v>1400.0</v>
      </c>
      <c r="E57" s="15">
        <f t="shared" si="7"/>
        <v>1400</v>
      </c>
      <c r="F57" s="15">
        <f t="shared" si="8"/>
        <v>1547</v>
      </c>
      <c r="G57" s="101"/>
      <c r="H57" s="101"/>
      <c r="I57" s="22">
        <v>1000.0</v>
      </c>
      <c r="J57" s="15">
        <f t="shared" si="9"/>
        <v>1000</v>
      </c>
      <c r="K57" s="15">
        <f t="shared" si="10"/>
        <v>547</v>
      </c>
      <c r="L57" s="110">
        <f t="shared" si="11"/>
        <v>0.3907142857</v>
      </c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83">
        <v>1.0</v>
      </c>
      <c r="B58" s="84" t="s">
        <v>50</v>
      </c>
      <c r="C58" s="85" t="s">
        <v>16</v>
      </c>
      <c r="D58" s="22">
        <v>1000.0</v>
      </c>
      <c r="E58" s="15">
        <f t="shared" si="7"/>
        <v>1000</v>
      </c>
      <c r="F58" s="15">
        <f t="shared" si="8"/>
        <v>1105</v>
      </c>
      <c r="G58" s="101"/>
      <c r="H58" s="101"/>
      <c r="I58" s="22">
        <f>5000/12</f>
        <v>416.6666667</v>
      </c>
      <c r="J58" s="15">
        <f t="shared" si="9"/>
        <v>416.6666667</v>
      </c>
      <c r="K58" s="15">
        <f t="shared" si="10"/>
        <v>688.3333333</v>
      </c>
      <c r="L58" s="110">
        <f t="shared" si="11"/>
        <v>0.6883333333</v>
      </c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83">
        <v>0.45</v>
      </c>
      <c r="B59" s="84" t="s">
        <v>33</v>
      </c>
      <c r="C59" s="85" t="s">
        <v>177</v>
      </c>
      <c r="D59" s="22">
        <v>1000.0</v>
      </c>
      <c r="E59" s="15">
        <f t="shared" si="7"/>
        <v>450</v>
      </c>
      <c r="F59" s="15">
        <f t="shared" si="8"/>
        <v>497.25</v>
      </c>
      <c r="G59" s="101"/>
      <c r="H59" s="101"/>
      <c r="I59" s="87">
        <f>7000/15</f>
        <v>466.6666667</v>
      </c>
      <c r="J59" s="15">
        <f t="shared" si="9"/>
        <v>210</v>
      </c>
      <c r="K59" s="15">
        <f t="shared" si="10"/>
        <v>287.25</v>
      </c>
      <c r="L59" s="110">
        <f t="shared" si="11"/>
        <v>0.6383333333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83">
        <v>1.0</v>
      </c>
      <c r="B60" s="84" t="s">
        <v>33</v>
      </c>
      <c r="C60" s="85" t="s">
        <v>55</v>
      </c>
      <c r="D60" s="22">
        <v>2800.0</v>
      </c>
      <c r="E60" s="15">
        <f t="shared" si="7"/>
        <v>2800</v>
      </c>
      <c r="F60" s="15">
        <f t="shared" si="8"/>
        <v>3094</v>
      </c>
      <c r="G60" s="101"/>
      <c r="H60" s="101"/>
      <c r="I60" s="22">
        <f>15000/18</f>
        <v>833.3333333</v>
      </c>
      <c r="J60" s="15">
        <f t="shared" si="9"/>
        <v>833.3333333</v>
      </c>
      <c r="K60" s="15">
        <f t="shared" si="10"/>
        <v>2260.666667</v>
      </c>
      <c r="L60" s="110">
        <f t="shared" si="11"/>
        <v>0.8073809524</v>
      </c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83">
        <v>4.0</v>
      </c>
      <c r="B61" s="84" t="s">
        <v>33</v>
      </c>
      <c r="C61" s="85" t="s">
        <v>351</v>
      </c>
      <c r="D61" s="22">
        <v>1600.0</v>
      </c>
      <c r="E61" s="15">
        <f t="shared" si="7"/>
        <v>6400</v>
      </c>
      <c r="F61" s="15">
        <f t="shared" si="8"/>
        <v>7072</v>
      </c>
      <c r="G61" s="101"/>
      <c r="H61" s="101"/>
      <c r="I61" s="22">
        <f>20000/15</f>
        <v>1333.333333</v>
      </c>
      <c r="J61" s="15">
        <f t="shared" si="9"/>
        <v>5333.333333</v>
      </c>
      <c r="K61" s="15">
        <f t="shared" si="10"/>
        <v>1738.666667</v>
      </c>
      <c r="L61" s="110">
        <f t="shared" si="11"/>
        <v>0.2716666667</v>
      </c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83">
        <v>1.0</v>
      </c>
      <c r="B62" s="84" t="s">
        <v>33</v>
      </c>
      <c r="C62" s="85" t="s">
        <v>232</v>
      </c>
      <c r="D62" s="22">
        <v>4000.0</v>
      </c>
      <c r="E62" s="15">
        <f t="shared" si="7"/>
        <v>4000</v>
      </c>
      <c r="F62" s="15">
        <f t="shared" si="8"/>
        <v>4420</v>
      </c>
      <c r="G62" s="101"/>
      <c r="H62" s="101"/>
      <c r="I62" s="22">
        <f>60000/18</f>
        <v>3333.333333</v>
      </c>
      <c r="J62" s="15">
        <f t="shared" si="9"/>
        <v>3333.333333</v>
      </c>
      <c r="K62" s="15">
        <f t="shared" si="10"/>
        <v>1086.666667</v>
      </c>
      <c r="L62" s="110">
        <f t="shared" si="11"/>
        <v>0.2716666667</v>
      </c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>
      <c r="A63" s="83">
        <v>2.0</v>
      </c>
      <c r="B63" s="84" t="s">
        <v>33</v>
      </c>
      <c r="C63" s="85" t="s">
        <v>78</v>
      </c>
      <c r="D63" s="22">
        <v>4500.0</v>
      </c>
      <c r="E63" s="15">
        <f t="shared" si="7"/>
        <v>9000</v>
      </c>
      <c r="F63" s="15">
        <f t="shared" si="8"/>
        <v>9945</v>
      </c>
      <c r="G63" s="101"/>
      <c r="H63" s="101"/>
      <c r="I63" s="22">
        <f>65000/18</f>
        <v>3611.111111</v>
      </c>
      <c r="J63" s="15">
        <f t="shared" si="9"/>
        <v>7222.222222</v>
      </c>
      <c r="K63" s="15">
        <f t="shared" si="10"/>
        <v>2722.777778</v>
      </c>
      <c r="L63" s="110">
        <f t="shared" si="11"/>
        <v>0.3025308642</v>
      </c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83">
        <v>1.0</v>
      </c>
      <c r="B64" s="84" t="s">
        <v>33</v>
      </c>
      <c r="C64" s="85" t="s">
        <v>119</v>
      </c>
      <c r="D64" s="22">
        <v>3000.0</v>
      </c>
      <c r="E64" s="15">
        <f t="shared" si="7"/>
        <v>3000</v>
      </c>
      <c r="F64" s="15">
        <f t="shared" si="8"/>
        <v>3315</v>
      </c>
      <c r="G64" s="101"/>
      <c r="H64" s="101"/>
      <c r="I64" s="22">
        <f>40000/15</f>
        <v>2666.666667</v>
      </c>
      <c r="J64" s="15">
        <f t="shared" si="9"/>
        <v>2666.666667</v>
      </c>
      <c r="K64" s="15">
        <f t="shared" si="10"/>
        <v>648.3333333</v>
      </c>
      <c r="L64" s="110">
        <f t="shared" si="11"/>
        <v>0.2161111111</v>
      </c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83">
        <v>1.0</v>
      </c>
      <c r="B65" s="84" t="s">
        <v>33</v>
      </c>
      <c r="C65" s="85" t="s">
        <v>56</v>
      </c>
      <c r="D65" s="22">
        <v>2200.0</v>
      </c>
      <c r="E65" s="15">
        <f t="shared" si="7"/>
        <v>2200</v>
      </c>
      <c r="F65" s="15">
        <f t="shared" si="8"/>
        <v>2431</v>
      </c>
      <c r="G65" s="101"/>
      <c r="H65" s="101"/>
      <c r="I65" s="87">
        <f>28000/17</f>
        <v>1647.058824</v>
      </c>
      <c r="J65" s="15">
        <f t="shared" si="9"/>
        <v>1647.058824</v>
      </c>
      <c r="K65" s="15">
        <f t="shared" si="10"/>
        <v>783.9411765</v>
      </c>
      <c r="L65" s="110">
        <f t="shared" si="11"/>
        <v>0.3563368984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83">
        <v>1.0</v>
      </c>
      <c r="B66" s="84" t="s">
        <v>33</v>
      </c>
      <c r="C66" s="85" t="s">
        <v>221</v>
      </c>
      <c r="D66" s="22">
        <v>4000.0</v>
      </c>
      <c r="E66" s="15">
        <f t="shared" si="7"/>
        <v>4000</v>
      </c>
      <c r="F66" s="15">
        <f t="shared" si="8"/>
        <v>4420</v>
      </c>
      <c r="G66" s="101"/>
      <c r="H66" s="101"/>
      <c r="I66" s="22">
        <v>3850.0</v>
      </c>
      <c r="J66" s="15">
        <f t="shared" si="9"/>
        <v>3850</v>
      </c>
      <c r="K66" s="15">
        <f t="shared" si="10"/>
        <v>570</v>
      </c>
      <c r="L66" s="110">
        <f t="shared" si="11"/>
        <v>0.1425</v>
      </c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83">
        <v>1.0</v>
      </c>
      <c r="B67" s="84" t="s">
        <v>33</v>
      </c>
      <c r="C67" s="85" t="s">
        <v>213</v>
      </c>
      <c r="D67" s="22">
        <v>4000.0</v>
      </c>
      <c r="E67" s="15">
        <f t="shared" si="7"/>
        <v>4000</v>
      </c>
      <c r="F67" s="15">
        <f t="shared" si="8"/>
        <v>4420</v>
      </c>
      <c r="G67" s="101"/>
      <c r="H67" s="101"/>
      <c r="I67" s="22">
        <f>10500/3</f>
        <v>3500</v>
      </c>
      <c r="J67" s="15">
        <f t="shared" si="9"/>
        <v>3500</v>
      </c>
      <c r="K67" s="15">
        <f t="shared" si="10"/>
        <v>920</v>
      </c>
      <c r="L67" s="110">
        <f t="shared" si="11"/>
        <v>0.23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83">
        <v>1.0</v>
      </c>
      <c r="B68" s="84" t="s">
        <v>33</v>
      </c>
      <c r="C68" s="85" t="s">
        <v>57</v>
      </c>
      <c r="D68" s="22">
        <v>8500.0</v>
      </c>
      <c r="E68" s="15">
        <f t="shared" si="7"/>
        <v>8500</v>
      </c>
      <c r="F68" s="15">
        <f t="shared" si="8"/>
        <v>9392.5</v>
      </c>
      <c r="G68" s="101"/>
      <c r="H68" s="101"/>
      <c r="I68" s="22">
        <f>30000/4</f>
        <v>7500</v>
      </c>
      <c r="J68" s="15">
        <f t="shared" si="9"/>
        <v>7500</v>
      </c>
      <c r="K68" s="15">
        <f t="shared" si="10"/>
        <v>1892.5</v>
      </c>
      <c r="L68" s="110">
        <f t="shared" si="11"/>
        <v>0.2226470588</v>
      </c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83">
        <v>6.0</v>
      </c>
      <c r="B69" s="84" t="s">
        <v>231</v>
      </c>
      <c r="C69" s="85" t="s">
        <v>21</v>
      </c>
      <c r="D69" s="22">
        <v>4500.0</v>
      </c>
      <c r="E69" s="15">
        <f t="shared" si="7"/>
        <v>27000</v>
      </c>
      <c r="F69" s="15">
        <f>E69*1.21</f>
        <v>32670</v>
      </c>
      <c r="G69" s="101"/>
      <c r="H69" s="113"/>
      <c r="I69" s="22">
        <f>52000/12</f>
        <v>4333.333333</v>
      </c>
      <c r="J69" s="15">
        <f t="shared" si="9"/>
        <v>26000</v>
      </c>
      <c r="K69" s="15">
        <f t="shared" si="10"/>
        <v>6670</v>
      </c>
      <c r="L69" s="110">
        <f t="shared" si="11"/>
        <v>0.247037037</v>
      </c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103"/>
      <c r="B70" s="101"/>
      <c r="C70" s="104"/>
      <c r="D70" s="101"/>
      <c r="E70" s="101"/>
      <c r="F70" s="101"/>
      <c r="G70" s="101"/>
      <c r="H70" s="101"/>
      <c r="I70" s="101"/>
      <c r="J70" s="101"/>
      <c r="K70" s="101"/>
      <c r="L70" s="105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103"/>
      <c r="B71" s="101"/>
      <c r="C71" s="104"/>
      <c r="D71" s="101"/>
      <c r="E71" s="15">
        <f t="shared" ref="E71:F71" si="12">SUM(E46:E69)</f>
        <v>134550</v>
      </c>
      <c r="F71" s="15">
        <f t="shared" si="12"/>
        <v>151512.75</v>
      </c>
      <c r="G71" s="101"/>
      <c r="H71" s="101"/>
      <c r="I71" s="101"/>
      <c r="J71" s="101"/>
      <c r="K71" s="15">
        <f>SUM(K46:K69)</f>
        <v>43799.15523</v>
      </c>
      <c r="L71" s="110">
        <f>IFERROR(K71/E71, 0)</f>
        <v>0.3255232644</v>
      </c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88"/>
      <c r="B72" s="88"/>
      <c r="C72" s="88"/>
      <c r="E72" s="86"/>
      <c r="F72" s="82"/>
      <c r="G72" s="86"/>
      <c r="H72" s="3"/>
      <c r="I72" s="8"/>
      <c r="J72" s="8"/>
      <c r="K72" s="8"/>
      <c r="L72" s="4"/>
      <c r="M72" s="2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88"/>
      <c r="B73" s="88"/>
      <c r="C73" s="88"/>
      <c r="E73" s="86"/>
      <c r="F73" s="82"/>
      <c r="G73" s="86"/>
      <c r="H73" s="3"/>
      <c r="I73" s="8"/>
      <c r="J73" s="8"/>
      <c r="K73" s="8"/>
      <c r="L73" s="4"/>
      <c r="M73" s="2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5" t="s">
        <v>352</v>
      </c>
      <c r="D74" s="3"/>
      <c r="E74" s="86" t="s">
        <v>44</v>
      </c>
      <c r="F74" s="7">
        <v>46073.0</v>
      </c>
      <c r="G74" s="3"/>
      <c r="H74" s="3"/>
      <c r="I74" s="8" t="s">
        <v>3</v>
      </c>
      <c r="L74" s="4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1"/>
      <c r="B75" s="3"/>
      <c r="C75" s="9"/>
      <c r="D75" s="3"/>
      <c r="E75" s="3"/>
      <c r="F75" s="3"/>
      <c r="G75" s="3"/>
      <c r="H75" s="3"/>
      <c r="I75" s="3"/>
      <c r="J75" s="3"/>
      <c r="K75" s="3"/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5" t="s">
        <v>4</v>
      </c>
      <c r="B76" s="10" t="s">
        <v>5</v>
      </c>
      <c r="C76" s="96" t="s">
        <v>6</v>
      </c>
      <c r="D76" s="10" t="s">
        <v>7</v>
      </c>
      <c r="E76" s="10" t="s">
        <v>8</v>
      </c>
      <c r="F76" s="10" t="s">
        <v>9</v>
      </c>
      <c r="G76" s="3"/>
      <c r="H76" s="3"/>
      <c r="I76" s="10" t="s">
        <v>260</v>
      </c>
      <c r="J76" s="10" t="s">
        <v>8</v>
      </c>
      <c r="K76" s="10" t="s">
        <v>10</v>
      </c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91">
        <v>1.0</v>
      </c>
      <c r="B77" s="92" t="s">
        <v>18</v>
      </c>
      <c r="C77" s="93" t="s">
        <v>64</v>
      </c>
      <c r="D77" s="22">
        <v>32000.0</v>
      </c>
      <c r="E77" s="15">
        <f t="shared" ref="E77:E117" si="13">A77*D77</f>
        <v>32000</v>
      </c>
      <c r="F77" s="15">
        <f t="shared" ref="F77:F79" si="14">E77*1.105</f>
        <v>35360</v>
      </c>
      <c r="G77" s="3"/>
      <c r="H77" s="3"/>
      <c r="I77" s="15">
        <v>20000.0</v>
      </c>
      <c r="J77" s="15">
        <f t="shared" ref="J77:J117" si="15">I77*A77</f>
        <v>20000</v>
      </c>
      <c r="K77" s="15">
        <f t="shared" ref="K77:K117" si="16">F77-J77</f>
        <v>15360</v>
      </c>
      <c r="L77" s="116">
        <f t="shared" ref="L77:L117" si="17">IFERROR(K77/E77, 0)</f>
        <v>0.48</v>
      </c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91">
        <v>1.0</v>
      </c>
      <c r="B78" s="92" t="s">
        <v>18</v>
      </c>
      <c r="C78" s="93" t="s">
        <v>233</v>
      </c>
      <c r="D78" s="22">
        <v>15000.0</v>
      </c>
      <c r="E78" s="15">
        <f t="shared" si="13"/>
        <v>15000</v>
      </c>
      <c r="F78" s="15">
        <f t="shared" si="14"/>
        <v>16575</v>
      </c>
      <c r="G78" s="3"/>
      <c r="H78" s="3"/>
      <c r="I78" s="15">
        <f>8000</f>
        <v>8000</v>
      </c>
      <c r="J78" s="15">
        <f t="shared" si="15"/>
        <v>8000</v>
      </c>
      <c r="K78" s="15">
        <f t="shared" si="16"/>
        <v>8575</v>
      </c>
      <c r="L78" s="116">
        <f t="shared" si="17"/>
        <v>0.5716666667</v>
      </c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91">
        <v>1.0</v>
      </c>
      <c r="B79" s="92" t="s">
        <v>18</v>
      </c>
      <c r="C79" s="93" t="s">
        <v>65</v>
      </c>
      <c r="D79" s="22">
        <v>10000.0</v>
      </c>
      <c r="E79" s="15">
        <f t="shared" si="13"/>
        <v>10000</v>
      </c>
      <c r="F79" s="15">
        <f t="shared" si="14"/>
        <v>11050</v>
      </c>
      <c r="G79" s="3"/>
      <c r="H79" s="3"/>
      <c r="I79" s="15">
        <v>6000.0</v>
      </c>
      <c r="J79" s="15">
        <f t="shared" si="15"/>
        <v>6000</v>
      </c>
      <c r="K79" s="15">
        <f t="shared" si="16"/>
        <v>5050</v>
      </c>
      <c r="L79" s="116">
        <f t="shared" si="17"/>
        <v>0.505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91">
        <v>1.0</v>
      </c>
      <c r="B80" s="92" t="s">
        <v>18</v>
      </c>
      <c r="C80" s="93" t="s">
        <v>277</v>
      </c>
      <c r="D80" s="22">
        <v>52000.0</v>
      </c>
      <c r="E80" s="15">
        <f t="shared" si="13"/>
        <v>52000</v>
      </c>
      <c r="F80" s="15">
        <f>E80*1.21</f>
        <v>62920</v>
      </c>
      <c r="G80" s="3"/>
      <c r="H80" s="3"/>
      <c r="I80" s="15">
        <v>52000.0</v>
      </c>
      <c r="J80" s="15">
        <f t="shared" si="15"/>
        <v>52000</v>
      </c>
      <c r="K80" s="15">
        <f t="shared" si="16"/>
        <v>10920</v>
      </c>
      <c r="L80" s="116">
        <f t="shared" si="17"/>
        <v>0.21</v>
      </c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91">
        <v>1.0</v>
      </c>
      <c r="B81" s="92" t="s">
        <v>33</v>
      </c>
      <c r="C81" s="93" t="s">
        <v>69</v>
      </c>
      <c r="D81" s="22">
        <v>2000.0</v>
      </c>
      <c r="E81" s="15">
        <f t="shared" si="13"/>
        <v>2000</v>
      </c>
      <c r="F81" s="15">
        <f t="shared" ref="F81:F117" si="18">E81*1.105</f>
        <v>2210</v>
      </c>
      <c r="G81" s="3"/>
      <c r="H81" s="3"/>
      <c r="I81" s="15">
        <f>15000/9</f>
        <v>1666.666667</v>
      </c>
      <c r="J81" s="15">
        <f t="shared" si="15"/>
        <v>1666.666667</v>
      </c>
      <c r="K81" s="15">
        <f t="shared" si="16"/>
        <v>543.3333333</v>
      </c>
      <c r="L81" s="116">
        <f t="shared" si="17"/>
        <v>0.2716666667</v>
      </c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91">
        <v>1.0</v>
      </c>
      <c r="B82" s="92" t="s">
        <v>18</v>
      </c>
      <c r="C82" s="93" t="s">
        <v>103</v>
      </c>
      <c r="D82" s="22">
        <v>16000.0</v>
      </c>
      <c r="E82" s="15">
        <f t="shared" si="13"/>
        <v>16000</v>
      </c>
      <c r="F82" s="15">
        <f t="shared" si="18"/>
        <v>17680</v>
      </c>
      <c r="G82" s="3"/>
      <c r="H82" s="3"/>
      <c r="I82" s="15">
        <v>12000.0</v>
      </c>
      <c r="J82" s="15">
        <f t="shared" si="15"/>
        <v>12000</v>
      </c>
      <c r="K82" s="15">
        <f t="shared" si="16"/>
        <v>5680</v>
      </c>
      <c r="L82" s="116">
        <f t="shared" si="17"/>
        <v>0.355</v>
      </c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91">
        <v>2.0</v>
      </c>
      <c r="B83" s="92" t="s">
        <v>5</v>
      </c>
      <c r="C83" s="93" t="s">
        <v>89</v>
      </c>
      <c r="D83" s="22">
        <v>6000.0</v>
      </c>
      <c r="E83" s="15">
        <f t="shared" si="13"/>
        <v>12000</v>
      </c>
      <c r="F83" s="15">
        <f t="shared" si="18"/>
        <v>13260</v>
      </c>
      <c r="G83" s="3"/>
      <c r="H83" s="3"/>
      <c r="I83" s="15">
        <v>4100.0</v>
      </c>
      <c r="J83" s="15">
        <f t="shared" si="15"/>
        <v>8200</v>
      </c>
      <c r="K83" s="15">
        <f t="shared" si="16"/>
        <v>5060</v>
      </c>
      <c r="L83" s="116">
        <f t="shared" si="17"/>
        <v>0.4216666667</v>
      </c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91">
        <v>2.0</v>
      </c>
      <c r="B84" s="92" t="s">
        <v>50</v>
      </c>
      <c r="C84" s="93" t="s">
        <v>236</v>
      </c>
      <c r="D84" s="22">
        <v>5000.0</v>
      </c>
      <c r="E84" s="15">
        <f t="shared" si="13"/>
        <v>10000</v>
      </c>
      <c r="F84" s="15">
        <f t="shared" si="18"/>
        <v>11050</v>
      </c>
      <c r="G84" s="3"/>
      <c r="H84" s="3"/>
      <c r="I84" s="15">
        <v>5000.0</v>
      </c>
      <c r="J84" s="15">
        <f t="shared" si="15"/>
        <v>10000</v>
      </c>
      <c r="K84" s="15">
        <f t="shared" si="16"/>
        <v>1050</v>
      </c>
      <c r="L84" s="116">
        <f t="shared" si="17"/>
        <v>0.105</v>
      </c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91">
        <v>1.0</v>
      </c>
      <c r="B85" s="92" t="s">
        <v>50</v>
      </c>
      <c r="C85" s="93" t="s">
        <v>171</v>
      </c>
      <c r="D85" s="22">
        <v>3000.0</v>
      </c>
      <c r="E85" s="15">
        <f t="shared" si="13"/>
        <v>3000</v>
      </c>
      <c r="F85" s="15">
        <f t="shared" si="18"/>
        <v>3315</v>
      </c>
      <c r="G85" s="3"/>
      <c r="H85" s="3"/>
      <c r="I85" s="15">
        <v>2000.0</v>
      </c>
      <c r="J85" s="15">
        <f t="shared" si="15"/>
        <v>2000</v>
      </c>
      <c r="K85" s="15">
        <f t="shared" si="16"/>
        <v>1315</v>
      </c>
      <c r="L85" s="116">
        <f t="shared" si="17"/>
        <v>0.4383333333</v>
      </c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91">
        <v>2.0</v>
      </c>
      <c r="B86" s="92" t="s">
        <v>50</v>
      </c>
      <c r="C86" s="93" t="s">
        <v>235</v>
      </c>
      <c r="D86" s="22">
        <v>3000.0</v>
      </c>
      <c r="E86" s="15">
        <f t="shared" si="13"/>
        <v>6000</v>
      </c>
      <c r="F86" s="15">
        <f t="shared" si="18"/>
        <v>6630</v>
      </c>
      <c r="G86" s="3"/>
      <c r="H86" s="3"/>
      <c r="I86" s="15">
        <v>2000.0</v>
      </c>
      <c r="J86" s="15">
        <f t="shared" si="15"/>
        <v>4000</v>
      </c>
      <c r="K86" s="15">
        <f t="shared" si="16"/>
        <v>2630</v>
      </c>
      <c r="L86" s="116">
        <f t="shared" si="17"/>
        <v>0.4383333333</v>
      </c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91">
        <v>1.0</v>
      </c>
      <c r="B87" s="10" t="s">
        <v>50</v>
      </c>
      <c r="C87" s="93" t="s">
        <v>68</v>
      </c>
      <c r="D87" s="22">
        <v>4000.0</v>
      </c>
      <c r="E87" s="15">
        <f t="shared" si="13"/>
        <v>4000</v>
      </c>
      <c r="F87" s="15">
        <f t="shared" si="18"/>
        <v>4420</v>
      </c>
      <c r="G87" s="3"/>
      <c r="H87" s="3"/>
      <c r="I87" s="15">
        <v>1000.0</v>
      </c>
      <c r="J87" s="15">
        <f t="shared" si="15"/>
        <v>1000</v>
      </c>
      <c r="K87" s="15">
        <f t="shared" si="16"/>
        <v>3420</v>
      </c>
      <c r="L87" s="116">
        <f t="shared" si="17"/>
        <v>0.855</v>
      </c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91">
        <v>2.0</v>
      </c>
      <c r="B88" s="92" t="s">
        <v>5</v>
      </c>
      <c r="C88" s="93" t="s">
        <v>176</v>
      </c>
      <c r="D88" s="22">
        <v>900.0</v>
      </c>
      <c r="E88" s="15">
        <f t="shared" si="13"/>
        <v>1800</v>
      </c>
      <c r="F88" s="15">
        <f t="shared" si="18"/>
        <v>1989</v>
      </c>
      <c r="G88" s="3"/>
      <c r="H88" s="3"/>
      <c r="I88" s="15">
        <v>560.0</v>
      </c>
      <c r="J88" s="15">
        <f t="shared" si="15"/>
        <v>1120</v>
      </c>
      <c r="K88" s="15">
        <f t="shared" si="16"/>
        <v>869</v>
      </c>
      <c r="L88" s="116">
        <f t="shared" si="17"/>
        <v>0.4827777778</v>
      </c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91">
        <v>2.0</v>
      </c>
      <c r="B89" s="92" t="s">
        <v>5</v>
      </c>
      <c r="C89" s="93" t="s">
        <v>104</v>
      </c>
      <c r="D89" s="22">
        <v>2500.0</v>
      </c>
      <c r="E89" s="15">
        <f t="shared" si="13"/>
        <v>5000</v>
      </c>
      <c r="F89" s="15">
        <f t="shared" si="18"/>
        <v>5525</v>
      </c>
      <c r="G89" s="3"/>
      <c r="H89" s="3"/>
      <c r="I89" s="15">
        <v>1000.0</v>
      </c>
      <c r="J89" s="15">
        <f t="shared" si="15"/>
        <v>2000</v>
      </c>
      <c r="K89" s="15">
        <f t="shared" si="16"/>
        <v>3525</v>
      </c>
      <c r="L89" s="116">
        <f t="shared" si="17"/>
        <v>0.705</v>
      </c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91">
        <v>2.0</v>
      </c>
      <c r="B90" s="92" t="s">
        <v>33</v>
      </c>
      <c r="C90" s="93" t="s">
        <v>22</v>
      </c>
      <c r="D90" s="22">
        <v>1000.0</v>
      </c>
      <c r="E90" s="15">
        <f t="shared" si="13"/>
        <v>2000</v>
      </c>
      <c r="F90" s="15">
        <f t="shared" si="18"/>
        <v>2210</v>
      </c>
      <c r="G90" s="3"/>
      <c r="H90" s="3"/>
      <c r="I90" s="15">
        <f>7000/15</f>
        <v>466.6666667</v>
      </c>
      <c r="J90" s="15">
        <f t="shared" si="15"/>
        <v>933.3333333</v>
      </c>
      <c r="K90" s="15">
        <f t="shared" si="16"/>
        <v>1276.666667</v>
      </c>
      <c r="L90" s="116">
        <f t="shared" si="17"/>
        <v>0.6383333333</v>
      </c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91">
        <v>1.0</v>
      </c>
      <c r="B91" s="92" t="s">
        <v>33</v>
      </c>
      <c r="C91" s="93" t="s">
        <v>23</v>
      </c>
      <c r="D91" s="22">
        <v>1400.0</v>
      </c>
      <c r="E91" s="15">
        <f t="shared" si="13"/>
        <v>1400</v>
      </c>
      <c r="F91" s="15">
        <f t="shared" si="18"/>
        <v>1547</v>
      </c>
      <c r="G91" s="3"/>
      <c r="H91" s="3"/>
      <c r="I91" s="15">
        <v>1000.0</v>
      </c>
      <c r="J91" s="15">
        <f t="shared" si="15"/>
        <v>1000</v>
      </c>
      <c r="K91" s="15">
        <f t="shared" si="16"/>
        <v>547</v>
      </c>
      <c r="L91" s="116">
        <f t="shared" si="17"/>
        <v>0.3907142857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91">
        <v>2.0</v>
      </c>
      <c r="B92" s="92" t="s">
        <v>5</v>
      </c>
      <c r="C92" s="93" t="s">
        <v>289</v>
      </c>
      <c r="D92" s="22">
        <v>2200.0</v>
      </c>
      <c r="E92" s="15">
        <f t="shared" si="13"/>
        <v>4400</v>
      </c>
      <c r="F92" s="15">
        <f t="shared" si="18"/>
        <v>4862</v>
      </c>
      <c r="G92" s="3"/>
      <c r="H92" s="3"/>
      <c r="I92" s="15">
        <v>1200.0</v>
      </c>
      <c r="J92" s="15">
        <f t="shared" si="15"/>
        <v>2400</v>
      </c>
      <c r="K92" s="15">
        <f t="shared" si="16"/>
        <v>2462</v>
      </c>
      <c r="L92" s="116">
        <f t="shared" si="17"/>
        <v>0.5595454545</v>
      </c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91">
        <v>3.0</v>
      </c>
      <c r="B93" s="92" t="s">
        <v>5</v>
      </c>
      <c r="C93" s="93" t="s">
        <v>95</v>
      </c>
      <c r="D93" s="22">
        <v>2500.0</v>
      </c>
      <c r="E93" s="15">
        <f t="shared" si="13"/>
        <v>7500</v>
      </c>
      <c r="F93" s="15">
        <f t="shared" si="18"/>
        <v>8287.5</v>
      </c>
      <c r="G93" s="3"/>
      <c r="H93" s="3"/>
      <c r="I93" s="15">
        <f>13000/8</f>
        <v>1625</v>
      </c>
      <c r="J93" s="15">
        <f t="shared" si="15"/>
        <v>4875</v>
      </c>
      <c r="K93" s="15">
        <f t="shared" si="16"/>
        <v>3412.5</v>
      </c>
      <c r="L93" s="116">
        <f t="shared" si="17"/>
        <v>0.455</v>
      </c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91">
        <v>1.0</v>
      </c>
      <c r="B94" s="10" t="s">
        <v>33</v>
      </c>
      <c r="C94" s="96" t="s">
        <v>349</v>
      </c>
      <c r="D94" s="22">
        <v>4000.0</v>
      </c>
      <c r="E94" s="15">
        <f t="shared" si="13"/>
        <v>4000</v>
      </c>
      <c r="F94" s="15">
        <f t="shared" si="18"/>
        <v>4420</v>
      </c>
      <c r="G94" s="3"/>
      <c r="H94" s="3"/>
      <c r="I94" s="15">
        <f>22000/8</f>
        <v>2750</v>
      </c>
      <c r="J94" s="15">
        <f t="shared" si="15"/>
        <v>2750</v>
      </c>
      <c r="K94" s="15">
        <f t="shared" si="16"/>
        <v>1670</v>
      </c>
      <c r="L94" s="116">
        <f t="shared" si="17"/>
        <v>0.4175</v>
      </c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91">
        <v>5.0</v>
      </c>
      <c r="B95" s="10" t="s">
        <v>33</v>
      </c>
      <c r="C95" s="93" t="s">
        <v>279</v>
      </c>
      <c r="D95" s="22">
        <v>4000.0</v>
      </c>
      <c r="E95" s="15">
        <f t="shared" si="13"/>
        <v>20000</v>
      </c>
      <c r="F95" s="15">
        <f t="shared" si="18"/>
        <v>22100</v>
      </c>
      <c r="G95" s="3"/>
      <c r="H95" s="3"/>
      <c r="I95" s="15">
        <f>25000/7</f>
        <v>3571.428571</v>
      </c>
      <c r="J95" s="15">
        <f t="shared" si="15"/>
        <v>17857.14286</v>
      </c>
      <c r="K95" s="15">
        <f t="shared" si="16"/>
        <v>4242.857143</v>
      </c>
      <c r="L95" s="116">
        <f t="shared" si="17"/>
        <v>0.2121428571</v>
      </c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91">
        <v>3.0</v>
      </c>
      <c r="B96" s="92" t="s">
        <v>33</v>
      </c>
      <c r="C96" s="93" t="s">
        <v>345</v>
      </c>
      <c r="D96" s="22">
        <v>1000.0</v>
      </c>
      <c r="E96" s="15">
        <f t="shared" si="13"/>
        <v>3000</v>
      </c>
      <c r="F96" s="15">
        <f t="shared" si="18"/>
        <v>3315</v>
      </c>
      <c r="G96" s="3"/>
      <c r="H96" s="3"/>
      <c r="I96" s="15">
        <f>10000/15</f>
        <v>666.6666667</v>
      </c>
      <c r="J96" s="15">
        <f t="shared" si="15"/>
        <v>2000</v>
      </c>
      <c r="K96" s="15">
        <f t="shared" si="16"/>
        <v>1315</v>
      </c>
      <c r="L96" s="116">
        <f t="shared" si="17"/>
        <v>0.4383333333</v>
      </c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91">
        <v>1.0</v>
      </c>
      <c r="B97" s="10" t="s">
        <v>33</v>
      </c>
      <c r="C97" s="93" t="s">
        <v>177</v>
      </c>
      <c r="D97" s="22">
        <v>1000.0</v>
      </c>
      <c r="E97" s="15">
        <f t="shared" si="13"/>
        <v>1000</v>
      </c>
      <c r="F97" s="15">
        <f t="shared" si="18"/>
        <v>1105</v>
      </c>
      <c r="G97" s="3"/>
      <c r="H97" s="3"/>
      <c r="I97" s="15">
        <f>7000/15</f>
        <v>466.6666667</v>
      </c>
      <c r="J97" s="15">
        <f t="shared" si="15"/>
        <v>466.6666667</v>
      </c>
      <c r="K97" s="15">
        <f t="shared" si="16"/>
        <v>638.3333333</v>
      </c>
      <c r="L97" s="116">
        <f t="shared" si="17"/>
        <v>0.6383333333</v>
      </c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91">
        <v>1.0</v>
      </c>
      <c r="B98" s="10" t="s">
        <v>33</v>
      </c>
      <c r="C98" s="93" t="s">
        <v>20</v>
      </c>
      <c r="D98" s="22">
        <v>3500.0</v>
      </c>
      <c r="E98" s="15">
        <f t="shared" si="13"/>
        <v>3500</v>
      </c>
      <c r="F98" s="15">
        <f t="shared" si="18"/>
        <v>3867.5</v>
      </c>
      <c r="G98" s="3"/>
      <c r="H98" s="3"/>
      <c r="I98" s="15">
        <f>25000/8</f>
        <v>3125</v>
      </c>
      <c r="J98" s="15">
        <f t="shared" si="15"/>
        <v>3125</v>
      </c>
      <c r="K98" s="15">
        <f t="shared" si="16"/>
        <v>742.5</v>
      </c>
      <c r="L98" s="116">
        <f t="shared" si="17"/>
        <v>0.2121428571</v>
      </c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91">
        <v>4.0</v>
      </c>
      <c r="B99" s="10" t="s">
        <v>5</v>
      </c>
      <c r="C99" s="93" t="s">
        <v>87</v>
      </c>
      <c r="D99" s="22">
        <v>1300.0</v>
      </c>
      <c r="E99" s="15">
        <f t="shared" si="13"/>
        <v>5200</v>
      </c>
      <c r="F99" s="15">
        <f t="shared" si="18"/>
        <v>5746</v>
      </c>
      <c r="G99" s="3"/>
      <c r="H99" s="3"/>
      <c r="I99" s="15">
        <f>62000/80</f>
        <v>775</v>
      </c>
      <c r="J99" s="15">
        <f t="shared" si="15"/>
        <v>3100</v>
      </c>
      <c r="K99" s="15">
        <f t="shared" si="16"/>
        <v>2646</v>
      </c>
      <c r="L99" s="116">
        <f t="shared" si="17"/>
        <v>0.5088461538</v>
      </c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91">
        <v>4.0</v>
      </c>
      <c r="B100" s="10" t="s">
        <v>33</v>
      </c>
      <c r="C100" s="93" t="s">
        <v>24</v>
      </c>
      <c r="D100" s="22">
        <v>4000.0</v>
      </c>
      <c r="E100" s="15">
        <f t="shared" si="13"/>
        <v>16000</v>
      </c>
      <c r="F100" s="15">
        <f t="shared" si="18"/>
        <v>17680</v>
      </c>
      <c r="G100" s="3"/>
      <c r="H100" s="3"/>
      <c r="I100" s="15">
        <f>28000/8</f>
        <v>3500</v>
      </c>
      <c r="J100" s="15">
        <f t="shared" si="15"/>
        <v>14000</v>
      </c>
      <c r="K100" s="15">
        <f t="shared" si="16"/>
        <v>3680</v>
      </c>
      <c r="L100" s="116">
        <f t="shared" si="17"/>
        <v>0.23</v>
      </c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91">
        <v>3.0</v>
      </c>
      <c r="B101" s="10" t="s">
        <v>33</v>
      </c>
      <c r="C101" s="93" t="s">
        <v>25</v>
      </c>
      <c r="D101" s="22">
        <v>3100.0</v>
      </c>
      <c r="E101" s="15">
        <f t="shared" si="13"/>
        <v>9300</v>
      </c>
      <c r="F101" s="15">
        <f t="shared" si="18"/>
        <v>10276.5</v>
      </c>
      <c r="G101" s="3"/>
      <c r="H101" s="3"/>
      <c r="I101" s="15">
        <f>12000/8</f>
        <v>1500</v>
      </c>
      <c r="J101" s="15">
        <f t="shared" si="15"/>
        <v>4500</v>
      </c>
      <c r="K101" s="15">
        <f t="shared" si="16"/>
        <v>5776.5</v>
      </c>
      <c r="L101" s="116">
        <f t="shared" si="17"/>
        <v>0.6211290323</v>
      </c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91">
        <v>3.0</v>
      </c>
      <c r="B102" s="92" t="s">
        <v>33</v>
      </c>
      <c r="C102" s="93" t="s">
        <v>26</v>
      </c>
      <c r="D102" s="22">
        <v>4000.0</v>
      </c>
      <c r="E102" s="15">
        <f t="shared" si="13"/>
        <v>12000</v>
      </c>
      <c r="F102" s="15">
        <f t="shared" si="18"/>
        <v>13260</v>
      </c>
      <c r="G102" s="3"/>
      <c r="H102" s="3"/>
      <c r="I102" s="15">
        <f>22000/8</f>
        <v>2750</v>
      </c>
      <c r="J102" s="15">
        <f t="shared" si="15"/>
        <v>8250</v>
      </c>
      <c r="K102" s="15">
        <f t="shared" si="16"/>
        <v>5010</v>
      </c>
      <c r="L102" s="116">
        <f t="shared" si="17"/>
        <v>0.4175</v>
      </c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91">
        <v>5.0</v>
      </c>
      <c r="B103" s="10" t="s">
        <v>33</v>
      </c>
      <c r="C103" s="93" t="s">
        <v>67</v>
      </c>
      <c r="D103" s="22">
        <v>800.0</v>
      </c>
      <c r="E103" s="15">
        <f t="shared" si="13"/>
        <v>4000</v>
      </c>
      <c r="F103" s="15">
        <f t="shared" si="18"/>
        <v>4420</v>
      </c>
      <c r="G103" s="3"/>
      <c r="H103" s="3"/>
      <c r="I103" s="15">
        <f>9000/17</f>
        <v>529.4117647</v>
      </c>
      <c r="J103" s="15">
        <f t="shared" si="15"/>
        <v>2647.058824</v>
      </c>
      <c r="K103" s="15">
        <f t="shared" si="16"/>
        <v>1772.941176</v>
      </c>
      <c r="L103" s="116">
        <f t="shared" si="17"/>
        <v>0.4432352941</v>
      </c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91">
        <v>5.0</v>
      </c>
      <c r="B104" s="10" t="s">
        <v>33</v>
      </c>
      <c r="C104" s="93" t="s">
        <v>174</v>
      </c>
      <c r="D104" s="22">
        <v>1600.0</v>
      </c>
      <c r="E104" s="15">
        <f t="shared" si="13"/>
        <v>8000</v>
      </c>
      <c r="F104" s="15">
        <f t="shared" si="18"/>
        <v>8840</v>
      </c>
      <c r="G104" s="3"/>
      <c r="H104" s="3"/>
      <c r="I104" s="15">
        <f>18000/17</f>
        <v>1058.823529</v>
      </c>
      <c r="J104" s="15">
        <f t="shared" si="15"/>
        <v>5294.117647</v>
      </c>
      <c r="K104" s="15">
        <f t="shared" si="16"/>
        <v>3545.882353</v>
      </c>
      <c r="L104" s="116">
        <f t="shared" si="17"/>
        <v>0.4432352941</v>
      </c>
      <c r="M104" s="1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91">
        <v>5.0</v>
      </c>
      <c r="B105" s="10" t="s">
        <v>33</v>
      </c>
      <c r="C105" s="93" t="s">
        <v>99</v>
      </c>
      <c r="D105" s="22">
        <v>1800.0</v>
      </c>
      <c r="E105" s="15">
        <f t="shared" si="13"/>
        <v>9000</v>
      </c>
      <c r="F105" s="15">
        <f t="shared" si="18"/>
        <v>9945</v>
      </c>
      <c r="G105" s="3"/>
      <c r="H105" s="3"/>
      <c r="I105" s="15">
        <v>1000.0</v>
      </c>
      <c r="J105" s="15">
        <f t="shared" si="15"/>
        <v>5000</v>
      </c>
      <c r="K105" s="15">
        <f t="shared" si="16"/>
        <v>4945</v>
      </c>
      <c r="L105" s="116">
        <f t="shared" si="17"/>
        <v>0.5494444444</v>
      </c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91">
        <v>5.0</v>
      </c>
      <c r="B106" s="92" t="s">
        <v>33</v>
      </c>
      <c r="C106" s="93" t="s">
        <v>240</v>
      </c>
      <c r="D106" s="22">
        <v>1800.0</v>
      </c>
      <c r="E106" s="15">
        <f t="shared" si="13"/>
        <v>9000</v>
      </c>
      <c r="F106" s="15">
        <f t="shared" si="18"/>
        <v>9945</v>
      </c>
      <c r="G106" s="3"/>
      <c r="H106" s="3"/>
      <c r="I106" s="15">
        <v>1000.0</v>
      </c>
      <c r="J106" s="15">
        <f t="shared" si="15"/>
        <v>5000</v>
      </c>
      <c r="K106" s="15">
        <f t="shared" si="16"/>
        <v>4945</v>
      </c>
      <c r="L106" s="116">
        <f t="shared" si="17"/>
        <v>0.5494444444</v>
      </c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>
      <c r="A107" s="91">
        <v>3.0</v>
      </c>
      <c r="B107" s="92" t="s">
        <v>38</v>
      </c>
      <c r="C107" s="93" t="s">
        <v>47</v>
      </c>
      <c r="D107" s="22">
        <v>13000.0</v>
      </c>
      <c r="E107" s="15">
        <f t="shared" si="13"/>
        <v>39000</v>
      </c>
      <c r="F107" s="15">
        <f t="shared" si="18"/>
        <v>43095</v>
      </c>
      <c r="G107" s="3"/>
      <c r="H107" s="3"/>
      <c r="I107" s="15">
        <v>8000.0</v>
      </c>
      <c r="J107" s="15">
        <f t="shared" si="15"/>
        <v>24000</v>
      </c>
      <c r="K107" s="15">
        <f t="shared" si="16"/>
        <v>19095</v>
      </c>
      <c r="L107" s="116">
        <f t="shared" si="17"/>
        <v>0.4896153846</v>
      </c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>
      <c r="A108" s="91">
        <v>5.0</v>
      </c>
      <c r="B108" s="92" t="s">
        <v>38</v>
      </c>
      <c r="C108" s="93" t="s">
        <v>179</v>
      </c>
      <c r="D108" s="22">
        <v>21000.0</v>
      </c>
      <c r="E108" s="15">
        <f t="shared" si="13"/>
        <v>105000</v>
      </c>
      <c r="F108" s="15">
        <f t="shared" si="18"/>
        <v>116025</v>
      </c>
      <c r="G108" s="3"/>
      <c r="H108" s="3"/>
      <c r="I108" s="15">
        <v>18000.0</v>
      </c>
      <c r="J108" s="15">
        <f t="shared" si="15"/>
        <v>90000</v>
      </c>
      <c r="K108" s="15">
        <f t="shared" si="16"/>
        <v>26025</v>
      </c>
      <c r="L108" s="116">
        <f t="shared" si="17"/>
        <v>0.2478571429</v>
      </c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>
      <c r="A109" s="91">
        <v>2.0</v>
      </c>
      <c r="B109" s="92" t="s">
        <v>38</v>
      </c>
      <c r="C109" s="93" t="s">
        <v>180</v>
      </c>
      <c r="D109" s="22">
        <v>16000.0</v>
      </c>
      <c r="E109" s="15">
        <f t="shared" si="13"/>
        <v>32000</v>
      </c>
      <c r="F109" s="15">
        <f t="shared" si="18"/>
        <v>35360</v>
      </c>
      <c r="G109" s="3"/>
      <c r="H109" s="3"/>
      <c r="I109" s="15">
        <v>10500.0</v>
      </c>
      <c r="J109" s="15">
        <f t="shared" si="15"/>
        <v>21000</v>
      </c>
      <c r="K109" s="15">
        <f t="shared" si="16"/>
        <v>14360</v>
      </c>
      <c r="L109" s="116">
        <f t="shared" si="17"/>
        <v>0.44875</v>
      </c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91">
        <v>3.0</v>
      </c>
      <c r="B110" s="92" t="s">
        <v>38</v>
      </c>
      <c r="C110" s="93" t="s">
        <v>45</v>
      </c>
      <c r="D110" s="22">
        <v>13000.0</v>
      </c>
      <c r="E110" s="15">
        <f t="shared" si="13"/>
        <v>39000</v>
      </c>
      <c r="F110" s="15">
        <f t="shared" si="18"/>
        <v>43095</v>
      </c>
      <c r="G110" s="3"/>
      <c r="H110" s="3"/>
      <c r="I110" s="15">
        <v>10000.0</v>
      </c>
      <c r="J110" s="15">
        <f t="shared" si="15"/>
        <v>30000</v>
      </c>
      <c r="K110" s="15">
        <f t="shared" si="16"/>
        <v>13095</v>
      </c>
      <c r="L110" s="116">
        <f t="shared" si="17"/>
        <v>0.3357692308</v>
      </c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91">
        <v>50.0</v>
      </c>
      <c r="B111" s="10" t="s">
        <v>5</v>
      </c>
      <c r="C111" s="93" t="s">
        <v>241</v>
      </c>
      <c r="D111" s="22">
        <v>800.0</v>
      </c>
      <c r="E111" s="15">
        <f t="shared" si="13"/>
        <v>40000</v>
      </c>
      <c r="F111" s="15">
        <f t="shared" si="18"/>
        <v>44200</v>
      </c>
      <c r="G111" s="3"/>
      <c r="H111" s="3"/>
      <c r="I111" s="15">
        <f>12000/40</f>
        <v>300</v>
      </c>
      <c r="J111" s="15">
        <f t="shared" si="15"/>
        <v>15000</v>
      </c>
      <c r="K111" s="15">
        <f t="shared" si="16"/>
        <v>29200</v>
      </c>
      <c r="L111" s="116">
        <f t="shared" si="17"/>
        <v>0.73</v>
      </c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91">
        <v>1.0</v>
      </c>
      <c r="B112" s="92" t="s">
        <v>18</v>
      </c>
      <c r="C112" s="93" t="s">
        <v>78</v>
      </c>
      <c r="D112" s="22">
        <v>70000.0</v>
      </c>
      <c r="E112" s="15">
        <f t="shared" si="13"/>
        <v>70000</v>
      </c>
      <c r="F112" s="15">
        <f t="shared" si="18"/>
        <v>77350</v>
      </c>
      <c r="G112" s="3"/>
      <c r="H112" s="3"/>
      <c r="I112" s="15">
        <v>65000.0</v>
      </c>
      <c r="J112" s="15">
        <f t="shared" si="15"/>
        <v>65000</v>
      </c>
      <c r="K112" s="15">
        <f t="shared" si="16"/>
        <v>12350</v>
      </c>
      <c r="L112" s="116">
        <f t="shared" si="17"/>
        <v>0.1764285714</v>
      </c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91">
        <v>1.0</v>
      </c>
      <c r="B113" s="92" t="s">
        <v>18</v>
      </c>
      <c r="C113" s="93" t="s">
        <v>232</v>
      </c>
      <c r="D113" s="22">
        <v>65000.0</v>
      </c>
      <c r="E113" s="15">
        <f t="shared" si="13"/>
        <v>65000</v>
      </c>
      <c r="F113" s="15">
        <f t="shared" si="18"/>
        <v>71825</v>
      </c>
      <c r="G113" s="3"/>
      <c r="H113" s="3"/>
      <c r="I113" s="15">
        <v>60000.0</v>
      </c>
      <c r="J113" s="15">
        <f t="shared" si="15"/>
        <v>60000</v>
      </c>
      <c r="K113" s="15">
        <f t="shared" si="16"/>
        <v>11825</v>
      </c>
      <c r="L113" s="116">
        <f t="shared" si="17"/>
        <v>0.1819230769</v>
      </c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91">
        <v>1.0</v>
      </c>
      <c r="B114" s="92" t="s">
        <v>18</v>
      </c>
      <c r="C114" s="93" t="s">
        <v>54</v>
      </c>
      <c r="D114" s="22">
        <v>24000.0</v>
      </c>
      <c r="E114" s="15">
        <f t="shared" si="13"/>
        <v>24000</v>
      </c>
      <c r="F114" s="15">
        <f t="shared" si="18"/>
        <v>26520</v>
      </c>
      <c r="G114" s="3"/>
      <c r="H114" s="3"/>
      <c r="I114" s="15">
        <v>20000.0</v>
      </c>
      <c r="J114" s="15">
        <f t="shared" si="15"/>
        <v>20000</v>
      </c>
      <c r="K114" s="15">
        <f t="shared" si="16"/>
        <v>6520</v>
      </c>
      <c r="L114" s="116">
        <f t="shared" si="17"/>
        <v>0.2716666667</v>
      </c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91">
        <v>9.2</v>
      </c>
      <c r="B115" s="10" t="s">
        <v>33</v>
      </c>
      <c r="C115" s="93" t="s">
        <v>55</v>
      </c>
      <c r="D115" s="22">
        <v>2800.0</v>
      </c>
      <c r="E115" s="15">
        <f t="shared" si="13"/>
        <v>25760</v>
      </c>
      <c r="F115" s="15">
        <f t="shared" si="18"/>
        <v>28464.8</v>
      </c>
      <c r="G115" s="3"/>
      <c r="H115" s="3"/>
      <c r="I115" s="15">
        <f>15000/18</f>
        <v>833.3333333</v>
      </c>
      <c r="J115" s="15">
        <f t="shared" si="15"/>
        <v>7666.666667</v>
      </c>
      <c r="K115" s="15">
        <f t="shared" si="16"/>
        <v>20798.13333</v>
      </c>
      <c r="L115" s="116">
        <f t="shared" si="17"/>
        <v>0.8073809524</v>
      </c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 ht="15.75" customHeight="1">
      <c r="A116" s="91">
        <v>2.0</v>
      </c>
      <c r="B116" s="10" t="s">
        <v>33</v>
      </c>
      <c r="C116" s="93" t="s">
        <v>57</v>
      </c>
      <c r="D116" s="22">
        <v>8500.0</v>
      </c>
      <c r="E116" s="15">
        <f t="shared" si="13"/>
        <v>17000</v>
      </c>
      <c r="F116" s="15">
        <f t="shared" si="18"/>
        <v>18785</v>
      </c>
      <c r="G116" s="3"/>
      <c r="H116" s="3"/>
      <c r="I116" s="15">
        <f>30000/4</f>
        <v>7500</v>
      </c>
      <c r="J116" s="15">
        <f t="shared" si="15"/>
        <v>15000</v>
      </c>
      <c r="K116" s="15">
        <f t="shared" si="16"/>
        <v>3785</v>
      </c>
      <c r="L116" s="116">
        <f t="shared" si="17"/>
        <v>0.2226470588</v>
      </c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91">
        <v>1.0</v>
      </c>
      <c r="B117" s="92" t="s">
        <v>50</v>
      </c>
      <c r="C117" s="93" t="s">
        <v>16</v>
      </c>
      <c r="D117" s="22">
        <v>1000.0</v>
      </c>
      <c r="E117" s="15">
        <f t="shared" si="13"/>
        <v>1000</v>
      </c>
      <c r="F117" s="15">
        <f t="shared" si="18"/>
        <v>1105</v>
      </c>
      <c r="G117" s="3"/>
      <c r="H117" s="3"/>
      <c r="I117" s="15">
        <f>5000/12</f>
        <v>416.6666667</v>
      </c>
      <c r="J117" s="15">
        <f t="shared" si="15"/>
        <v>416.6666667</v>
      </c>
      <c r="K117" s="15">
        <f t="shared" si="16"/>
        <v>688.3333333</v>
      </c>
      <c r="L117" s="116">
        <f t="shared" si="17"/>
        <v>0.6883333333</v>
      </c>
      <c r="M117" s="1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117"/>
      <c r="B118" s="3"/>
      <c r="C118" s="2"/>
      <c r="D118" s="3"/>
      <c r="E118" s="3"/>
      <c r="F118" s="3"/>
      <c r="G118" s="3"/>
      <c r="H118" s="3"/>
      <c r="I118" s="3"/>
      <c r="J118" s="3"/>
      <c r="K118" s="3"/>
      <c r="L118" s="118"/>
      <c r="M118" s="1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117"/>
      <c r="B119" s="3"/>
      <c r="C119" s="2"/>
      <c r="D119" s="3"/>
      <c r="E119" s="15">
        <f t="shared" ref="E119:F119" si="19">SUM(E77:E117)</f>
        <v>745860</v>
      </c>
      <c r="F119" s="15">
        <f t="shared" si="19"/>
        <v>829635.3</v>
      </c>
      <c r="G119" s="3"/>
      <c r="H119" s="3"/>
      <c r="I119" s="3"/>
      <c r="J119" s="3"/>
      <c r="K119" s="15">
        <f>SUM(K77:K117)</f>
        <v>270366.9807</v>
      </c>
      <c r="L119" s="116">
        <f>IFERROR(K119/E119, 0)</f>
        <v>0.3624902538</v>
      </c>
      <c r="M119" s="1"/>
      <c r="N119" s="3"/>
      <c r="O119" s="2"/>
      <c r="P119" s="3"/>
      <c r="Q119" s="3"/>
      <c r="R119" s="9"/>
      <c r="S119" s="3"/>
      <c r="T119" s="3"/>
      <c r="U119" s="1"/>
      <c r="V119" s="3"/>
      <c r="W119" s="3"/>
      <c r="X119" s="3"/>
      <c r="Y119" s="3"/>
      <c r="Z119" s="3"/>
    </row>
    <row r="120">
      <c r="A120" s="119"/>
      <c r="B120" s="108"/>
      <c r="C120" s="2"/>
      <c r="D120" s="3"/>
      <c r="E120" s="3"/>
      <c r="F120" s="3"/>
      <c r="G120" s="109"/>
      <c r="H120" s="2"/>
      <c r="I120" s="2"/>
      <c r="J120" s="2"/>
      <c r="K120" s="3"/>
      <c r="L120" s="4"/>
      <c r="M120" s="2"/>
      <c r="N120" s="2"/>
      <c r="O120" s="2"/>
      <c r="P120" s="2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117"/>
      <c r="B121" s="2"/>
      <c r="C121" s="2"/>
      <c r="D121" s="3"/>
      <c r="E121" s="3"/>
      <c r="F121" s="3"/>
      <c r="G121" s="2"/>
      <c r="H121" s="2"/>
      <c r="I121" s="2"/>
      <c r="J121" s="2"/>
      <c r="K121" s="3"/>
      <c r="L121" s="4"/>
      <c r="M121" s="2"/>
      <c r="N121" s="2"/>
      <c r="O121" s="2"/>
      <c r="P121" s="2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120"/>
      <c r="B122" s="99"/>
      <c r="C122" s="2"/>
      <c r="D122" s="3"/>
      <c r="E122" s="3"/>
      <c r="F122" s="3"/>
      <c r="G122" s="2"/>
      <c r="H122" s="2"/>
      <c r="I122" s="2"/>
      <c r="J122" s="2"/>
      <c r="K122" s="3"/>
      <c r="L122" s="4"/>
      <c r="M122" s="2"/>
      <c r="N122" s="2"/>
      <c r="O122" s="2"/>
      <c r="P122" s="2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5" t="s">
        <v>230</v>
      </c>
      <c r="D123" s="3"/>
      <c r="E123" s="86" t="s">
        <v>223</v>
      </c>
      <c r="F123" s="7">
        <v>46073.0</v>
      </c>
      <c r="G123" s="3"/>
      <c r="H123" s="3"/>
      <c r="I123" s="8" t="s">
        <v>3</v>
      </c>
      <c r="L123" s="4"/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1"/>
      <c r="B124" s="3"/>
      <c r="C124" s="9"/>
      <c r="D124" s="3"/>
      <c r="E124" s="3"/>
      <c r="F124" s="3"/>
      <c r="G124" s="3"/>
      <c r="H124" s="3"/>
      <c r="I124" s="3"/>
      <c r="J124" s="3"/>
      <c r="K124" s="3"/>
      <c r="L124" s="4"/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5" t="s">
        <v>4</v>
      </c>
      <c r="B125" s="10" t="s">
        <v>5</v>
      </c>
      <c r="C125" s="11" t="s">
        <v>6</v>
      </c>
      <c r="D125" s="10" t="s">
        <v>7</v>
      </c>
      <c r="E125" s="10" t="s">
        <v>8</v>
      </c>
      <c r="F125" s="10" t="s">
        <v>9</v>
      </c>
      <c r="G125" s="3"/>
      <c r="H125" s="3"/>
      <c r="I125" s="10" t="s">
        <v>260</v>
      </c>
      <c r="J125" s="10" t="s">
        <v>8</v>
      </c>
      <c r="K125" s="10" t="s">
        <v>10</v>
      </c>
      <c r="L125" s="4"/>
      <c r="M125" s="1"/>
      <c r="N125" s="3"/>
      <c r="O125" s="2"/>
      <c r="P125" s="3"/>
      <c r="Q125" s="3"/>
      <c r="R125" s="9"/>
      <c r="S125" s="3"/>
      <c r="T125" s="3"/>
      <c r="U125" s="1"/>
      <c r="V125" s="3"/>
      <c r="W125" s="3"/>
      <c r="X125" s="3"/>
      <c r="Y125" s="3"/>
      <c r="Z125" s="3"/>
    </row>
    <row r="126" ht="15.75" customHeight="1">
      <c r="A126" s="91">
        <v>3.0</v>
      </c>
      <c r="B126" s="92" t="s">
        <v>33</v>
      </c>
      <c r="C126" s="93" t="s">
        <v>55</v>
      </c>
      <c r="D126" s="22">
        <v>2800.0</v>
      </c>
      <c r="E126" s="15">
        <f t="shared" ref="E126:E153" si="20">A126*D126</f>
        <v>8400</v>
      </c>
      <c r="F126" s="15">
        <f t="shared" ref="F126:F152" si="21">E126*1.105</f>
        <v>9282</v>
      </c>
      <c r="G126" s="3"/>
      <c r="H126" s="3"/>
      <c r="I126" s="15">
        <f>15000/18</f>
        <v>833.3333333</v>
      </c>
      <c r="J126" s="15">
        <f t="shared" ref="J126:J153" si="22">I126*A126</f>
        <v>2500</v>
      </c>
      <c r="K126" s="15">
        <f t="shared" ref="K126:K153" si="23">F126-J126</f>
        <v>6782</v>
      </c>
      <c r="L126" s="116">
        <f t="shared" ref="L126:L153" si="24">IFERROR(K126/E126, 0)</f>
        <v>0.8073809524</v>
      </c>
      <c r="M126" s="1"/>
      <c r="N126" s="3"/>
      <c r="O126" s="2"/>
      <c r="P126" s="3"/>
      <c r="Q126" s="3"/>
      <c r="R126" s="9"/>
      <c r="S126" s="3"/>
      <c r="T126" s="3"/>
      <c r="U126" s="1"/>
      <c r="V126" s="3"/>
      <c r="W126" s="3"/>
      <c r="X126" s="3"/>
      <c r="Y126" s="3"/>
      <c r="Z126" s="3"/>
    </row>
    <row r="127" ht="15.75" customHeight="1">
      <c r="A127" s="91">
        <v>12.0</v>
      </c>
      <c r="B127" s="92" t="s">
        <v>33</v>
      </c>
      <c r="C127" s="93" t="s">
        <v>45</v>
      </c>
      <c r="D127" s="22">
        <v>1000.0</v>
      </c>
      <c r="E127" s="15">
        <f t="shared" si="20"/>
        <v>12000</v>
      </c>
      <c r="F127" s="15">
        <f t="shared" si="21"/>
        <v>13260</v>
      </c>
      <c r="G127" s="3"/>
      <c r="H127" s="3"/>
      <c r="I127" s="15">
        <f>10000/15</f>
        <v>666.6666667</v>
      </c>
      <c r="J127" s="15">
        <f t="shared" si="22"/>
        <v>8000</v>
      </c>
      <c r="K127" s="15">
        <f t="shared" si="23"/>
        <v>5260</v>
      </c>
      <c r="L127" s="116">
        <f t="shared" si="24"/>
        <v>0.4383333333</v>
      </c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 ht="15.75" customHeight="1">
      <c r="A128" s="91">
        <v>4.5</v>
      </c>
      <c r="B128" s="92" t="s">
        <v>33</v>
      </c>
      <c r="C128" s="93" t="s">
        <v>174</v>
      </c>
      <c r="D128" s="22">
        <v>1600.0</v>
      </c>
      <c r="E128" s="15">
        <f t="shared" si="20"/>
        <v>7200</v>
      </c>
      <c r="F128" s="15">
        <f t="shared" si="21"/>
        <v>7956</v>
      </c>
      <c r="G128" s="3"/>
      <c r="H128" s="3"/>
      <c r="I128" s="15">
        <f>18000/17</f>
        <v>1058.823529</v>
      </c>
      <c r="J128" s="15">
        <f t="shared" si="22"/>
        <v>4764.705882</v>
      </c>
      <c r="K128" s="15">
        <f t="shared" si="23"/>
        <v>3191.294118</v>
      </c>
      <c r="L128" s="116">
        <f t="shared" si="24"/>
        <v>0.4432352941</v>
      </c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 ht="15.75" customHeight="1">
      <c r="A129" s="91">
        <v>1.5</v>
      </c>
      <c r="B129" s="92" t="s">
        <v>33</v>
      </c>
      <c r="C129" s="93" t="s">
        <v>349</v>
      </c>
      <c r="D129" s="22">
        <v>4000.0</v>
      </c>
      <c r="E129" s="15">
        <f t="shared" si="20"/>
        <v>6000</v>
      </c>
      <c r="F129" s="15">
        <f t="shared" si="21"/>
        <v>6630</v>
      </c>
      <c r="G129" s="3"/>
      <c r="H129" s="3"/>
      <c r="I129" s="15">
        <f>22000/8</f>
        <v>2750</v>
      </c>
      <c r="J129" s="15">
        <f t="shared" si="22"/>
        <v>4125</v>
      </c>
      <c r="K129" s="15">
        <f t="shared" si="23"/>
        <v>2505</v>
      </c>
      <c r="L129" s="116">
        <f t="shared" si="24"/>
        <v>0.4175</v>
      </c>
      <c r="M129" s="1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 ht="15.75" customHeight="1">
      <c r="A130" s="91">
        <v>20.0</v>
      </c>
      <c r="B130" s="92" t="s">
        <v>5</v>
      </c>
      <c r="C130" s="93" t="s">
        <v>241</v>
      </c>
      <c r="D130" s="22">
        <v>800.0</v>
      </c>
      <c r="E130" s="15">
        <f t="shared" si="20"/>
        <v>16000</v>
      </c>
      <c r="F130" s="15">
        <f t="shared" si="21"/>
        <v>17680</v>
      </c>
      <c r="G130" s="3"/>
      <c r="H130" s="3"/>
      <c r="I130" s="15">
        <f>12000/40</f>
        <v>300</v>
      </c>
      <c r="J130" s="15">
        <f t="shared" si="22"/>
        <v>6000</v>
      </c>
      <c r="K130" s="15">
        <f t="shared" si="23"/>
        <v>11680</v>
      </c>
      <c r="L130" s="116">
        <f t="shared" si="24"/>
        <v>0.73</v>
      </c>
      <c r="M130" s="1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 ht="15.75" customHeight="1">
      <c r="A131" s="91">
        <v>4.0</v>
      </c>
      <c r="B131" s="92" t="s">
        <v>11</v>
      </c>
      <c r="C131" s="11" t="s">
        <v>103</v>
      </c>
      <c r="D131" s="22">
        <v>1600.0</v>
      </c>
      <c r="E131" s="15">
        <f t="shared" si="20"/>
        <v>6400</v>
      </c>
      <c r="F131" s="15">
        <f t="shared" si="21"/>
        <v>7072</v>
      </c>
      <c r="G131" s="3"/>
      <c r="H131" s="3"/>
      <c r="I131" s="22">
        <v>1000.0</v>
      </c>
      <c r="J131" s="15">
        <f t="shared" si="22"/>
        <v>4000</v>
      </c>
      <c r="K131" s="15">
        <f t="shared" si="23"/>
        <v>3072</v>
      </c>
      <c r="L131" s="116">
        <f t="shared" si="24"/>
        <v>0.48</v>
      </c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 ht="15.75" customHeight="1">
      <c r="A132" s="91">
        <v>1.0</v>
      </c>
      <c r="B132" s="92" t="s">
        <v>33</v>
      </c>
      <c r="C132" s="93" t="s">
        <v>57</v>
      </c>
      <c r="D132" s="22">
        <v>8500.0</v>
      </c>
      <c r="E132" s="15">
        <f t="shared" si="20"/>
        <v>8500</v>
      </c>
      <c r="F132" s="15">
        <f t="shared" si="21"/>
        <v>9392.5</v>
      </c>
      <c r="G132" s="3"/>
      <c r="H132" s="3"/>
      <c r="I132" s="15">
        <f>30000/4</f>
        <v>7500</v>
      </c>
      <c r="J132" s="15">
        <f t="shared" si="22"/>
        <v>7500</v>
      </c>
      <c r="K132" s="15">
        <f t="shared" si="23"/>
        <v>1892.5</v>
      </c>
      <c r="L132" s="116">
        <f t="shared" si="24"/>
        <v>0.2226470588</v>
      </c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 ht="15.75" customHeight="1">
      <c r="A133" s="91">
        <v>5.0</v>
      </c>
      <c r="B133" s="92" t="s">
        <v>33</v>
      </c>
      <c r="C133" s="93" t="s">
        <v>278</v>
      </c>
      <c r="D133" s="22">
        <v>3200.0</v>
      </c>
      <c r="E133" s="15">
        <f t="shared" si="20"/>
        <v>16000</v>
      </c>
      <c r="F133" s="15">
        <f t="shared" si="21"/>
        <v>17680</v>
      </c>
      <c r="G133" s="3"/>
      <c r="H133" s="3"/>
      <c r="I133" s="15">
        <f>38000/13</f>
        <v>2923.076923</v>
      </c>
      <c r="J133" s="15">
        <f t="shared" si="22"/>
        <v>14615.38462</v>
      </c>
      <c r="K133" s="15">
        <f t="shared" si="23"/>
        <v>3064.615385</v>
      </c>
      <c r="L133" s="116">
        <f t="shared" si="24"/>
        <v>0.1915384615</v>
      </c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 ht="15.75" customHeight="1">
      <c r="A134" s="91">
        <v>0.5</v>
      </c>
      <c r="B134" s="92" t="s">
        <v>18</v>
      </c>
      <c r="C134" s="93" t="s">
        <v>78</v>
      </c>
      <c r="D134" s="22">
        <v>65000.0</v>
      </c>
      <c r="E134" s="15">
        <f t="shared" si="20"/>
        <v>32500</v>
      </c>
      <c r="F134" s="15">
        <f t="shared" si="21"/>
        <v>35912.5</v>
      </c>
      <c r="G134" s="3"/>
      <c r="H134" s="3"/>
      <c r="I134" s="22">
        <v>65000.0</v>
      </c>
      <c r="J134" s="15">
        <f t="shared" si="22"/>
        <v>32500</v>
      </c>
      <c r="K134" s="15">
        <f t="shared" si="23"/>
        <v>3412.5</v>
      </c>
      <c r="L134" s="116">
        <f t="shared" si="24"/>
        <v>0.105</v>
      </c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 ht="15.75" customHeight="1">
      <c r="A135" s="91">
        <v>7.0</v>
      </c>
      <c r="B135" s="92" t="s">
        <v>33</v>
      </c>
      <c r="C135" s="93" t="s">
        <v>232</v>
      </c>
      <c r="D135" s="22">
        <v>4000.0</v>
      </c>
      <c r="E135" s="15">
        <f t="shared" si="20"/>
        <v>28000</v>
      </c>
      <c r="F135" s="15">
        <f t="shared" si="21"/>
        <v>30940</v>
      </c>
      <c r="G135" s="3"/>
      <c r="H135" s="3"/>
      <c r="I135" s="15">
        <f>60000/18</f>
        <v>3333.333333</v>
      </c>
      <c r="J135" s="15">
        <f t="shared" si="22"/>
        <v>23333.33333</v>
      </c>
      <c r="K135" s="15">
        <f t="shared" si="23"/>
        <v>7606.666667</v>
      </c>
      <c r="L135" s="116">
        <f t="shared" si="24"/>
        <v>0.2716666667</v>
      </c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 ht="15.75" customHeight="1">
      <c r="A136" s="91">
        <v>1.0</v>
      </c>
      <c r="B136" s="92" t="s">
        <v>18</v>
      </c>
      <c r="C136" s="93" t="s">
        <v>54</v>
      </c>
      <c r="D136" s="22">
        <v>24000.0</v>
      </c>
      <c r="E136" s="15">
        <f t="shared" si="20"/>
        <v>24000</v>
      </c>
      <c r="F136" s="15">
        <f t="shared" si="21"/>
        <v>26520</v>
      </c>
      <c r="G136" s="3"/>
      <c r="H136" s="3"/>
      <c r="I136" s="22">
        <v>20000.0</v>
      </c>
      <c r="J136" s="15">
        <f t="shared" si="22"/>
        <v>20000</v>
      </c>
      <c r="K136" s="15">
        <f t="shared" si="23"/>
        <v>6520</v>
      </c>
      <c r="L136" s="116">
        <f t="shared" si="24"/>
        <v>0.2716666667</v>
      </c>
      <c r="M136" s="1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 ht="15.75" customHeight="1">
      <c r="A137" s="91">
        <v>2.0</v>
      </c>
      <c r="B137" s="92" t="s">
        <v>38</v>
      </c>
      <c r="C137" s="93" t="s">
        <v>179</v>
      </c>
      <c r="D137" s="22">
        <v>21000.0</v>
      </c>
      <c r="E137" s="15">
        <f t="shared" si="20"/>
        <v>42000</v>
      </c>
      <c r="F137" s="15">
        <f t="shared" si="21"/>
        <v>46410</v>
      </c>
      <c r="G137" s="3"/>
      <c r="H137" s="3"/>
      <c r="I137" s="22">
        <v>18000.0</v>
      </c>
      <c r="J137" s="15">
        <f t="shared" si="22"/>
        <v>36000</v>
      </c>
      <c r="K137" s="15">
        <f t="shared" si="23"/>
        <v>10410</v>
      </c>
      <c r="L137" s="116">
        <f t="shared" si="24"/>
        <v>0.2478571429</v>
      </c>
      <c r="M137" s="1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 ht="15.75" customHeight="1">
      <c r="A138" s="91">
        <v>1.0</v>
      </c>
      <c r="B138" s="92" t="s">
        <v>50</v>
      </c>
      <c r="C138" s="93" t="s">
        <v>235</v>
      </c>
      <c r="D138" s="22">
        <v>3000.0</v>
      </c>
      <c r="E138" s="15">
        <f t="shared" si="20"/>
        <v>3000</v>
      </c>
      <c r="F138" s="15">
        <f t="shared" si="21"/>
        <v>3315</v>
      </c>
      <c r="G138" s="3"/>
      <c r="H138" s="3"/>
      <c r="I138" s="22">
        <v>2000.0</v>
      </c>
      <c r="J138" s="15">
        <f t="shared" si="22"/>
        <v>2000</v>
      </c>
      <c r="K138" s="15">
        <f t="shared" si="23"/>
        <v>1315</v>
      </c>
      <c r="L138" s="116">
        <f t="shared" si="24"/>
        <v>0.4383333333</v>
      </c>
      <c r="M138" s="1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 ht="15.75" customHeight="1">
      <c r="A139" s="91">
        <v>1.0</v>
      </c>
      <c r="B139" s="92" t="s">
        <v>50</v>
      </c>
      <c r="C139" s="93" t="s">
        <v>171</v>
      </c>
      <c r="D139" s="22">
        <v>3000.0</v>
      </c>
      <c r="E139" s="15">
        <f t="shared" si="20"/>
        <v>3000</v>
      </c>
      <c r="F139" s="15">
        <f t="shared" si="21"/>
        <v>3315</v>
      </c>
      <c r="G139" s="3"/>
      <c r="H139" s="3"/>
      <c r="I139" s="22">
        <v>2000.0</v>
      </c>
      <c r="J139" s="15">
        <f t="shared" si="22"/>
        <v>2000</v>
      </c>
      <c r="K139" s="15">
        <f t="shared" si="23"/>
        <v>1315</v>
      </c>
      <c r="L139" s="116">
        <f t="shared" si="24"/>
        <v>0.4383333333</v>
      </c>
      <c r="M139" s="1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91">
        <v>0.5</v>
      </c>
      <c r="B140" s="92" t="s">
        <v>50</v>
      </c>
      <c r="C140" s="93" t="s">
        <v>68</v>
      </c>
      <c r="D140" s="22">
        <v>4000.0</v>
      </c>
      <c r="E140" s="15">
        <f t="shared" si="20"/>
        <v>2000</v>
      </c>
      <c r="F140" s="15">
        <f t="shared" si="21"/>
        <v>2210</v>
      </c>
      <c r="G140" s="3"/>
      <c r="H140" s="3"/>
      <c r="I140" s="22">
        <v>1000.0</v>
      </c>
      <c r="J140" s="15">
        <f t="shared" si="22"/>
        <v>500</v>
      </c>
      <c r="K140" s="15">
        <f t="shared" si="23"/>
        <v>1710</v>
      </c>
      <c r="L140" s="116">
        <f t="shared" si="24"/>
        <v>0.855</v>
      </c>
      <c r="M140" s="1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 ht="15.75" customHeight="1">
      <c r="A141" s="91">
        <v>2.0</v>
      </c>
      <c r="B141" s="92" t="s">
        <v>33</v>
      </c>
      <c r="C141" s="93" t="s">
        <v>24</v>
      </c>
      <c r="D141" s="22">
        <v>4000.0</v>
      </c>
      <c r="E141" s="15">
        <f t="shared" si="20"/>
        <v>8000</v>
      </c>
      <c r="F141" s="15">
        <f t="shared" si="21"/>
        <v>8840</v>
      </c>
      <c r="G141" s="3"/>
      <c r="H141" s="3"/>
      <c r="I141" s="15">
        <f>28000/8</f>
        <v>3500</v>
      </c>
      <c r="J141" s="15">
        <f t="shared" si="22"/>
        <v>7000</v>
      </c>
      <c r="K141" s="15">
        <f t="shared" si="23"/>
        <v>1840</v>
      </c>
      <c r="L141" s="116">
        <f t="shared" si="24"/>
        <v>0.23</v>
      </c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91">
        <v>1.0</v>
      </c>
      <c r="B142" s="92" t="s">
        <v>33</v>
      </c>
      <c r="C142" s="93" t="s">
        <v>25</v>
      </c>
      <c r="D142" s="22">
        <v>3100.0</v>
      </c>
      <c r="E142" s="15">
        <f t="shared" si="20"/>
        <v>3100</v>
      </c>
      <c r="F142" s="15">
        <f t="shared" si="21"/>
        <v>3425.5</v>
      </c>
      <c r="G142" s="3"/>
      <c r="H142" s="3"/>
      <c r="I142" s="15">
        <f>12000/8</f>
        <v>1500</v>
      </c>
      <c r="J142" s="15">
        <f t="shared" si="22"/>
        <v>1500</v>
      </c>
      <c r="K142" s="15">
        <f t="shared" si="23"/>
        <v>1925.5</v>
      </c>
      <c r="L142" s="116">
        <f t="shared" si="24"/>
        <v>0.6211290323</v>
      </c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91">
        <v>1.0</v>
      </c>
      <c r="B143" s="10" t="s">
        <v>33</v>
      </c>
      <c r="C143" s="93" t="s">
        <v>26</v>
      </c>
      <c r="D143" s="22">
        <v>4000.0</v>
      </c>
      <c r="E143" s="15">
        <f t="shared" si="20"/>
        <v>4000</v>
      </c>
      <c r="F143" s="15">
        <f t="shared" si="21"/>
        <v>4420</v>
      </c>
      <c r="G143" s="3"/>
      <c r="H143" s="3"/>
      <c r="I143" s="15">
        <f>22000/8</f>
        <v>2750</v>
      </c>
      <c r="J143" s="15">
        <f t="shared" si="22"/>
        <v>2750</v>
      </c>
      <c r="K143" s="15">
        <f t="shared" si="23"/>
        <v>1670</v>
      </c>
      <c r="L143" s="116">
        <f t="shared" si="24"/>
        <v>0.4175</v>
      </c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 ht="15.75" customHeight="1">
      <c r="A144" s="91">
        <v>1.0</v>
      </c>
      <c r="B144" s="92" t="s">
        <v>50</v>
      </c>
      <c r="C144" s="93" t="s">
        <v>89</v>
      </c>
      <c r="D144" s="22">
        <v>6000.0</v>
      </c>
      <c r="E144" s="15">
        <f t="shared" si="20"/>
        <v>6000</v>
      </c>
      <c r="F144" s="15">
        <f t="shared" si="21"/>
        <v>6630</v>
      </c>
      <c r="G144" s="3"/>
      <c r="H144" s="3"/>
      <c r="I144" s="22">
        <v>4100.0</v>
      </c>
      <c r="J144" s="15">
        <f t="shared" si="22"/>
        <v>4100</v>
      </c>
      <c r="K144" s="15">
        <f t="shared" si="23"/>
        <v>2530</v>
      </c>
      <c r="L144" s="116">
        <f t="shared" si="24"/>
        <v>0.4216666667</v>
      </c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91">
        <v>1.5</v>
      </c>
      <c r="B145" s="10" t="s">
        <v>33</v>
      </c>
      <c r="C145" s="93" t="s">
        <v>99</v>
      </c>
      <c r="D145" s="22">
        <v>1800.0</v>
      </c>
      <c r="E145" s="15">
        <f t="shared" si="20"/>
        <v>2700</v>
      </c>
      <c r="F145" s="15">
        <f t="shared" si="21"/>
        <v>2983.5</v>
      </c>
      <c r="G145" s="3"/>
      <c r="H145" s="3"/>
      <c r="I145" s="22">
        <v>1000.0</v>
      </c>
      <c r="J145" s="15">
        <f t="shared" si="22"/>
        <v>1500</v>
      </c>
      <c r="K145" s="15">
        <f t="shared" si="23"/>
        <v>1483.5</v>
      </c>
      <c r="L145" s="116">
        <f t="shared" si="24"/>
        <v>0.5494444444</v>
      </c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91">
        <v>1.0</v>
      </c>
      <c r="B146" s="10" t="s">
        <v>33</v>
      </c>
      <c r="C146" s="93" t="s">
        <v>98</v>
      </c>
      <c r="D146" s="22">
        <v>1800.0</v>
      </c>
      <c r="E146" s="15">
        <f t="shared" si="20"/>
        <v>1800</v>
      </c>
      <c r="F146" s="15">
        <f t="shared" si="21"/>
        <v>1989</v>
      </c>
      <c r="G146" s="3"/>
      <c r="H146" s="3"/>
      <c r="I146" s="22">
        <v>1000.0</v>
      </c>
      <c r="J146" s="15">
        <f t="shared" si="22"/>
        <v>1000</v>
      </c>
      <c r="K146" s="15">
        <f t="shared" si="23"/>
        <v>989</v>
      </c>
      <c r="L146" s="116">
        <f t="shared" si="24"/>
        <v>0.5494444444</v>
      </c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91">
        <v>4.0</v>
      </c>
      <c r="B147" s="10" t="s">
        <v>33</v>
      </c>
      <c r="C147" s="93" t="s">
        <v>64</v>
      </c>
      <c r="D147" s="22">
        <v>2300.0</v>
      </c>
      <c r="E147" s="15">
        <f t="shared" si="20"/>
        <v>9200</v>
      </c>
      <c r="F147" s="15">
        <f t="shared" si="21"/>
        <v>10166</v>
      </c>
      <c r="G147" s="3"/>
      <c r="H147" s="3"/>
      <c r="I147" s="22">
        <f>20000/15</f>
        <v>1333.333333</v>
      </c>
      <c r="J147" s="15">
        <f t="shared" si="22"/>
        <v>5333.333333</v>
      </c>
      <c r="K147" s="15">
        <f t="shared" si="23"/>
        <v>4832.666667</v>
      </c>
      <c r="L147" s="116">
        <f t="shared" si="24"/>
        <v>0.5252898551</v>
      </c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91">
        <v>1.0</v>
      </c>
      <c r="B148" s="92" t="s">
        <v>38</v>
      </c>
      <c r="C148" s="93" t="s">
        <v>47</v>
      </c>
      <c r="D148" s="22">
        <v>13000.0</v>
      </c>
      <c r="E148" s="15">
        <f t="shared" si="20"/>
        <v>13000</v>
      </c>
      <c r="F148" s="15">
        <f t="shared" si="21"/>
        <v>14365</v>
      </c>
      <c r="G148" s="3"/>
      <c r="H148" s="3"/>
      <c r="I148" s="121">
        <v>8000.0</v>
      </c>
      <c r="J148" s="15">
        <f t="shared" si="22"/>
        <v>8000</v>
      </c>
      <c r="K148" s="15">
        <f t="shared" si="23"/>
        <v>6365</v>
      </c>
      <c r="L148" s="116">
        <f t="shared" si="24"/>
        <v>0.4896153846</v>
      </c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91">
        <v>2.0</v>
      </c>
      <c r="B149" s="10" t="s">
        <v>33</v>
      </c>
      <c r="C149" s="93" t="s">
        <v>289</v>
      </c>
      <c r="D149" s="22">
        <v>2200.0</v>
      </c>
      <c r="E149" s="15">
        <f t="shared" si="20"/>
        <v>4400</v>
      </c>
      <c r="F149" s="15">
        <f t="shared" si="21"/>
        <v>4862</v>
      </c>
      <c r="G149" s="3"/>
      <c r="H149" s="3"/>
      <c r="I149" s="121">
        <v>1200.0</v>
      </c>
      <c r="J149" s="15">
        <f t="shared" si="22"/>
        <v>2400</v>
      </c>
      <c r="K149" s="15">
        <f t="shared" si="23"/>
        <v>2462</v>
      </c>
      <c r="L149" s="116">
        <f t="shared" si="24"/>
        <v>0.5595454545</v>
      </c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91">
        <v>0.5</v>
      </c>
      <c r="B150" s="10" t="s">
        <v>33</v>
      </c>
      <c r="C150" s="93" t="s">
        <v>23</v>
      </c>
      <c r="D150" s="22">
        <v>1400.0</v>
      </c>
      <c r="E150" s="15">
        <f t="shared" si="20"/>
        <v>700</v>
      </c>
      <c r="F150" s="15">
        <f t="shared" si="21"/>
        <v>773.5</v>
      </c>
      <c r="G150" s="3"/>
      <c r="H150" s="3"/>
      <c r="I150" s="86">
        <v>1000.0</v>
      </c>
      <c r="J150" s="15">
        <f t="shared" si="22"/>
        <v>500</v>
      </c>
      <c r="K150" s="15">
        <f t="shared" si="23"/>
        <v>273.5</v>
      </c>
      <c r="L150" s="116">
        <f t="shared" si="24"/>
        <v>0.3907142857</v>
      </c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91">
        <v>1.25</v>
      </c>
      <c r="B151" s="10" t="s">
        <v>33</v>
      </c>
      <c r="C151" s="93" t="s">
        <v>233</v>
      </c>
      <c r="D151" s="22">
        <v>2800.0</v>
      </c>
      <c r="E151" s="15">
        <f t="shared" si="20"/>
        <v>3500</v>
      </c>
      <c r="F151" s="15">
        <f t="shared" si="21"/>
        <v>3867.5</v>
      </c>
      <c r="G151" s="3"/>
      <c r="H151" s="3"/>
      <c r="I151" s="3">
        <f>8000/7</f>
        <v>1142.857143</v>
      </c>
      <c r="J151" s="15">
        <f t="shared" si="22"/>
        <v>1428.571429</v>
      </c>
      <c r="K151" s="15">
        <f t="shared" si="23"/>
        <v>2438.928571</v>
      </c>
      <c r="L151" s="116">
        <f t="shared" si="24"/>
        <v>0.6968367347</v>
      </c>
      <c r="M151" s="1"/>
      <c r="N151" s="3"/>
      <c r="O151" s="2"/>
      <c r="P151" s="3"/>
      <c r="Q151" s="3"/>
      <c r="R151" s="9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91">
        <v>6.0</v>
      </c>
      <c r="B152" s="92" t="s">
        <v>50</v>
      </c>
      <c r="C152" s="93" t="s">
        <v>65</v>
      </c>
      <c r="D152" s="22">
        <v>500.0</v>
      </c>
      <c r="E152" s="15">
        <f t="shared" si="20"/>
        <v>3000</v>
      </c>
      <c r="F152" s="15">
        <f t="shared" si="21"/>
        <v>3315</v>
      </c>
      <c r="G152" s="3"/>
      <c r="H152" s="3"/>
      <c r="I152" s="3">
        <f>6000/24</f>
        <v>250</v>
      </c>
      <c r="J152" s="15">
        <f t="shared" si="22"/>
        <v>1500</v>
      </c>
      <c r="K152" s="15">
        <f t="shared" si="23"/>
        <v>1815</v>
      </c>
      <c r="L152" s="116">
        <f t="shared" si="24"/>
        <v>0.605</v>
      </c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91">
        <v>2.0</v>
      </c>
      <c r="B153" s="92" t="s">
        <v>231</v>
      </c>
      <c r="C153" s="93" t="s">
        <v>277</v>
      </c>
      <c r="D153" s="22">
        <v>4500.0</v>
      </c>
      <c r="E153" s="15">
        <f t="shared" si="20"/>
        <v>9000</v>
      </c>
      <c r="F153" s="15">
        <f>E153*1.21</f>
        <v>10890</v>
      </c>
      <c r="G153" s="3"/>
      <c r="H153" s="3"/>
      <c r="I153" s="3">
        <f>52000/12</f>
        <v>4333.333333</v>
      </c>
      <c r="J153" s="15">
        <f t="shared" si="22"/>
        <v>8666.666667</v>
      </c>
      <c r="K153" s="15">
        <f t="shared" si="23"/>
        <v>2223.333333</v>
      </c>
      <c r="L153" s="116">
        <f t="shared" si="24"/>
        <v>0.247037037</v>
      </c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1"/>
      <c r="B154" s="3"/>
      <c r="C154" s="2"/>
      <c r="D154" s="3"/>
      <c r="E154" s="3"/>
      <c r="F154" s="3"/>
      <c r="G154" s="3"/>
      <c r="H154" s="3"/>
      <c r="I154" s="3"/>
      <c r="J154" s="3"/>
      <c r="K154" s="3"/>
      <c r="L154" s="118"/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1"/>
      <c r="B155" s="3"/>
      <c r="C155" s="2"/>
      <c r="D155" s="3"/>
      <c r="E155" s="15">
        <f t="shared" ref="E155:F155" si="25">SUM(E126:E153)</f>
        <v>283400</v>
      </c>
      <c r="F155" s="15">
        <f t="shared" si="25"/>
        <v>314102</v>
      </c>
      <c r="G155" s="3"/>
      <c r="H155" s="3"/>
      <c r="I155" s="3"/>
      <c r="J155" s="3"/>
      <c r="K155" s="15">
        <f>SUM(K126:K153)</f>
        <v>100585.0047</v>
      </c>
      <c r="L155" s="116">
        <f>IFERROR(K155/E155, 0)</f>
        <v>0.3549223879</v>
      </c>
      <c r="M155" s="1"/>
      <c r="N155" s="3"/>
      <c r="O155" s="2"/>
      <c r="P155" s="3"/>
      <c r="Q155" s="3"/>
      <c r="R155" s="9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3"/>
      <c r="T157" s="3"/>
      <c r="U157" s="3"/>
      <c r="V157" s="3"/>
      <c r="W157" s="3"/>
      <c r="X157" s="3"/>
      <c r="Y157" s="3"/>
      <c r="Z157" s="3"/>
    </row>
    <row r="158">
      <c r="A158" s="5" t="s">
        <v>313</v>
      </c>
      <c r="D158" s="3"/>
      <c r="E158" s="86" t="s">
        <v>170</v>
      </c>
      <c r="F158" s="7">
        <v>46073.0</v>
      </c>
      <c r="G158" s="3"/>
      <c r="H158" s="3"/>
      <c r="I158" s="8" t="s">
        <v>3</v>
      </c>
      <c r="L158" s="4"/>
      <c r="M158" s="1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1"/>
      <c r="B159" s="3"/>
      <c r="C159" s="9"/>
      <c r="D159" s="3"/>
      <c r="E159" s="3"/>
      <c r="F159" s="3"/>
      <c r="G159" s="3"/>
      <c r="H159" s="3"/>
      <c r="I159" s="3"/>
      <c r="J159" s="3"/>
      <c r="K159" s="3"/>
      <c r="L159" s="4"/>
      <c r="M159" s="1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5" t="s">
        <v>4</v>
      </c>
      <c r="B160" s="10" t="s">
        <v>5</v>
      </c>
      <c r="C160" s="96" t="s">
        <v>6</v>
      </c>
      <c r="D160" s="10" t="s">
        <v>7</v>
      </c>
      <c r="E160" s="10" t="s">
        <v>8</v>
      </c>
      <c r="F160" s="10" t="s">
        <v>9</v>
      </c>
      <c r="G160" s="3"/>
      <c r="H160" s="3"/>
      <c r="I160" s="10" t="s">
        <v>260</v>
      </c>
      <c r="J160" s="10" t="s">
        <v>8</v>
      </c>
      <c r="K160" s="10" t="s">
        <v>10</v>
      </c>
      <c r="L160" s="4"/>
      <c r="M160" s="1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>
      <c r="A161" s="91">
        <v>2.0</v>
      </c>
      <c r="B161" s="92" t="s">
        <v>5</v>
      </c>
      <c r="C161" s="93" t="s">
        <v>176</v>
      </c>
      <c r="D161" s="22">
        <v>900.0</v>
      </c>
      <c r="E161" s="15">
        <f t="shared" ref="E161:E194" si="26">A161*D161</f>
        <v>1800</v>
      </c>
      <c r="F161" s="15">
        <f t="shared" ref="F161:F193" si="27">E161*1.105</f>
        <v>1989</v>
      </c>
      <c r="G161" s="3"/>
      <c r="H161" s="3"/>
      <c r="I161" s="22">
        <v>560.0</v>
      </c>
      <c r="J161" s="15">
        <f t="shared" ref="J161:J194" si="28">I161*A161</f>
        <v>1120</v>
      </c>
      <c r="K161" s="15">
        <f t="shared" ref="K161:K194" si="29">F161-J161</f>
        <v>869</v>
      </c>
      <c r="L161" s="116">
        <f t="shared" ref="L161:L194" si="30">IFERROR(K161/E161, 0)</f>
        <v>0.4827777778</v>
      </c>
      <c r="M161" s="1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>
      <c r="A162" s="26">
        <v>1.0</v>
      </c>
      <c r="B162" s="92" t="s">
        <v>50</v>
      </c>
      <c r="C162" s="93" t="s">
        <v>16</v>
      </c>
      <c r="D162" s="22">
        <v>1000.0</v>
      </c>
      <c r="E162" s="15">
        <f t="shared" si="26"/>
        <v>1000</v>
      </c>
      <c r="F162" s="15">
        <f t="shared" si="27"/>
        <v>1105</v>
      </c>
      <c r="G162" s="3"/>
      <c r="H162" s="3"/>
      <c r="I162" s="15">
        <f>6000/12</f>
        <v>500</v>
      </c>
      <c r="J162" s="15">
        <f t="shared" si="28"/>
        <v>500</v>
      </c>
      <c r="K162" s="15">
        <f t="shared" si="29"/>
        <v>605</v>
      </c>
      <c r="L162" s="116">
        <f t="shared" si="30"/>
        <v>0.605</v>
      </c>
      <c r="M162" s="1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>
      <c r="A163" s="91">
        <v>3.0</v>
      </c>
      <c r="B163" s="92" t="s">
        <v>33</v>
      </c>
      <c r="C163" s="93" t="s">
        <v>55</v>
      </c>
      <c r="D163" s="22">
        <v>2800.0</v>
      </c>
      <c r="E163" s="15">
        <f t="shared" si="26"/>
        <v>8400</v>
      </c>
      <c r="F163" s="15">
        <f t="shared" si="27"/>
        <v>9282</v>
      </c>
      <c r="G163" s="3"/>
      <c r="H163" s="3"/>
      <c r="I163" s="22">
        <f>15000/18</f>
        <v>833.3333333</v>
      </c>
      <c r="J163" s="15">
        <f t="shared" si="28"/>
        <v>2500</v>
      </c>
      <c r="K163" s="15">
        <f t="shared" si="29"/>
        <v>6782</v>
      </c>
      <c r="L163" s="116">
        <f t="shared" si="30"/>
        <v>0.8073809524</v>
      </c>
      <c r="M163" s="1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>
      <c r="A164" s="91">
        <v>2.0</v>
      </c>
      <c r="B164" s="92" t="s">
        <v>33</v>
      </c>
      <c r="C164" s="93" t="s">
        <v>180</v>
      </c>
      <c r="D164" s="22">
        <v>1600.0</v>
      </c>
      <c r="E164" s="15">
        <f t="shared" si="26"/>
        <v>3200</v>
      </c>
      <c r="F164" s="15">
        <f t="shared" si="27"/>
        <v>3536</v>
      </c>
      <c r="G164" s="3"/>
      <c r="H164" s="3"/>
      <c r="I164" s="22">
        <f>10500/11</f>
        <v>954.5454545</v>
      </c>
      <c r="J164" s="15">
        <f t="shared" si="28"/>
        <v>1909.090909</v>
      </c>
      <c r="K164" s="15">
        <f t="shared" si="29"/>
        <v>1626.909091</v>
      </c>
      <c r="L164" s="116">
        <f t="shared" si="30"/>
        <v>0.5084090909</v>
      </c>
      <c r="M164" s="1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>
      <c r="A165" s="91">
        <v>2.0</v>
      </c>
      <c r="B165" s="92" t="s">
        <v>38</v>
      </c>
      <c r="C165" s="93" t="s">
        <v>179</v>
      </c>
      <c r="D165" s="22">
        <v>21000.0</v>
      </c>
      <c r="E165" s="15">
        <f t="shared" si="26"/>
        <v>42000</v>
      </c>
      <c r="F165" s="15">
        <f t="shared" si="27"/>
        <v>46410</v>
      </c>
      <c r="G165" s="3"/>
      <c r="H165" s="3"/>
      <c r="I165" s="22">
        <v>18000.0</v>
      </c>
      <c r="J165" s="15">
        <f t="shared" si="28"/>
        <v>36000</v>
      </c>
      <c r="K165" s="15">
        <f t="shared" si="29"/>
        <v>10410</v>
      </c>
      <c r="L165" s="116">
        <f t="shared" si="30"/>
        <v>0.2478571429</v>
      </c>
      <c r="M165" s="1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91">
        <v>1.0</v>
      </c>
      <c r="B166" s="92" t="s">
        <v>5</v>
      </c>
      <c r="C166" s="93" t="s">
        <v>95</v>
      </c>
      <c r="D166" s="22">
        <v>2500.0</v>
      </c>
      <c r="E166" s="15">
        <f t="shared" si="26"/>
        <v>2500</v>
      </c>
      <c r="F166" s="15">
        <f t="shared" si="27"/>
        <v>2762.5</v>
      </c>
      <c r="G166" s="3"/>
      <c r="H166" s="3"/>
      <c r="I166" s="22">
        <f>13000/8</f>
        <v>1625</v>
      </c>
      <c r="J166" s="15">
        <f t="shared" si="28"/>
        <v>1625</v>
      </c>
      <c r="K166" s="15">
        <f t="shared" si="29"/>
        <v>1137.5</v>
      </c>
      <c r="L166" s="116">
        <f t="shared" si="30"/>
        <v>0.455</v>
      </c>
      <c r="M166" s="1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91">
        <v>5.5</v>
      </c>
      <c r="B167" s="92" t="s">
        <v>33</v>
      </c>
      <c r="C167" s="93" t="s">
        <v>45</v>
      </c>
      <c r="D167" s="22">
        <v>1000.0</v>
      </c>
      <c r="E167" s="15">
        <f t="shared" si="26"/>
        <v>5500</v>
      </c>
      <c r="F167" s="15">
        <f t="shared" si="27"/>
        <v>6077.5</v>
      </c>
      <c r="G167" s="3"/>
      <c r="H167" s="3"/>
      <c r="I167" s="22">
        <f>10000/15</f>
        <v>666.6666667</v>
      </c>
      <c r="J167" s="15">
        <f t="shared" si="28"/>
        <v>3666.666667</v>
      </c>
      <c r="K167" s="15">
        <f t="shared" si="29"/>
        <v>2410.833333</v>
      </c>
      <c r="L167" s="116">
        <f t="shared" si="30"/>
        <v>0.4383333333</v>
      </c>
      <c r="M167" s="1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91">
        <v>2.0</v>
      </c>
      <c r="B168" s="92" t="s">
        <v>33</v>
      </c>
      <c r="C168" s="93" t="s">
        <v>67</v>
      </c>
      <c r="D168" s="22">
        <v>800.0</v>
      </c>
      <c r="E168" s="15">
        <f t="shared" si="26"/>
        <v>1600</v>
      </c>
      <c r="F168" s="15">
        <f t="shared" si="27"/>
        <v>1768</v>
      </c>
      <c r="G168" s="3"/>
      <c r="H168" s="3"/>
      <c r="I168" s="22">
        <f>8000/17</f>
        <v>470.5882353</v>
      </c>
      <c r="J168" s="15">
        <f t="shared" si="28"/>
        <v>941.1764706</v>
      </c>
      <c r="K168" s="15">
        <f t="shared" si="29"/>
        <v>826.8235294</v>
      </c>
      <c r="L168" s="116">
        <f t="shared" si="30"/>
        <v>0.5167647059</v>
      </c>
      <c r="M168" s="1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91">
        <v>1.0</v>
      </c>
      <c r="B169" s="92" t="s">
        <v>50</v>
      </c>
      <c r="C169" s="93" t="s">
        <v>236</v>
      </c>
      <c r="D169" s="22">
        <v>5000.0</v>
      </c>
      <c r="E169" s="15">
        <f t="shared" si="26"/>
        <v>5000</v>
      </c>
      <c r="F169" s="15">
        <f t="shared" si="27"/>
        <v>5525</v>
      </c>
      <c r="G169" s="3"/>
      <c r="H169" s="3"/>
      <c r="I169" s="22">
        <v>5000.0</v>
      </c>
      <c r="J169" s="15">
        <f t="shared" si="28"/>
        <v>5000</v>
      </c>
      <c r="K169" s="15">
        <f t="shared" si="29"/>
        <v>525</v>
      </c>
      <c r="L169" s="116">
        <f t="shared" si="30"/>
        <v>0.105</v>
      </c>
      <c r="M169" s="1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91">
        <v>4.0</v>
      </c>
      <c r="B170" s="92" t="s">
        <v>33</v>
      </c>
      <c r="C170" s="93" t="s">
        <v>174</v>
      </c>
      <c r="D170" s="22">
        <v>1600.0</v>
      </c>
      <c r="E170" s="15">
        <f t="shared" si="26"/>
        <v>6400</v>
      </c>
      <c r="F170" s="15">
        <f t="shared" si="27"/>
        <v>7072</v>
      </c>
      <c r="G170" s="3"/>
      <c r="H170" s="3"/>
      <c r="I170" s="22">
        <f>18000/17</f>
        <v>1058.823529</v>
      </c>
      <c r="J170" s="15">
        <f t="shared" si="28"/>
        <v>4235.294118</v>
      </c>
      <c r="K170" s="15">
        <f t="shared" si="29"/>
        <v>2836.705882</v>
      </c>
      <c r="L170" s="116">
        <f t="shared" si="30"/>
        <v>0.4432352941</v>
      </c>
      <c r="M170" s="1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117">
        <v>1.0</v>
      </c>
      <c r="B171" s="92" t="s">
        <v>33</v>
      </c>
      <c r="C171" s="93" t="s">
        <v>349</v>
      </c>
      <c r="D171" s="22">
        <v>4000.0</v>
      </c>
      <c r="E171" s="15">
        <f t="shared" si="26"/>
        <v>4000</v>
      </c>
      <c r="F171" s="15">
        <f t="shared" si="27"/>
        <v>4420</v>
      </c>
      <c r="G171" s="3"/>
      <c r="H171" s="3"/>
      <c r="I171" s="22">
        <f>22000/8</f>
        <v>2750</v>
      </c>
      <c r="J171" s="15">
        <f t="shared" si="28"/>
        <v>2750</v>
      </c>
      <c r="K171" s="15">
        <f t="shared" si="29"/>
        <v>1670</v>
      </c>
      <c r="L171" s="116">
        <f t="shared" si="30"/>
        <v>0.4175</v>
      </c>
      <c r="M171" s="1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91">
        <v>15.0</v>
      </c>
      <c r="B172" s="92" t="s">
        <v>5</v>
      </c>
      <c r="C172" s="93" t="s">
        <v>241</v>
      </c>
      <c r="D172" s="22">
        <v>800.0</v>
      </c>
      <c r="E172" s="15">
        <f t="shared" si="26"/>
        <v>12000</v>
      </c>
      <c r="F172" s="15">
        <f t="shared" si="27"/>
        <v>13260</v>
      </c>
      <c r="G172" s="3"/>
      <c r="H172" s="3"/>
      <c r="I172" s="22">
        <f>12000/40</f>
        <v>300</v>
      </c>
      <c r="J172" s="15">
        <f t="shared" si="28"/>
        <v>4500</v>
      </c>
      <c r="K172" s="15">
        <f t="shared" si="29"/>
        <v>8760</v>
      </c>
      <c r="L172" s="116">
        <f t="shared" si="30"/>
        <v>0.73</v>
      </c>
      <c r="M172" s="1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91">
        <v>1.0</v>
      </c>
      <c r="B173" s="92" t="s">
        <v>50</v>
      </c>
      <c r="C173" s="93" t="s">
        <v>235</v>
      </c>
      <c r="D173" s="22">
        <v>3000.0</v>
      </c>
      <c r="E173" s="15">
        <f t="shared" si="26"/>
        <v>3000</v>
      </c>
      <c r="F173" s="15">
        <f t="shared" si="27"/>
        <v>3315</v>
      </c>
      <c r="G173" s="3"/>
      <c r="H173" s="3"/>
      <c r="I173" s="22">
        <v>2000.0</v>
      </c>
      <c r="J173" s="15">
        <f t="shared" si="28"/>
        <v>2000</v>
      </c>
      <c r="K173" s="15">
        <f t="shared" si="29"/>
        <v>1315</v>
      </c>
      <c r="L173" s="116">
        <f t="shared" si="30"/>
        <v>0.4383333333</v>
      </c>
      <c r="M173" s="1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91">
        <v>1.0</v>
      </c>
      <c r="B174" s="92" t="s">
        <v>50</v>
      </c>
      <c r="C174" s="93" t="s">
        <v>171</v>
      </c>
      <c r="D174" s="22">
        <v>3000.0</v>
      </c>
      <c r="E174" s="15">
        <f t="shared" si="26"/>
        <v>3000</v>
      </c>
      <c r="F174" s="15">
        <f t="shared" si="27"/>
        <v>3315</v>
      </c>
      <c r="G174" s="3"/>
      <c r="H174" s="3"/>
      <c r="I174" s="22">
        <v>2000.0</v>
      </c>
      <c r="J174" s="15">
        <f t="shared" si="28"/>
        <v>2000</v>
      </c>
      <c r="K174" s="15">
        <f t="shared" si="29"/>
        <v>1315</v>
      </c>
      <c r="L174" s="116">
        <f t="shared" si="30"/>
        <v>0.4383333333</v>
      </c>
      <c r="M174" s="1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91">
        <v>2.0</v>
      </c>
      <c r="B175" s="92" t="s">
        <v>33</v>
      </c>
      <c r="C175" s="93" t="s">
        <v>289</v>
      </c>
      <c r="D175" s="22">
        <v>2200.0</v>
      </c>
      <c r="E175" s="15">
        <f t="shared" si="26"/>
        <v>4400</v>
      </c>
      <c r="F175" s="15">
        <f t="shared" si="27"/>
        <v>4862</v>
      </c>
      <c r="G175" s="3"/>
      <c r="H175" s="3"/>
      <c r="I175" s="22">
        <v>1200.0</v>
      </c>
      <c r="J175" s="15">
        <f t="shared" si="28"/>
        <v>2400</v>
      </c>
      <c r="K175" s="15">
        <f t="shared" si="29"/>
        <v>2462</v>
      </c>
      <c r="L175" s="116">
        <f t="shared" si="30"/>
        <v>0.5595454545</v>
      </c>
      <c r="M175" s="1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91">
        <v>8.0</v>
      </c>
      <c r="B176" s="92" t="s">
        <v>33</v>
      </c>
      <c r="C176" s="93" t="s">
        <v>330</v>
      </c>
      <c r="D176" s="22">
        <v>1600.0</v>
      </c>
      <c r="E176" s="15">
        <f t="shared" si="26"/>
        <v>12800</v>
      </c>
      <c r="F176" s="15">
        <f t="shared" si="27"/>
        <v>14144</v>
      </c>
      <c r="G176" s="3"/>
      <c r="H176" s="3"/>
      <c r="I176" s="22">
        <v>1000.0</v>
      </c>
      <c r="J176" s="15">
        <f t="shared" si="28"/>
        <v>8000</v>
      </c>
      <c r="K176" s="15">
        <f t="shared" si="29"/>
        <v>6144</v>
      </c>
      <c r="L176" s="116">
        <f t="shared" si="30"/>
        <v>0.48</v>
      </c>
      <c r="M176" s="1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91">
        <v>2.0</v>
      </c>
      <c r="B177" s="92" t="s">
        <v>33</v>
      </c>
      <c r="C177" s="93" t="s">
        <v>233</v>
      </c>
      <c r="D177" s="22">
        <v>2800.0</v>
      </c>
      <c r="E177" s="15">
        <f t="shared" si="26"/>
        <v>5600</v>
      </c>
      <c r="F177" s="15">
        <f t="shared" si="27"/>
        <v>6188</v>
      </c>
      <c r="G177" s="3"/>
      <c r="H177" s="3"/>
      <c r="I177" s="15">
        <f>8000/7</f>
        <v>1142.857143</v>
      </c>
      <c r="J177" s="15">
        <f t="shared" si="28"/>
        <v>2285.714286</v>
      </c>
      <c r="K177" s="15">
        <f t="shared" si="29"/>
        <v>3902.285714</v>
      </c>
      <c r="L177" s="116">
        <f t="shared" si="30"/>
        <v>0.6968367347</v>
      </c>
      <c r="M177" s="1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91">
        <v>4.0</v>
      </c>
      <c r="B178" s="10" t="s">
        <v>33</v>
      </c>
      <c r="C178" s="93" t="s">
        <v>78</v>
      </c>
      <c r="D178" s="22">
        <v>4500.0</v>
      </c>
      <c r="E178" s="15">
        <f t="shared" si="26"/>
        <v>18000</v>
      </c>
      <c r="F178" s="15">
        <f t="shared" si="27"/>
        <v>19890</v>
      </c>
      <c r="G178" s="3"/>
      <c r="H178" s="3"/>
      <c r="I178" s="15">
        <f>65000/18</f>
        <v>3611.111111</v>
      </c>
      <c r="J178" s="15">
        <f t="shared" si="28"/>
        <v>14444.44444</v>
      </c>
      <c r="K178" s="15">
        <f t="shared" si="29"/>
        <v>5445.555556</v>
      </c>
      <c r="L178" s="116">
        <f t="shared" si="30"/>
        <v>0.3025308642</v>
      </c>
      <c r="M178" s="1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91">
        <v>5.0</v>
      </c>
      <c r="B179" s="10" t="s">
        <v>33</v>
      </c>
      <c r="C179" s="93" t="s">
        <v>232</v>
      </c>
      <c r="D179" s="22">
        <v>4000.0</v>
      </c>
      <c r="E179" s="15">
        <f t="shared" si="26"/>
        <v>20000</v>
      </c>
      <c r="F179" s="15">
        <f t="shared" si="27"/>
        <v>22100</v>
      </c>
      <c r="G179" s="3"/>
      <c r="H179" s="3"/>
      <c r="I179" s="15">
        <f>60000/18</f>
        <v>3333.333333</v>
      </c>
      <c r="J179" s="15">
        <f t="shared" si="28"/>
        <v>16666.66667</v>
      </c>
      <c r="K179" s="15">
        <f t="shared" si="29"/>
        <v>5433.333333</v>
      </c>
      <c r="L179" s="116">
        <f t="shared" si="30"/>
        <v>0.2716666667</v>
      </c>
      <c r="M179" s="1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91">
        <v>2.0</v>
      </c>
      <c r="B180" s="92" t="s">
        <v>33</v>
      </c>
      <c r="C180" s="93" t="s">
        <v>26</v>
      </c>
      <c r="D180" s="22">
        <v>4000.0</v>
      </c>
      <c r="E180" s="15">
        <f t="shared" si="26"/>
        <v>8000</v>
      </c>
      <c r="F180" s="15">
        <f t="shared" si="27"/>
        <v>8840</v>
      </c>
      <c r="G180" s="3"/>
      <c r="H180" s="3"/>
      <c r="I180" s="3">
        <f>22000/8</f>
        <v>2750</v>
      </c>
      <c r="J180" s="15">
        <f t="shared" si="28"/>
        <v>5500</v>
      </c>
      <c r="K180" s="15">
        <f t="shared" si="29"/>
        <v>3340</v>
      </c>
      <c r="L180" s="116">
        <f t="shared" si="30"/>
        <v>0.4175</v>
      </c>
      <c r="M180" s="1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91">
        <v>3.0</v>
      </c>
      <c r="B181" s="10" t="s">
        <v>33</v>
      </c>
      <c r="C181" s="93" t="s">
        <v>24</v>
      </c>
      <c r="D181" s="22">
        <v>4000.0</v>
      </c>
      <c r="E181" s="15">
        <f t="shared" si="26"/>
        <v>12000</v>
      </c>
      <c r="F181" s="15">
        <f t="shared" si="27"/>
        <v>13260</v>
      </c>
      <c r="G181" s="3"/>
      <c r="H181" s="3"/>
      <c r="I181" s="3">
        <f>28000/8</f>
        <v>3500</v>
      </c>
      <c r="J181" s="15">
        <f t="shared" si="28"/>
        <v>10500</v>
      </c>
      <c r="K181" s="15">
        <f t="shared" si="29"/>
        <v>2760</v>
      </c>
      <c r="L181" s="116">
        <f t="shared" si="30"/>
        <v>0.23</v>
      </c>
      <c r="M181" s="1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91">
        <v>2.0</v>
      </c>
      <c r="B182" s="10" t="s">
        <v>33</v>
      </c>
      <c r="C182" s="93" t="s">
        <v>25</v>
      </c>
      <c r="D182" s="22">
        <v>3100.0</v>
      </c>
      <c r="E182" s="15">
        <f t="shared" si="26"/>
        <v>6200</v>
      </c>
      <c r="F182" s="15">
        <f t="shared" si="27"/>
        <v>6851</v>
      </c>
      <c r="G182" s="3"/>
      <c r="H182" s="3"/>
      <c r="I182" s="3">
        <f>12000/8</f>
        <v>1500</v>
      </c>
      <c r="J182" s="15">
        <f t="shared" si="28"/>
        <v>3000</v>
      </c>
      <c r="K182" s="15">
        <f t="shared" si="29"/>
        <v>3851</v>
      </c>
      <c r="L182" s="116">
        <f t="shared" si="30"/>
        <v>0.6211290323</v>
      </c>
      <c r="M182" s="1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91">
        <v>2.0</v>
      </c>
      <c r="B183" s="92" t="s">
        <v>18</v>
      </c>
      <c r="C183" s="93" t="s">
        <v>54</v>
      </c>
      <c r="D183" s="22">
        <v>24000.0</v>
      </c>
      <c r="E183" s="15">
        <f t="shared" si="26"/>
        <v>48000</v>
      </c>
      <c r="F183" s="15">
        <f t="shared" si="27"/>
        <v>53040</v>
      </c>
      <c r="G183" s="3"/>
      <c r="H183" s="3"/>
      <c r="I183" s="86">
        <v>20000.0</v>
      </c>
      <c r="J183" s="15">
        <f t="shared" si="28"/>
        <v>40000</v>
      </c>
      <c r="K183" s="15">
        <f t="shared" si="29"/>
        <v>13040</v>
      </c>
      <c r="L183" s="116">
        <f t="shared" si="30"/>
        <v>0.2716666667</v>
      </c>
      <c r="M183" s="1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117">
        <v>1.0</v>
      </c>
      <c r="B184" s="10" t="s">
        <v>33</v>
      </c>
      <c r="C184" s="93" t="s">
        <v>177</v>
      </c>
      <c r="D184" s="22">
        <v>1000.0</v>
      </c>
      <c r="E184" s="15">
        <f t="shared" si="26"/>
        <v>1000</v>
      </c>
      <c r="F184" s="15">
        <f t="shared" si="27"/>
        <v>1105</v>
      </c>
      <c r="G184" s="3"/>
      <c r="H184" s="3"/>
      <c r="I184" s="3">
        <f>7000/14</f>
        <v>500</v>
      </c>
      <c r="J184" s="15">
        <f t="shared" si="28"/>
        <v>500</v>
      </c>
      <c r="K184" s="15">
        <f t="shared" si="29"/>
        <v>605</v>
      </c>
      <c r="L184" s="116">
        <f t="shared" si="30"/>
        <v>0.605</v>
      </c>
      <c r="M184" s="1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117">
        <v>1.0</v>
      </c>
      <c r="B185" s="10" t="s">
        <v>33</v>
      </c>
      <c r="C185" s="93" t="s">
        <v>56</v>
      </c>
      <c r="D185" s="22">
        <v>2200.0</v>
      </c>
      <c r="E185" s="15">
        <f t="shared" si="26"/>
        <v>2200</v>
      </c>
      <c r="F185" s="15">
        <f t="shared" si="27"/>
        <v>2431</v>
      </c>
      <c r="G185" s="3"/>
      <c r="H185" s="3"/>
      <c r="I185" s="3">
        <f>28000/17</f>
        <v>1647.058824</v>
      </c>
      <c r="J185" s="15">
        <f t="shared" si="28"/>
        <v>1647.058824</v>
      </c>
      <c r="K185" s="15">
        <f t="shared" si="29"/>
        <v>783.9411765</v>
      </c>
      <c r="L185" s="116">
        <f t="shared" si="30"/>
        <v>0.3563368984</v>
      </c>
      <c r="M185" s="1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91">
        <v>1.0</v>
      </c>
      <c r="B186" s="92" t="s">
        <v>50</v>
      </c>
      <c r="C186" s="93" t="s">
        <v>89</v>
      </c>
      <c r="D186" s="22">
        <v>6000.0</v>
      </c>
      <c r="E186" s="15">
        <f t="shared" si="26"/>
        <v>6000</v>
      </c>
      <c r="F186" s="15">
        <f t="shared" si="27"/>
        <v>6630</v>
      </c>
      <c r="G186" s="3"/>
      <c r="H186" s="3"/>
      <c r="I186" s="86">
        <v>4100.0</v>
      </c>
      <c r="J186" s="15">
        <f t="shared" si="28"/>
        <v>4100</v>
      </c>
      <c r="K186" s="15">
        <f t="shared" si="29"/>
        <v>2530</v>
      </c>
      <c r="L186" s="116">
        <f t="shared" si="30"/>
        <v>0.4216666667</v>
      </c>
      <c r="M186" s="1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91">
        <v>1.0</v>
      </c>
      <c r="B187" s="10" t="s">
        <v>33</v>
      </c>
      <c r="C187" s="93" t="s">
        <v>69</v>
      </c>
      <c r="D187" s="22">
        <v>2000.0</v>
      </c>
      <c r="E187" s="15">
        <f t="shared" si="26"/>
        <v>2000</v>
      </c>
      <c r="F187" s="15">
        <f t="shared" si="27"/>
        <v>2210</v>
      </c>
      <c r="G187" s="3"/>
      <c r="H187" s="3"/>
      <c r="I187" s="3">
        <f>15000/9</f>
        <v>1666.666667</v>
      </c>
      <c r="J187" s="15">
        <f t="shared" si="28"/>
        <v>1666.666667</v>
      </c>
      <c r="K187" s="15">
        <f t="shared" si="29"/>
        <v>543.3333333</v>
      </c>
      <c r="L187" s="116">
        <f t="shared" si="30"/>
        <v>0.2716666667</v>
      </c>
      <c r="M187" s="1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91">
        <v>1.5</v>
      </c>
      <c r="B188" s="92" t="s">
        <v>5</v>
      </c>
      <c r="C188" s="93" t="s">
        <v>99</v>
      </c>
      <c r="D188" s="22">
        <v>1800.0</v>
      </c>
      <c r="E188" s="15">
        <f t="shared" si="26"/>
        <v>2700</v>
      </c>
      <c r="F188" s="15">
        <f t="shared" si="27"/>
        <v>2983.5</v>
      </c>
      <c r="G188" s="3"/>
      <c r="H188" s="3"/>
      <c r="I188" s="22">
        <v>1000.0</v>
      </c>
      <c r="J188" s="15">
        <f t="shared" si="28"/>
        <v>1500</v>
      </c>
      <c r="K188" s="15">
        <f t="shared" si="29"/>
        <v>1483.5</v>
      </c>
      <c r="L188" s="116">
        <f t="shared" si="30"/>
        <v>0.5494444444</v>
      </c>
      <c r="M188" s="1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91">
        <v>2.0</v>
      </c>
      <c r="B189" s="92" t="s">
        <v>5</v>
      </c>
      <c r="C189" s="93" t="s">
        <v>240</v>
      </c>
      <c r="D189" s="22">
        <v>1800.0</v>
      </c>
      <c r="E189" s="15">
        <f t="shared" si="26"/>
        <v>3600</v>
      </c>
      <c r="F189" s="15">
        <f t="shared" si="27"/>
        <v>3978</v>
      </c>
      <c r="G189" s="3"/>
      <c r="H189" s="3"/>
      <c r="I189" s="22">
        <v>1000.0</v>
      </c>
      <c r="J189" s="15">
        <f t="shared" si="28"/>
        <v>2000</v>
      </c>
      <c r="K189" s="15">
        <f t="shared" si="29"/>
        <v>1978</v>
      </c>
      <c r="L189" s="116">
        <f t="shared" si="30"/>
        <v>0.5494444444</v>
      </c>
      <c r="M189" s="1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91">
        <v>10.0</v>
      </c>
      <c r="B190" s="92" t="s">
        <v>50</v>
      </c>
      <c r="C190" s="93" t="s">
        <v>65</v>
      </c>
      <c r="D190" s="22">
        <v>500.0</v>
      </c>
      <c r="E190" s="15">
        <f t="shared" si="26"/>
        <v>5000</v>
      </c>
      <c r="F190" s="15">
        <f t="shared" si="27"/>
        <v>5525</v>
      </c>
      <c r="G190" s="3"/>
      <c r="H190" s="3"/>
      <c r="I190" s="86">
        <f>6000/24</f>
        <v>250</v>
      </c>
      <c r="J190" s="15">
        <f t="shared" si="28"/>
        <v>2500</v>
      </c>
      <c r="K190" s="15">
        <f t="shared" si="29"/>
        <v>3025</v>
      </c>
      <c r="L190" s="116">
        <f t="shared" si="30"/>
        <v>0.605</v>
      </c>
      <c r="M190" s="1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91">
        <v>8.0</v>
      </c>
      <c r="B191" s="92" t="s">
        <v>33</v>
      </c>
      <c r="C191" s="93" t="s">
        <v>64</v>
      </c>
      <c r="D191" s="22">
        <v>2300.0</v>
      </c>
      <c r="E191" s="15">
        <f t="shared" si="26"/>
        <v>18400</v>
      </c>
      <c r="F191" s="15">
        <f t="shared" si="27"/>
        <v>20332</v>
      </c>
      <c r="G191" s="3"/>
      <c r="H191" s="3"/>
      <c r="I191" s="22">
        <f>20000/15</f>
        <v>1333.333333</v>
      </c>
      <c r="J191" s="15">
        <f t="shared" si="28"/>
        <v>10666.66667</v>
      </c>
      <c r="K191" s="15">
        <f t="shared" si="29"/>
        <v>9665.333333</v>
      </c>
      <c r="L191" s="116">
        <f t="shared" si="30"/>
        <v>0.5252898551</v>
      </c>
      <c r="M191" s="1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91">
        <v>1.0</v>
      </c>
      <c r="B192" s="92" t="s">
        <v>33</v>
      </c>
      <c r="C192" s="93" t="s">
        <v>57</v>
      </c>
      <c r="D192" s="22">
        <v>8500.0</v>
      </c>
      <c r="E192" s="15">
        <f t="shared" si="26"/>
        <v>8500</v>
      </c>
      <c r="F192" s="15">
        <f t="shared" si="27"/>
        <v>9392.5</v>
      </c>
      <c r="G192" s="3"/>
      <c r="H192" s="3"/>
      <c r="I192" s="86">
        <f>30000/4</f>
        <v>7500</v>
      </c>
      <c r="J192" s="15">
        <f t="shared" si="28"/>
        <v>7500</v>
      </c>
      <c r="K192" s="15">
        <f t="shared" si="29"/>
        <v>1892.5</v>
      </c>
      <c r="L192" s="116">
        <f t="shared" si="30"/>
        <v>0.2226470588</v>
      </c>
      <c r="M192" s="1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91">
        <v>8.0</v>
      </c>
      <c r="B193" s="92" t="s">
        <v>33</v>
      </c>
      <c r="C193" s="93" t="s">
        <v>47</v>
      </c>
      <c r="D193" s="22">
        <v>1400.0</v>
      </c>
      <c r="E193" s="15">
        <f t="shared" si="26"/>
        <v>11200</v>
      </c>
      <c r="F193" s="15">
        <f t="shared" si="27"/>
        <v>12376</v>
      </c>
      <c r="G193" s="3"/>
      <c r="H193" s="3"/>
      <c r="I193" s="86">
        <f>8000/8</f>
        <v>1000</v>
      </c>
      <c r="J193" s="15">
        <f t="shared" si="28"/>
        <v>8000</v>
      </c>
      <c r="K193" s="15">
        <f t="shared" si="29"/>
        <v>4376</v>
      </c>
      <c r="L193" s="116">
        <f t="shared" si="30"/>
        <v>0.3907142857</v>
      </c>
      <c r="M193" s="1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91">
        <v>0.5</v>
      </c>
      <c r="B194" s="92" t="s">
        <v>18</v>
      </c>
      <c r="C194" s="93" t="s">
        <v>277</v>
      </c>
      <c r="D194" s="22">
        <v>52000.0</v>
      </c>
      <c r="E194" s="15">
        <f t="shared" si="26"/>
        <v>26000</v>
      </c>
      <c r="F194" s="15">
        <f>E194*1.21</f>
        <v>31460</v>
      </c>
      <c r="G194" s="3"/>
      <c r="H194" s="3"/>
      <c r="I194" s="86">
        <v>52000.0</v>
      </c>
      <c r="J194" s="15">
        <f t="shared" si="28"/>
        <v>26000</v>
      </c>
      <c r="K194" s="15">
        <f t="shared" si="29"/>
        <v>5460</v>
      </c>
      <c r="L194" s="116">
        <f t="shared" si="30"/>
        <v>0.21</v>
      </c>
      <c r="M194" s="1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117"/>
      <c r="B195" s="3"/>
      <c r="C195" s="2"/>
      <c r="D195" s="3"/>
      <c r="E195" s="3"/>
      <c r="F195" s="3"/>
      <c r="G195" s="3"/>
      <c r="H195" s="3"/>
      <c r="I195" s="3"/>
      <c r="J195" s="3"/>
      <c r="K195" s="3"/>
      <c r="L195" s="118"/>
      <c r="M195" s="1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117"/>
      <c r="B196" s="3"/>
      <c r="C196" s="2"/>
      <c r="D196" s="3"/>
      <c r="E196" s="15">
        <f t="shared" ref="E196:F196" si="31">SUM(E161:E194)</f>
        <v>321000</v>
      </c>
      <c r="F196" s="15">
        <f t="shared" si="31"/>
        <v>357435</v>
      </c>
      <c r="G196" s="3"/>
      <c r="H196" s="3"/>
      <c r="I196" s="3"/>
      <c r="J196" s="3"/>
      <c r="K196" s="15">
        <f>SUM(K161:K194)</f>
        <v>119810.5543</v>
      </c>
      <c r="L196" s="116">
        <f>IFERROR(K196/E196, 0)</f>
        <v>0.3732416021</v>
      </c>
      <c r="M196" s="1"/>
      <c r="N196" s="3"/>
      <c r="O196" s="2"/>
      <c r="P196" s="3"/>
      <c r="Q196" s="3"/>
      <c r="R196" s="9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3"/>
      <c r="T198" s="3"/>
      <c r="U198" s="3"/>
      <c r="V198" s="3"/>
      <c r="W198" s="3"/>
      <c r="X198" s="3"/>
      <c r="Y198" s="3"/>
      <c r="Z198" s="3"/>
    </row>
    <row r="199">
      <c r="A199" s="5" t="s">
        <v>314</v>
      </c>
      <c r="D199" s="3"/>
      <c r="E199" s="86" t="s">
        <v>170</v>
      </c>
      <c r="F199" s="7">
        <v>46073.0</v>
      </c>
      <c r="G199" s="3"/>
      <c r="H199" s="3"/>
      <c r="I199" s="8" t="s">
        <v>3</v>
      </c>
      <c r="L199" s="4"/>
      <c r="M199" s="1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1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4"/>
      <c r="M200" s="1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A201" s="5" t="s">
        <v>4</v>
      </c>
      <c r="B201" s="10" t="s">
        <v>5</v>
      </c>
      <c r="C201" s="96" t="s">
        <v>6</v>
      </c>
      <c r="D201" s="10" t="s">
        <v>7</v>
      </c>
      <c r="E201" s="10" t="s">
        <v>8</v>
      </c>
      <c r="F201" s="10" t="s">
        <v>9</v>
      </c>
      <c r="G201" s="3"/>
      <c r="H201" s="3"/>
      <c r="I201" s="10" t="s">
        <v>260</v>
      </c>
      <c r="J201" s="10" t="s">
        <v>8</v>
      </c>
      <c r="K201" s="10" t="s">
        <v>10</v>
      </c>
      <c r="L201" s="4"/>
      <c r="M201" s="1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91">
        <v>1.0</v>
      </c>
      <c r="B202" s="92" t="s">
        <v>18</v>
      </c>
      <c r="C202" s="93" t="s">
        <v>232</v>
      </c>
      <c r="D202" s="22">
        <v>65000.0</v>
      </c>
      <c r="E202" s="15">
        <f t="shared" ref="E202:E232" si="32">A202*D202</f>
        <v>65000</v>
      </c>
      <c r="F202" s="15">
        <f t="shared" ref="F202:F231" si="33">E202*1.105</f>
        <v>71825</v>
      </c>
      <c r="G202" s="3"/>
      <c r="H202" s="3"/>
      <c r="I202" s="22">
        <v>60000.0</v>
      </c>
      <c r="J202" s="15">
        <f t="shared" ref="J202:J232" si="34">I202*A202</f>
        <v>60000</v>
      </c>
      <c r="K202" s="15">
        <f t="shared" ref="K202:K232" si="35">F202-J202</f>
        <v>11825</v>
      </c>
      <c r="L202" s="116">
        <f t="shared" ref="L202:L232" si="36">IFERROR(K202/E202, 0)</f>
        <v>0.1819230769</v>
      </c>
      <c r="M202" s="1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26">
        <v>1.0</v>
      </c>
      <c r="B203" s="92" t="s">
        <v>18</v>
      </c>
      <c r="C203" s="93" t="s">
        <v>78</v>
      </c>
      <c r="D203" s="22">
        <v>70000.0</v>
      </c>
      <c r="E203" s="15">
        <f t="shared" si="32"/>
        <v>70000</v>
      </c>
      <c r="F203" s="15">
        <f t="shared" si="33"/>
        <v>77350</v>
      </c>
      <c r="G203" s="3"/>
      <c r="H203" s="3"/>
      <c r="I203" s="22">
        <v>65000.0</v>
      </c>
      <c r="J203" s="15">
        <f t="shared" si="34"/>
        <v>65000</v>
      </c>
      <c r="K203" s="15">
        <f t="shared" si="35"/>
        <v>12350</v>
      </c>
      <c r="L203" s="116">
        <f t="shared" si="36"/>
        <v>0.1764285714</v>
      </c>
      <c r="M203" s="1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91">
        <v>1.5</v>
      </c>
      <c r="B204" s="92" t="s">
        <v>18</v>
      </c>
      <c r="C204" s="93" t="s">
        <v>54</v>
      </c>
      <c r="D204" s="22">
        <v>24000.0</v>
      </c>
      <c r="E204" s="15">
        <f t="shared" si="32"/>
        <v>36000</v>
      </c>
      <c r="F204" s="15">
        <f t="shared" si="33"/>
        <v>39780</v>
      </c>
      <c r="G204" s="3"/>
      <c r="H204" s="3"/>
      <c r="I204" s="22">
        <v>20000.0</v>
      </c>
      <c r="J204" s="15">
        <f t="shared" si="34"/>
        <v>30000</v>
      </c>
      <c r="K204" s="15">
        <f t="shared" si="35"/>
        <v>9780</v>
      </c>
      <c r="L204" s="116">
        <f t="shared" si="36"/>
        <v>0.2716666667</v>
      </c>
      <c r="M204" s="1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91">
        <v>2.0</v>
      </c>
      <c r="B205" s="92" t="s">
        <v>33</v>
      </c>
      <c r="C205" s="93" t="s">
        <v>55</v>
      </c>
      <c r="D205" s="22">
        <v>2800.0</v>
      </c>
      <c r="E205" s="15">
        <f t="shared" si="32"/>
        <v>5600</v>
      </c>
      <c r="F205" s="15">
        <f t="shared" si="33"/>
        <v>6188</v>
      </c>
      <c r="G205" s="3"/>
      <c r="H205" s="3"/>
      <c r="I205" s="22">
        <f>15000/18</f>
        <v>833.3333333</v>
      </c>
      <c r="J205" s="15">
        <f t="shared" si="34"/>
        <v>1666.666667</v>
      </c>
      <c r="K205" s="15">
        <f t="shared" si="35"/>
        <v>4521.333333</v>
      </c>
      <c r="L205" s="116">
        <f t="shared" si="36"/>
        <v>0.8073809524</v>
      </c>
      <c r="M205" s="1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91">
        <v>0.5</v>
      </c>
      <c r="B206" s="92" t="s">
        <v>33</v>
      </c>
      <c r="C206" s="93" t="s">
        <v>57</v>
      </c>
      <c r="D206" s="22">
        <v>8500.0</v>
      </c>
      <c r="E206" s="15">
        <f t="shared" si="32"/>
        <v>4250</v>
      </c>
      <c r="F206" s="15">
        <f t="shared" si="33"/>
        <v>4696.25</v>
      </c>
      <c r="G206" s="3"/>
      <c r="H206" s="3"/>
      <c r="I206" s="15">
        <f>30000/4</f>
        <v>7500</v>
      </c>
      <c r="J206" s="15">
        <f t="shared" si="34"/>
        <v>3750</v>
      </c>
      <c r="K206" s="15">
        <f t="shared" si="35"/>
        <v>946.25</v>
      </c>
      <c r="L206" s="116">
        <f t="shared" si="36"/>
        <v>0.2226470588</v>
      </c>
      <c r="M206" s="1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91">
        <v>1.0</v>
      </c>
      <c r="B207" s="92" t="s">
        <v>38</v>
      </c>
      <c r="C207" s="93" t="s">
        <v>45</v>
      </c>
      <c r="D207" s="22">
        <v>13000.0</v>
      </c>
      <c r="E207" s="15">
        <f t="shared" si="32"/>
        <v>13000</v>
      </c>
      <c r="F207" s="15">
        <f t="shared" si="33"/>
        <v>14365</v>
      </c>
      <c r="G207" s="3"/>
      <c r="H207" s="3"/>
      <c r="I207" s="22">
        <v>10000.0</v>
      </c>
      <c r="J207" s="15">
        <f t="shared" si="34"/>
        <v>10000</v>
      </c>
      <c r="K207" s="15">
        <f t="shared" si="35"/>
        <v>4365</v>
      </c>
      <c r="L207" s="116">
        <f t="shared" si="36"/>
        <v>0.3357692308</v>
      </c>
      <c r="M207" s="1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91">
        <v>4.0</v>
      </c>
      <c r="B208" s="92" t="s">
        <v>38</v>
      </c>
      <c r="C208" s="93" t="s">
        <v>179</v>
      </c>
      <c r="D208" s="22">
        <v>21000.0</v>
      </c>
      <c r="E208" s="15">
        <f t="shared" si="32"/>
        <v>84000</v>
      </c>
      <c r="F208" s="15">
        <f t="shared" si="33"/>
        <v>92820</v>
      </c>
      <c r="G208" s="3"/>
      <c r="H208" s="3"/>
      <c r="I208" s="22">
        <v>18000.0</v>
      </c>
      <c r="J208" s="15">
        <f t="shared" si="34"/>
        <v>72000</v>
      </c>
      <c r="K208" s="15">
        <f t="shared" si="35"/>
        <v>20820</v>
      </c>
      <c r="L208" s="116">
        <f t="shared" si="36"/>
        <v>0.2478571429</v>
      </c>
      <c r="M208" s="1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>
      <c r="A209" s="91">
        <v>1.0</v>
      </c>
      <c r="B209" s="92" t="s">
        <v>38</v>
      </c>
      <c r="C209" s="93" t="s">
        <v>180</v>
      </c>
      <c r="D209" s="22">
        <v>16000.0</v>
      </c>
      <c r="E209" s="15">
        <f t="shared" si="32"/>
        <v>16000</v>
      </c>
      <c r="F209" s="15">
        <f t="shared" si="33"/>
        <v>17680</v>
      </c>
      <c r="G209" s="3"/>
      <c r="H209" s="3"/>
      <c r="I209" s="22">
        <v>10500.0</v>
      </c>
      <c r="J209" s="15">
        <f t="shared" si="34"/>
        <v>10500</v>
      </c>
      <c r="K209" s="15">
        <f t="shared" si="35"/>
        <v>7180</v>
      </c>
      <c r="L209" s="116">
        <f t="shared" si="36"/>
        <v>0.44875</v>
      </c>
      <c r="M209" s="1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91">
        <v>3.0</v>
      </c>
      <c r="B210" s="92" t="s">
        <v>33</v>
      </c>
      <c r="C210" s="93" t="s">
        <v>174</v>
      </c>
      <c r="D210" s="22">
        <v>1600.0</v>
      </c>
      <c r="E210" s="15">
        <f t="shared" si="32"/>
        <v>4800</v>
      </c>
      <c r="F210" s="15">
        <f t="shared" si="33"/>
        <v>5304</v>
      </c>
      <c r="G210" s="3"/>
      <c r="H210" s="3"/>
      <c r="I210" s="22">
        <f>18000/17</f>
        <v>1058.823529</v>
      </c>
      <c r="J210" s="15">
        <f t="shared" si="34"/>
        <v>3176.470588</v>
      </c>
      <c r="K210" s="15">
        <f t="shared" si="35"/>
        <v>2127.529412</v>
      </c>
      <c r="L210" s="116">
        <f t="shared" si="36"/>
        <v>0.4432352941</v>
      </c>
      <c r="M210" s="1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91">
        <v>1.0</v>
      </c>
      <c r="B211" s="92" t="s">
        <v>5</v>
      </c>
      <c r="C211" s="93" t="s">
        <v>176</v>
      </c>
      <c r="D211" s="22">
        <v>900.0</v>
      </c>
      <c r="E211" s="15">
        <f t="shared" si="32"/>
        <v>900</v>
      </c>
      <c r="F211" s="15">
        <f t="shared" si="33"/>
        <v>994.5</v>
      </c>
      <c r="G211" s="3"/>
      <c r="H211" s="3"/>
      <c r="I211" s="22">
        <v>560.0</v>
      </c>
      <c r="J211" s="15">
        <f t="shared" si="34"/>
        <v>560</v>
      </c>
      <c r="K211" s="15">
        <f t="shared" si="35"/>
        <v>434.5</v>
      </c>
      <c r="L211" s="116">
        <f t="shared" si="36"/>
        <v>0.4827777778</v>
      </c>
      <c r="M211" s="1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>
      <c r="A212" s="117">
        <v>3.0</v>
      </c>
      <c r="B212" s="92" t="s">
        <v>33</v>
      </c>
      <c r="C212" s="93" t="s">
        <v>289</v>
      </c>
      <c r="D212" s="22">
        <v>2200.0</v>
      </c>
      <c r="E212" s="15">
        <f t="shared" si="32"/>
        <v>6600</v>
      </c>
      <c r="F212" s="15">
        <f t="shared" si="33"/>
        <v>7293</v>
      </c>
      <c r="G212" s="3"/>
      <c r="H212" s="3"/>
      <c r="I212" s="22">
        <v>1200.0</v>
      </c>
      <c r="J212" s="15">
        <f t="shared" si="34"/>
        <v>3600</v>
      </c>
      <c r="K212" s="15">
        <f t="shared" si="35"/>
        <v>3693</v>
      </c>
      <c r="L212" s="116">
        <f t="shared" si="36"/>
        <v>0.5595454545</v>
      </c>
      <c r="M212" s="1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91">
        <v>25.0</v>
      </c>
      <c r="B213" s="92" t="s">
        <v>5</v>
      </c>
      <c r="C213" s="93" t="s">
        <v>241</v>
      </c>
      <c r="D213" s="22">
        <v>800.0</v>
      </c>
      <c r="E213" s="15">
        <f t="shared" si="32"/>
        <v>20000</v>
      </c>
      <c r="F213" s="15">
        <f t="shared" si="33"/>
        <v>22100</v>
      </c>
      <c r="G213" s="3"/>
      <c r="H213" s="3"/>
      <c r="I213" s="22">
        <v>300.0</v>
      </c>
      <c r="J213" s="15">
        <f t="shared" si="34"/>
        <v>7500</v>
      </c>
      <c r="K213" s="15">
        <f t="shared" si="35"/>
        <v>14600</v>
      </c>
      <c r="L213" s="116">
        <f t="shared" si="36"/>
        <v>0.73</v>
      </c>
      <c r="M213" s="1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91">
        <v>1.5</v>
      </c>
      <c r="B214" s="92" t="s">
        <v>33</v>
      </c>
      <c r="C214" s="93" t="s">
        <v>349</v>
      </c>
      <c r="D214" s="22">
        <v>4000.0</v>
      </c>
      <c r="E214" s="15">
        <f t="shared" si="32"/>
        <v>6000</v>
      </c>
      <c r="F214" s="15">
        <f t="shared" si="33"/>
        <v>6630</v>
      </c>
      <c r="G214" s="3"/>
      <c r="H214" s="3"/>
      <c r="I214" s="22">
        <f>22000/8</f>
        <v>2750</v>
      </c>
      <c r="J214" s="15">
        <f t="shared" si="34"/>
        <v>4125</v>
      </c>
      <c r="K214" s="15">
        <f t="shared" si="35"/>
        <v>2505</v>
      </c>
      <c r="L214" s="116">
        <f t="shared" si="36"/>
        <v>0.4175</v>
      </c>
      <c r="M214" s="1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91">
        <v>3.0</v>
      </c>
      <c r="B215" s="92" t="s">
        <v>33</v>
      </c>
      <c r="C215" s="93" t="s">
        <v>240</v>
      </c>
      <c r="D215" s="22">
        <v>1800.0</v>
      </c>
      <c r="E215" s="15">
        <f t="shared" si="32"/>
        <v>5400</v>
      </c>
      <c r="F215" s="15">
        <f t="shared" si="33"/>
        <v>5967</v>
      </c>
      <c r="G215" s="3"/>
      <c r="H215" s="3"/>
      <c r="I215" s="22">
        <v>1000.0</v>
      </c>
      <c r="J215" s="15">
        <f t="shared" si="34"/>
        <v>3000</v>
      </c>
      <c r="K215" s="15">
        <f t="shared" si="35"/>
        <v>2967</v>
      </c>
      <c r="L215" s="116">
        <f t="shared" si="36"/>
        <v>0.5494444444</v>
      </c>
      <c r="M215" s="1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>
      <c r="A216" s="91">
        <v>3.0</v>
      </c>
      <c r="B216" s="92" t="s">
        <v>33</v>
      </c>
      <c r="C216" s="93" t="s">
        <v>99</v>
      </c>
      <c r="D216" s="22">
        <v>1800.0</v>
      </c>
      <c r="E216" s="15">
        <f t="shared" si="32"/>
        <v>5400</v>
      </c>
      <c r="F216" s="15">
        <f t="shared" si="33"/>
        <v>5967</v>
      </c>
      <c r="G216" s="3"/>
      <c r="H216" s="3"/>
      <c r="I216" s="22">
        <v>1000.0</v>
      </c>
      <c r="J216" s="15">
        <f t="shared" si="34"/>
        <v>3000</v>
      </c>
      <c r="K216" s="15">
        <f t="shared" si="35"/>
        <v>2967</v>
      </c>
      <c r="L216" s="116">
        <f t="shared" si="36"/>
        <v>0.5494444444</v>
      </c>
      <c r="M216" s="1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A217" s="91">
        <v>16.0</v>
      </c>
      <c r="B217" s="92" t="s">
        <v>33</v>
      </c>
      <c r="C217" s="93" t="s">
        <v>64</v>
      </c>
      <c r="D217" s="22">
        <v>2300.0</v>
      </c>
      <c r="E217" s="15">
        <f t="shared" si="32"/>
        <v>36800</v>
      </c>
      <c r="F217" s="15">
        <f t="shared" si="33"/>
        <v>40664</v>
      </c>
      <c r="G217" s="3"/>
      <c r="H217" s="3"/>
      <c r="I217" s="22">
        <f>20000/15</f>
        <v>1333.333333</v>
      </c>
      <c r="J217" s="15">
        <f t="shared" si="34"/>
        <v>21333.33333</v>
      </c>
      <c r="K217" s="15">
        <f t="shared" si="35"/>
        <v>19330.66667</v>
      </c>
      <c r="L217" s="116">
        <f t="shared" si="36"/>
        <v>0.5252898551</v>
      </c>
      <c r="M217" s="1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A218" s="91">
        <v>1.0</v>
      </c>
      <c r="B218" s="92" t="s">
        <v>38</v>
      </c>
      <c r="C218" s="93" t="s">
        <v>47</v>
      </c>
      <c r="D218" s="22">
        <v>13000.0</v>
      </c>
      <c r="E218" s="15">
        <f t="shared" si="32"/>
        <v>13000</v>
      </c>
      <c r="F218" s="15">
        <f t="shared" si="33"/>
        <v>14365</v>
      </c>
      <c r="G218" s="3"/>
      <c r="H218" s="3"/>
      <c r="I218" s="22">
        <v>8000.0</v>
      </c>
      <c r="J218" s="15">
        <f t="shared" si="34"/>
        <v>8000</v>
      </c>
      <c r="K218" s="15">
        <f t="shared" si="35"/>
        <v>6365</v>
      </c>
      <c r="L218" s="116">
        <f t="shared" si="36"/>
        <v>0.4896153846</v>
      </c>
      <c r="M218" s="1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91">
        <v>1.0</v>
      </c>
      <c r="B219" s="10" t="s">
        <v>33</v>
      </c>
      <c r="C219" s="93" t="s">
        <v>353</v>
      </c>
      <c r="D219" s="22">
        <v>2000.0</v>
      </c>
      <c r="E219" s="15">
        <f t="shared" si="32"/>
        <v>2000</v>
      </c>
      <c r="F219" s="15">
        <f t="shared" si="33"/>
        <v>2210</v>
      </c>
      <c r="G219" s="3"/>
      <c r="H219" s="3"/>
      <c r="I219" s="15">
        <f>15000/9</f>
        <v>1666.666667</v>
      </c>
      <c r="J219" s="15">
        <f t="shared" si="34"/>
        <v>1666.666667</v>
      </c>
      <c r="K219" s="15">
        <f t="shared" si="35"/>
        <v>543.3333333</v>
      </c>
      <c r="L219" s="116">
        <f t="shared" si="36"/>
        <v>0.2716666667</v>
      </c>
      <c r="M219" s="1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>
      <c r="A220" s="91">
        <v>5.0</v>
      </c>
      <c r="B220" s="92" t="s">
        <v>11</v>
      </c>
      <c r="C220" s="93" t="s">
        <v>103</v>
      </c>
      <c r="D220" s="22">
        <v>1600.0</v>
      </c>
      <c r="E220" s="15">
        <f t="shared" si="32"/>
        <v>8000</v>
      </c>
      <c r="F220" s="15">
        <f t="shared" si="33"/>
        <v>8840</v>
      </c>
      <c r="G220" s="3"/>
      <c r="H220" s="3"/>
      <c r="I220" s="22">
        <v>1000.0</v>
      </c>
      <c r="J220" s="15">
        <f t="shared" si="34"/>
        <v>5000</v>
      </c>
      <c r="K220" s="15">
        <f t="shared" si="35"/>
        <v>3840</v>
      </c>
      <c r="L220" s="116">
        <f t="shared" si="36"/>
        <v>0.48</v>
      </c>
      <c r="M220" s="1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>
      <c r="A221" s="91">
        <v>0.5</v>
      </c>
      <c r="B221" s="92" t="s">
        <v>33</v>
      </c>
      <c r="C221" s="93" t="s">
        <v>239</v>
      </c>
      <c r="D221" s="22">
        <v>800.0</v>
      </c>
      <c r="E221" s="15">
        <f t="shared" si="32"/>
        <v>400</v>
      </c>
      <c r="F221" s="15">
        <f t="shared" si="33"/>
        <v>442</v>
      </c>
      <c r="G221" s="3"/>
      <c r="H221" s="3"/>
      <c r="I221" s="3">
        <f>9000/17</f>
        <v>529.4117647</v>
      </c>
      <c r="J221" s="15">
        <f t="shared" si="34"/>
        <v>264.7058824</v>
      </c>
      <c r="K221" s="15">
        <f t="shared" si="35"/>
        <v>177.2941176</v>
      </c>
      <c r="L221" s="116">
        <f t="shared" si="36"/>
        <v>0.4432352941</v>
      </c>
      <c r="M221" s="1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>
      <c r="A222" s="91">
        <v>1.5</v>
      </c>
      <c r="B222" s="10" t="s">
        <v>33</v>
      </c>
      <c r="C222" s="93" t="s">
        <v>24</v>
      </c>
      <c r="D222" s="22">
        <v>4000.0</v>
      </c>
      <c r="E222" s="15">
        <f t="shared" si="32"/>
        <v>6000</v>
      </c>
      <c r="F222" s="15">
        <f t="shared" si="33"/>
        <v>6630</v>
      </c>
      <c r="G222" s="3"/>
      <c r="H222" s="3"/>
      <c r="I222" s="3">
        <f>28000/8</f>
        <v>3500</v>
      </c>
      <c r="J222" s="15">
        <f t="shared" si="34"/>
        <v>5250</v>
      </c>
      <c r="K222" s="15">
        <f t="shared" si="35"/>
        <v>1380</v>
      </c>
      <c r="L222" s="116">
        <f t="shared" si="36"/>
        <v>0.23</v>
      </c>
      <c r="M222" s="1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>
      <c r="A223" s="91">
        <v>1.0</v>
      </c>
      <c r="B223" s="10" t="s">
        <v>33</v>
      </c>
      <c r="C223" s="93" t="s">
        <v>25</v>
      </c>
      <c r="D223" s="22">
        <v>3100.0</v>
      </c>
      <c r="E223" s="15">
        <f t="shared" si="32"/>
        <v>3100</v>
      </c>
      <c r="F223" s="15">
        <f t="shared" si="33"/>
        <v>3425.5</v>
      </c>
      <c r="G223" s="3"/>
      <c r="H223" s="3"/>
      <c r="I223" s="3">
        <f>12000/8</f>
        <v>1500</v>
      </c>
      <c r="J223" s="15">
        <f t="shared" si="34"/>
        <v>1500</v>
      </c>
      <c r="K223" s="15">
        <f t="shared" si="35"/>
        <v>1925.5</v>
      </c>
      <c r="L223" s="116">
        <f t="shared" si="36"/>
        <v>0.6211290323</v>
      </c>
      <c r="M223" s="1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91">
        <v>0.5</v>
      </c>
      <c r="B224" s="92" t="s">
        <v>33</v>
      </c>
      <c r="C224" s="93" t="s">
        <v>26</v>
      </c>
      <c r="D224" s="22">
        <v>4000.0</v>
      </c>
      <c r="E224" s="15">
        <f t="shared" si="32"/>
        <v>2000</v>
      </c>
      <c r="F224" s="15">
        <f t="shared" si="33"/>
        <v>2210</v>
      </c>
      <c r="G224" s="3"/>
      <c r="H224" s="3"/>
      <c r="I224" s="3">
        <f>22000/8</f>
        <v>2750</v>
      </c>
      <c r="J224" s="15">
        <f t="shared" si="34"/>
        <v>1375</v>
      </c>
      <c r="K224" s="15">
        <f t="shared" si="35"/>
        <v>835</v>
      </c>
      <c r="L224" s="116">
        <f t="shared" si="36"/>
        <v>0.4175</v>
      </c>
      <c r="M224" s="1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>
      <c r="A225" s="117">
        <v>0.5</v>
      </c>
      <c r="B225" s="92" t="s">
        <v>50</v>
      </c>
      <c r="C225" s="93" t="s">
        <v>236</v>
      </c>
      <c r="D225" s="22">
        <v>5000.0</v>
      </c>
      <c r="E225" s="15">
        <f t="shared" si="32"/>
        <v>2500</v>
      </c>
      <c r="F225" s="15">
        <f t="shared" si="33"/>
        <v>2762.5</v>
      </c>
      <c r="G225" s="3"/>
      <c r="H225" s="3"/>
      <c r="I225" s="86">
        <v>5000.0</v>
      </c>
      <c r="J225" s="15">
        <f t="shared" si="34"/>
        <v>2500</v>
      </c>
      <c r="K225" s="15">
        <f t="shared" si="35"/>
        <v>262.5</v>
      </c>
      <c r="L225" s="116">
        <f t="shared" si="36"/>
        <v>0.105</v>
      </c>
      <c r="M225" s="1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>
      <c r="A226" s="117">
        <v>2.0</v>
      </c>
      <c r="B226" s="92" t="s">
        <v>50</v>
      </c>
      <c r="C226" s="93" t="s">
        <v>235</v>
      </c>
      <c r="D226" s="22">
        <v>3000.0</v>
      </c>
      <c r="E226" s="15">
        <f t="shared" si="32"/>
        <v>6000</v>
      </c>
      <c r="F226" s="15">
        <f t="shared" si="33"/>
        <v>6630</v>
      </c>
      <c r="G226" s="3"/>
      <c r="H226" s="3"/>
      <c r="I226" s="86">
        <v>2000.0</v>
      </c>
      <c r="J226" s="15">
        <f t="shared" si="34"/>
        <v>4000</v>
      </c>
      <c r="K226" s="15">
        <f t="shared" si="35"/>
        <v>2630</v>
      </c>
      <c r="L226" s="116">
        <f t="shared" si="36"/>
        <v>0.4383333333</v>
      </c>
      <c r="M226" s="1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>
      <c r="A227" s="91">
        <v>1.0</v>
      </c>
      <c r="B227" s="92" t="s">
        <v>50</v>
      </c>
      <c r="C227" s="93" t="s">
        <v>171</v>
      </c>
      <c r="D227" s="22">
        <v>3000.0</v>
      </c>
      <c r="E227" s="15">
        <f t="shared" si="32"/>
        <v>3000</v>
      </c>
      <c r="F227" s="15">
        <f t="shared" si="33"/>
        <v>3315</v>
      </c>
      <c r="G227" s="3"/>
      <c r="H227" s="3"/>
      <c r="I227" s="22">
        <v>2000.0</v>
      </c>
      <c r="J227" s="15">
        <f t="shared" si="34"/>
        <v>2000</v>
      </c>
      <c r="K227" s="15">
        <f t="shared" si="35"/>
        <v>1315</v>
      </c>
      <c r="L227" s="116">
        <f t="shared" si="36"/>
        <v>0.4383333333</v>
      </c>
      <c r="M227" s="1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91">
        <v>0.5</v>
      </c>
      <c r="B228" s="92" t="s">
        <v>50</v>
      </c>
      <c r="C228" s="93" t="s">
        <v>89</v>
      </c>
      <c r="D228" s="22">
        <v>6000.0</v>
      </c>
      <c r="E228" s="15">
        <f t="shared" si="32"/>
        <v>3000</v>
      </c>
      <c r="F228" s="15">
        <f t="shared" si="33"/>
        <v>3315</v>
      </c>
      <c r="G228" s="3"/>
      <c r="H228" s="3"/>
      <c r="I228" s="86">
        <v>4100.0</v>
      </c>
      <c r="J228" s="15">
        <f t="shared" si="34"/>
        <v>2050</v>
      </c>
      <c r="K228" s="15">
        <f t="shared" si="35"/>
        <v>1265</v>
      </c>
      <c r="L228" s="116">
        <f t="shared" si="36"/>
        <v>0.4216666667</v>
      </c>
      <c r="M228" s="1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91">
        <v>0.5</v>
      </c>
      <c r="B229" s="92" t="s">
        <v>33</v>
      </c>
      <c r="C229" s="93" t="s">
        <v>22</v>
      </c>
      <c r="D229" s="22">
        <v>1000.0</v>
      </c>
      <c r="E229" s="15">
        <f t="shared" si="32"/>
        <v>500</v>
      </c>
      <c r="F229" s="15">
        <f t="shared" si="33"/>
        <v>552.5</v>
      </c>
      <c r="G229" s="3"/>
      <c r="H229" s="3"/>
      <c r="I229" s="3">
        <f>7000/15</f>
        <v>466.6666667</v>
      </c>
      <c r="J229" s="15">
        <f t="shared" si="34"/>
        <v>233.3333333</v>
      </c>
      <c r="K229" s="15">
        <f t="shared" si="35"/>
        <v>319.1666667</v>
      </c>
      <c r="L229" s="116">
        <f t="shared" si="36"/>
        <v>0.6383333333</v>
      </c>
      <c r="M229" s="1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91">
        <v>1.0</v>
      </c>
      <c r="B230" s="92" t="s">
        <v>33</v>
      </c>
      <c r="C230" s="93" t="s">
        <v>233</v>
      </c>
      <c r="D230" s="22">
        <v>2800.0</v>
      </c>
      <c r="E230" s="15">
        <f t="shared" si="32"/>
        <v>2800</v>
      </c>
      <c r="F230" s="15">
        <f t="shared" si="33"/>
        <v>3094</v>
      </c>
      <c r="G230" s="3"/>
      <c r="H230" s="3"/>
      <c r="I230" s="86">
        <f>8000/7</f>
        <v>1142.857143</v>
      </c>
      <c r="J230" s="15">
        <f t="shared" si="34"/>
        <v>1142.857143</v>
      </c>
      <c r="K230" s="15">
        <f t="shared" si="35"/>
        <v>1951.142857</v>
      </c>
      <c r="L230" s="116">
        <f t="shared" si="36"/>
        <v>0.6968367347</v>
      </c>
      <c r="M230" s="1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91">
        <v>30.0</v>
      </c>
      <c r="B231" s="92" t="s">
        <v>50</v>
      </c>
      <c r="C231" s="93" t="s">
        <v>65</v>
      </c>
      <c r="D231" s="22">
        <v>500.0</v>
      </c>
      <c r="E231" s="15">
        <f t="shared" si="32"/>
        <v>15000</v>
      </c>
      <c r="F231" s="15">
        <f t="shared" si="33"/>
        <v>16575</v>
      </c>
      <c r="G231" s="3"/>
      <c r="H231" s="3"/>
      <c r="I231" s="86">
        <v>250.0</v>
      </c>
      <c r="J231" s="15">
        <f t="shared" si="34"/>
        <v>7500</v>
      </c>
      <c r="K231" s="15">
        <f t="shared" si="35"/>
        <v>9075</v>
      </c>
      <c r="L231" s="116">
        <f t="shared" si="36"/>
        <v>0.605</v>
      </c>
      <c r="M231" s="1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>
      <c r="A232" s="91">
        <v>4.0</v>
      </c>
      <c r="B232" s="92" t="s">
        <v>231</v>
      </c>
      <c r="C232" s="93" t="s">
        <v>277</v>
      </c>
      <c r="D232" s="22">
        <v>4500.0</v>
      </c>
      <c r="E232" s="15">
        <f t="shared" si="32"/>
        <v>18000</v>
      </c>
      <c r="F232" s="15">
        <f>E232*1.21</f>
        <v>21780</v>
      </c>
      <c r="G232" s="3"/>
      <c r="H232" s="3"/>
      <c r="I232" s="86">
        <f>52000/12</f>
        <v>4333.333333</v>
      </c>
      <c r="J232" s="15">
        <f t="shared" si="34"/>
        <v>17333.33333</v>
      </c>
      <c r="K232" s="15">
        <f t="shared" si="35"/>
        <v>4446.666667</v>
      </c>
      <c r="L232" s="116">
        <f t="shared" si="36"/>
        <v>0.247037037</v>
      </c>
      <c r="M232" s="1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>
      <c r="A233" s="117"/>
      <c r="B233" s="3"/>
      <c r="C233" s="2"/>
      <c r="D233" s="3"/>
      <c r="E233" s="3"/>
      <c r="F233" s="3"/>
      <c r="G233" s="3"/>
      <c r="H233" s="3"/>
      <c r="I233" s="3"/>
      <c r="J233" s="3"/>
      <c r="K233" s="3"/>
      <c r="L233" s="118"/>
      <c r="M233" s="1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117"/>
      <c r="B234" s="3"/>
      <c r="C234" s="2"/>
      <c r="D234" s="3"/>
      <c r="E234" s="15">
        <f>SUM(E202:E232)</f>
        <v>465050</v>
      </c>
      <c r="F234" s="15">
        <f>SUM(F203:F232)</f>
        <v>443945.25</v>
      </c>
      <c r="G234" s="3"/>
      <c r="H234" s="3"/>
      <c r="I234" s="3"/>
      <c r="J234" s="3"/>
      <c r="K234" s="15">
        <f>SUM(K202:K232)</f>
        <v>156742.8831</v>
      </c>
      <c r="L234" s="116">
        <f>IFERROR(K234/E234, 0)</f>
        <v>0.3370452275</v>
      </c>
      <c r="M234" s="1"/>
      <c r="N234" s="3"/>
      <c r="O234" s="2"/>
      <c r="P234" s="3"/>
      <c r="Q234" s="3"/>
      <c r="R234" s="9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62"/>
      <c r="R235" s="62"/>
      <c r="S235" s="62"/>
      <c r="T235" s="6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62"/>
      <c r="R236" s="62"/>
      <c r="S236" s="62"/>
      <c r="T236" s="62"/>
      <c r="U236" s="2"/>
      <c r="V236" s="2"/>
      <c r="W236" s="2"/>
      <c r="X236" s="2"/>
      <c r="Y236" s="2"/>
      <c r="Z236" s="2"/>
    </row>
    <row r="237">
      <c r="A237" s="5" t="s">
        <v>309</v>
      </c>
      <c r="D237" s="3"/>
      <c r="E237" s="86" t="s">
        <v>170</v>
      </c>
      <c r="F237" s="7">
        <v>46073.0</v>
      </c>
      <c r="G237" s="3"/>
      <c r="H237" s="3"/>
      <c r="I237" s="8" t="s">
        <v>3</v>
      </c>
      <c r="L237" s="4"/>
      <c r="M237" s="1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>
      <c r="A238" s="1"/>
      <c r="B238" s="3"/>
      <c r="C238" s="9"/>
      <c r="D238" s="3"/>
      <c r="E238" s="3"/>
      <c r="F238" s="3"/>
      <c r="G238" s="3"/>
      <c r="H238" s="3"/>
      <c r="I238" s="3"/>
      <c r="J238" s="3"/>
      <c r="K238" s="3"/>
      <c r="L238" s="4"/>
      <c r="M238" s="1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5" t="s">
        <v>4</v>
      </c>
      <c r="B239" s="10" t="s">
        <v>5</v>
      </c>
      <c r="C239" s="96" t="s">
        <v>6</v>
      </c>
      <c r="D239" s="10" t="s">
        <v>7</v>
      </c>
      <c r="E239" s="10" t="s">
        <v>8</v>
      </c>
      <c r="F239" s="10" t="s">
        <v>9</v>
      </c>
      <c r="G239" s="3"/>
      <c r="H239" s="3"/>
      <c r="I239" s="10" t="s">
        <v>260</v>
      </c>
      <c r="J239" s="10" t="s">
        <v>8</v>
      </c>
      <c r="K239" s="10" t="s">
        <v>10</v>
      </c>
      <c r="L239" s="4"/>
      <c r="M239" s="1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91">
        <v>1.0</v>
      </c>
      <c r="B240" s="92" t="s">
        <v>38</v>
      </c>
      <c r="C240" s="93" t="s">
        <v>179</v>
      </c>
      <c r="D240" s="22">
        <v>21000.0</v>
      </c>
      <c r="E240" s="15">
        <f t="shared" ref="E240:E263" si="37">A240*D240</f>
        <v>21000</v>
      </c>
      <c r="F240" s="15">
        <f t="shared" ref="F240:F263" si="38">E240*1.105</f>
        <v>23205</v>
      </c>
      <c r="G240" s="3"/>
      <c r="H240" s="3"/>
      <c r="I240" s="22">
        <v>18000.0</v>
      </c>
      <c r="J240" s="15">
        <f t="shared" ref="J240:J263" si="39">I240*A240</f>
        <v>18000</v>
      </c>
      <c r="K240" s="15">
        <f t="shared" ref="K240:K263" si="40">F240-J240</f>
        <v>5205</v>
      </c>
      <c r="L240" s="116">
        <f t="shared" ref="L240:L263" si="41">IFERROR(K240/E240, 0)</f>
        <v>0.2478571429</v>
      </c>
      <c r="M240" s="1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26">
        <v>1.0</v>
      </c>
      <c r="B241" s="92" t="s">
        <v>38</v>
      </c>
      <c r="C241" s="93" t="s">
        <v>45</v>
      </c>
      <c r="D241" s="22">
        <v>13000.0</v>
      </c>
      <c r="E241" s="15">
        <f t="shared" si="37"/>
        <v>13000</v>
      </c>
      <c r="F241" s="15">
        <f t="shared" si="38"/>
        <v>14365</v>
      </c>
      <c r="G241" s="3"/>
      <c r="H241" s="3"/>
      <c r="I241" s="22">
        <v>10000.0</v>
      </c>
      <c r="J241" s="15">
        <f t="shared" si="39"/>
        <v>10000</v>
      </c>
      <c r="K241" s="15">
        <f t="shared" si="40"/>
        <v>4365</v>
      </c>
      <c r="L241" s="116">
        <f t="shared" si="41"/>
        <v>0.3357692308</v>
      </c>
      <c r="M241" s="1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91">
        <v>6.0</v>
      </c>
      <c r="B242" s="92" t="s">
        <v>33</v>
      </c>
      <c r="C242" s="93" t="s">
        <v>64</v>
      </c>
      <c r="D242" s="22">
        <v>2300.0</v>
      </c>
      <c r="E242" s="15">
        <f t="shared" si="37"/>
        <v>13800</v>
      </c>
      <c r="F242" s="15">
        <f t="shared" si="38"/>
        <v>15249</v>
      </c>
      <c r="G242" s="3"/>
      <c r="H242" s="3"/>
      <c r="I242" s="22">
        <f>20000/15</f>
        <v>1333.333333</v>
      </c>
      <c r="J242" s="15">
        <f t="shared" si="39"/>
        <v>8000</v>
      </c>
      <c r="K242" s="15">
        <f t="shared" si="40"/>
        <v>7249</v>
      </c>
      <c r="L242" s="116">
        <f t="shared" si="41"/>
        <v>0.5252898551</v>
      </c>
      <c r="M242" s="1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>
      <c r="A243" s="91">
        <v>5.0</v>
      </c>
      <c r="B243" s="92" t="s">
        <v>33</v>
      </c>
      <c r="C243" s="93" t="s">
        <v>289</v>
      </c>
      <c r="D243" s="22">
        <v>2200.0</v>
      </c>
      <c r="E243" s="15">
        <f t="shared" si="37"/>
        <v>11000</v>
      </c>
      <c r="F243" s="15">
        <f t="shared" si="38"/>
        <v>12155</v>
      </c>
      <c r="G243" s="3"/>
      <c r="H243" s="3"/>
      <c r="I243" s="22">
        <v>1200.0</v>
      </c>
      <c r="J243" s="15">
        <f t="shared" si="39"/>
        <v>6000</v>
      </c>
      <c r="K243" s="15">
        <f t="shared" si="40"/>
        <v>6155</v>
      </c>
      <c r="L243" s="116">
        <f t="shared" si="41"/>
        <v>0.5595454545</v>
      </c>
      <c r="M243" s="1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>
      <c r="A244" s="91">
        <v>3.0</v>
      </c>
      <c r="B244" s="92" t="s">
        <v>33</v>
      </c>
      <c r="C244" s="93" t="s">
        <v>47</v>
      </c>
      <c r="D244" s="22">
        <v>1400.0</v>
      </c>
      <c r="E244" s="15">
        <f t="shared" si="37"/>
        <v>4200</v>
      </c>
      <c r="F244" s="15">
        <f t="shared" si="38"/>
        <v>4641</v>
      </c>
      <c r="G244" s="3"/>
      <c r="H244" s="3"/>
      <c r="I244" s="15">
        <f>8000/8</f>
        <v>1000</v>
      </c>
      <c r="J244" s="15">
        <f t="shared" si="39"/>
        <v>3000</v>
      </c>
      <c r="K244" s="15">
        <f t="shared" si="40"/>
        <v>1641</v>
      </c>
      <c r="L244" s="116">
        <f t="shared" si="41"/>
        <v>0.3907142857</v>
      </c>
      <c r="M244" s="1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91">
        <v>12.0</v>
      </c>
      <c r="B245" s="92" t="s">
        <v>5</v>
      </c>
      <c r="C245" s="93" t="s">
        <v>241</v>
      </c>
      <c r="D245" s="22">
        <v>800.0</v>
      </c>
      <c r="E245" s="15">
        <f t="shared" si="37"/>
        <v>9600</v>
      </c>
      <c r="F245" s="15">
        <f t="shared" si="38"/>
        <v>10608</v>
      </c>
      <c r="G245" s="3"/>
      <c r="H245" s="3"/>
      <c r="I245" s="22">
        <f>300</f>
        <v>300</v>
      </c>
      <c r="J245" s="15">
        <f t="shared" si="39"/>
        <v>3600</v>
      </c>
      <c r="K245" s="15">
        <f t="shared" si="40"/>
        <v>7008</v>
      </c>
      <c r="L245" s="116">
        <f t="shared" si="41"/>
        <v>0.73</v>
      </c>
      <c r="M245" s="1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>
      <c r="A246" s="91">
        <v>4.0</v>
      </c>
      <c r="B246" s="92" t="s">
        <v>11</v>
      </c>
      <c r="C246" s="93" t="s">
        <v>103</v>
      </c>
      <c r="D246" s="22">
        <v>1600.0</v>
      </c>
      <c r="E246" s="15">
        <f t="shared" si="37"/>
        <v>6400</v>
      </c>
      <c r="F246" s="15">
        <f t="shared" si="38"/>
        <v>7072</v>
      </c>
      <c r="G246" s="3"/>
      <c r="H246" s="3"/>
      <c r="I246" s="22">
        <v>1000.0</v>
      </c>
      <c r="J246" s="15">
        <f t="shared" si="39"/>
        <v>4000</v>
      </c>
      <c r="K246" s="15">
        <f t="shared" si="40"/>
        <v>3072</v>
      </c>
      <c r="L246" s="116">
        <f t="shared" si="41"/>
        <v>0.48</v>
      </c>
      <c r="M246" s="1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A247" s="91">
        <v>2.5</v>
      </c>
      <c r="B247" s="92" t="s">
        <v>33</v>
      </c>
      <c r="C247" s="93" t="s">
        <v>98</v>
      </c>
      <c r="D247" s="22">
        <v>1800.0</v>
      </c>
      <c r="E247" s="15">
        <f t="shared" si="37"/>
        <v>4500</v>
      </c>
      <c r="F247" s="15">
        <f t="shared" si="38"/>
        <v>4972.5</v>
      </c>
      <c r="G247" s="3"/>
      <c r="H247" s="3"/>
      <c r="I247" s="22">
        <v>1000.0</v>
      </c>
      <c r="J247" s="15">
        <f t="shared" si="39"/>
        <v>2500</v>
      </c>
      <c r="K247" s="15">
        <f t="shared" si="40"/>
        <v>2472.5</v>
      </c>
      <c r="L247" s="116">
        <f t="shared" si="41"/>
        <v>0.5494444444</v>
      </c>
      <c r="M247" s="1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91">
        <v>1.5</v>
      </c>
      <c r="B248" s="92" t="s">
        <v>33</v>
      </c>
      <c r="C248" s="93" t="s">
        <v>99</v>
      </c>
      <c r="D248" s="22">
        <v>1800.0</v>
      </c>
      <c r="E248" s="15">
        <f t="shared" si="37"/>
        <v>2700</v>
      </c>
      <c r="F248" s="15">
        <f t="shared" si="38"/>
        <v>2983.5</v>
      </c>
      <c r="G248" s="3"/>
      <c r="H248" s="3"/>
      <c r="I248" s="22">
        <v>1000.0</v>
      </c>
      <c r="J248" s="15">
        <f t="shared" si="39"/>
        <v>1500</v>
      </c>
      <c r="K248" s="15">
        <f t="shared" si="40"/>
        <v>1483.5</v>
      </c>
      <c r="L248" s="116">
        <f t="shared" si="41"/>
        <v>0.5494444444</v>
      </c>
      <c r="M248" s="1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>
      <c r="A249" s="91">
        <v>10.0</v>
      </c>
      <c r="B249" s="92" t="s">
        <v>50</v>
      </c>
      <c r="C249" s="93" t="s">
        <v>65</v>
      </c>
      <c r="D249" s="22">
        <v>500.0</v>
      </c>
      <c r="E249" s="15">
        <f t="shared" si="37"/>
        <v>5000</v>
      </c>
      <c r="F249" s="15">
        <f t="shared" si="38"/>
        <v>5525</v>
      </c>
      <c r="G249" s="3"/>
      <c r="H249" s="3"/>
      <c r="I249" s="22">
        <v>250.0</v>
      </c>
      <c r="J249" s="15">
        <f t="shared" si="39"/>
        <v>2500</v>
      </c>
      <c r="K249" s="15">
        <f t="shared" si="40"/>
        <v>3025</v>
      </c>
      <c r="L249" s="116">
        <f t="shared" si="41"/>
        <v>0.605</v>
      </c>
      <c r="M249" s="1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117">
        <v>1.0</v>
      </c>
      <c r="B250" s="92" t="s">
        <v>33</v>
      </c>
      <c r="C250" s="93" t="s">
        <v>174</v>
      </c>
      <c r="D250" s="22">
        <v>1600.0</v>
      </c>
      <c r="E250" s="15">
        <f t="shared" si="37"/>
        <v>1600</v>
      </c>
      <c r="F250" s="15">
        <f t="shared" si="38"/>
        <v>1768</v>
      </c>
      <c r="G250" s="3"/>
      <c r="H250" s="3"/>
      <c r="I250" s="22">
        <f>18000/17</f>
        <v>1058.823529</v>
      </c>
      <c r="J250" s="15">
        <f t="shared" si="39"/>
        <v>1058.823529</v>
      </c>
      <c r="K250" s="15">
        <f t="shared" si="40"/>
        <v>709.1764706</v>
      </c>
      <c r="L250" s="116">
        <f t="shared" si="41"/>
        <v>0.4432352941</v>
      </c>
      <c r="M250" s="1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91">
        <v>1.0</v>
      </c>
      <c r="B251" s="92" t="s">
        <v>5</v>
      </c>
      <c r="C251" s="93" t="s">
        <v>176</v>
      </c>
      <c r="D251" s="22">
        <v>900.0</v>
      </c>
      <c r="E251" s="15">
        <f t="shared" si="37"/>
        <v>900</v>
      </c>
      <c r="F251" s="15">
        <f t="shared" si="38"/>
        <v>994.5</v>
      </c>
      <c r="G251" s="3"/>
      <c r="H251" s="3"/>
      <c r="I251" s="22">
        <v>560.0</v>
      </c>
      <c r="J251" s="15">
        <f t="shared" si="39"/>
        <v>560</v>
      </c>
      <c r="K251" s="15">
        <f t="shared" si="40"/>
        <v>434.5</v>
      </c>
      <c r="L251" s="116">
        <f t="shared" si="41"/>
        <v>0.4827777778</v>
      </c>
      <c r="M251" s="1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91">
        <v>1.0</v>
      </c>
      <c r="B252" s="92" t="s">
        <v>50</v>
      </c>
      <c r="C252" s="93" t="s">
        <v>89</v>
      </c>
      <c r="D252" s="22">
        <v>6000.0</v>
      </c>
      <c r="E252" s="15">
        <f t="shared" si="37"/>
        <v>6000</v>
      </c>
      <c r="F252" s="15">
        <f t="shared" si="38"/>
        <v>6630</v>
      </c>
      <c r="G252" s="3"/>
      <c r="H252" s="3"/>
      <c r="I252" s="22">
        <v>4100.0</v>
      </c>
      <c r="J252" s="15">
        <f t="shared" si="39"/>
        <v>4100</v>
      </c>
      <c r="K252" s="15">
        <f t="shared" si="40"/>
        <v>2530</v>
      </c>
      <c r="L252" s="116">
        <f t="shared" si="41"/>
        <v>0.4216666667</v>
      </c>
      <c r="M252" s="1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91">
        <v>0.5</v>
      </c>
      <c r="B253" s="92" t="s">
        <v>50</v>
      </c>
      <c r="C253" s="93" t="s">
        <v>68</v>
      </c>
      <c r="D253" s="22">
        <v>4000.0</v>
      </c>
      <c r="E253" s="15">
        <f t="shared" si="37"/>
        <v>2000</v>
      </c>
      <c r="F253" s="15">
        <f t="shared" si="38"/>
        <v>2210</v>
      </c>
      <c r="G253" s="3"/>
      <c r="H253" s="3"/>
      <c r="I253" s="22">
        <v>1000.0</v>
      </c>
      <c r="J253" s="15">
        <f t="shared" si="39"/>
        <v>500</v>
      </c>
      <c r="K253" s="15">
        <f t="shared" si="40"/>
        <v>1710</v>
      </c>
      <c r="L253" s="116">
        <f t="shared" si="41"/>
        <v>0.855</v>
      </c>
      <c r="M253" s="1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A254" s="91">
        <v>2.0</v>
      </c>
      <c r="B254" s="92" t="s">
        <v>50</v>
      </c>
      <c r="C254" s="93" t="s">
        <v>16</v>
      </c>
      <c r="D254" s="22">
        <v>1000.0</v>
      </c>
      <c r="E254" s="15">
        <f t="shared" si="37"/>
        <v>2000</v>
      </c>
      <c r="F254" s="15">
        <f t="shared" si="38"/>
        <v>2210</v>
      </c>
      <c r="G254" s="3"/>
      <c r="H254" s="3"/>
      <c r="I254" s="22">
        <v>500.0</v>
      </c>
      <c r="J254" s="15">
        <f t="shared" si="39"/>
        <v>1000</v>
      </c>
      <c r="K254" s="15">
        <f t="shared" si="40"/>
        <v>1210</v>
      </c>
      <c r="L254" s="116">
        <f t="shared" si="41"/>
        <v>0.605</v>
      </c>
      <c r="M254" s="1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>
      <c r="A255" s="91">
        <v>1.0</v>
      </c>
      <c r="B255" s="92" t="s">
        <v>50</v>
      </c>
      <c r="C255" s="93" t="s">
        <v>235</v>
      </c>
      <c r="D255" s="22">
        <v>3000.0</v>
      </c>
      <c r="E255" s="15">
        <f t="shared" si="37"/>
        <v>3000</v>
      </c>
      <c r="F255" s="15">
        <f t="shared" si="38"/>
        <v>3315</v>
      </c>
      <c r="G255" s="3"/>
      <c r="H255" s="3"/>
      <c r="I255" s="22">
        <v>2000.0</v>
      </c>
      <c r="J255" s="15">
        <f t="shared" si="39"/>
        <v>2000</v>
      </c>
      <c r="K255" s="15">
        <f t="shared" si="40"/>
        <v>1315</v>
      </c>
      <c r="L255" s="116">
        <f t="shared" si="41"/>
        <v>0.4383333333</v>
      </c>
      <c r="M255" s="1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>
      <c r="A256" s="91">
        <v>1.0</v>
      </c>
      <c r="B256" s="92" t="s">
        <v>50</v>
      </c>
      <c r="C256" s="93" t="s">
        <v>171</v>
      </c>
      <c r="D256" s="22">
        <v>3000.0</v>
      </c>
      <c r="E256" s="15">
        <f t="shared" si="37"/>
        <v>3000</v>
      </c>
      <c r="F256" s="15">
        <f t="shared" si="38"/>
        <v>3315</v>
      </c>
      <c r="G256" s="3"/>
      <c r="H256" s="3"/>
      <c r="I256" s="22">
        <v>2000.0</v>
      </c>
      <c r="J256" s="15">
        <f t="shared" si="39"/>
        <v>2000</v>
      </c>
      <c r="K256" s="15">
        <f t="shared" si="40"/>
        <v>1315</v>
      </c>
      <c r="L256" s="116">
        <f t="shared" si="41"/>
        <v>0.4383333333</v>
      </c>
      <c r="M256" s="1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>
      <c r="A257" s="91">
        <v>0.4</v>
      </c>
      <c r="B257" s="92" t="s">
        <v>33</v>
      </c>
      <c r="C257" s="93" t="s">
        <v>72</v>
      </c>
      <c r="D257" s="22">
        <v>2600.0</v>
      </c>
      <c r="E257" s="15">
        <f t="shared" si="37"/>
        <v>1040</v>
      </c>
      <c r="F257" s="15">
        <f t="shared" si="38"/>
        <v>1149.2</v>
      </c>
      <c r="G257" s="3"/>
      <c r="H257" s="3"/>
      <c r="I257" s="15">
        <f>30000/15</f>
        <v>2000</v>
      </c>
      <c r="J257" s="15">
        <f t="shared" si="39"/>
        <v>800</v>
      </c>
      <c r="K257" s="15">
        <f t="shared" si="40"/>
        <v>349.2</v>
      </c>
      <c r="L257" s="116">
        <f t="shared" si="41"/>
        <v>0.3357692308</v>
      </c>
      <c r="M257" s="1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>
      <c r="A258" s="91">
        <v>1.0</v>
      </c>
      <c r="B258" s="92" t="s">
        <v>18</v>
      </c>
      <c r="C258" s="93" t="s">
        <v>54</v>
      </c>
      <c r="D258" s="22">
        <v>24000.0</v>
      </c>
      <c r="E258" s="15">
        <f t="shared" si="37"/>
        <v>24000</v>
      </c>
      <c r="F258" s="15">
        <f t="shared" si="38"/>
        <v>26520</v>
      </c>
      <c r="G258" s="3"/>
      <c r="H258" s="3"/>
      <c r="I258" s="22">
        <v>20000.0</v>
      </c>
      <c r="J258" s="15">
        <f t="shared" si="39"/>
        <v>20000</v>
      </c>
      <c r="K258" s="15">
        <f t="shared" si="40"/>
        <v>6520</v>
      </c>
      <c r="L258" s="116">
        <f t="shared" si="41"/>
        <v>0.2716666667</v>
      </c>
      <c r="M258" s="1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>
      <c r="A259" s="91">
        <v>4.0</v>
      </c>
      <c r="B259" s="10" t="s">
        <v>33</v>
      </c>
      <c r="C259" s="93" t="s">
        <v>78</v>
      </c>
      <c r="D259" s="22">
        <v>4500.0</v>
      </c>
      <c r="E259" s="15">
        <f t="shared" si="37"/>
        <v>18000</v>
      </c>
      <c r="F259" s="15">
        <f t="shared" si="38"/>
        <v>19890</v>
      </c>
      <c r="G259" s="3"/>
      <c r="H259" s="3"/>
      <c r="I259" s="3">
        <f>65000/18</f>
        <v>3611.111111</v>
      </c>
      <c r="J259" s="15">
        <f t="shared" si="39"/>
        <v>14444.44444</v>
      </c>
      <c r="K259" s="15">
        <f t="shared" si="40"/>
        <v>5445.555556</v>
      </c>
      <c r="L259" s="116">
        <f t="shared" si="41"/>
        <v>0.3025308642</v>
      </c>
      <c r="M259" s="1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>
      <c r="A260" s="91">
        <v>3.0</v>
      </c>
      <c r="B260" s="10" t="s">
        <v>33</v>
      </c>
      <c r="C260" s="93" t="s">
        <v>232</v>
      </c>
      <c r="D260" s="22">
        <v>4000.0</v>
      </c>
      <c r="E260" s="15">
        <f t="shared" si="37"/>
        <v>12000</v>
      </c>
      <c r="F260" s="15">
        <f t="shared" si="38"/>
        <v>13260</v>
      </c>
      <c r="G260" s="3"/>
      <c r="H260" s="3"/>
      <c r="I260" s="3">
        <f>60000/18</f>
        <v>3333.333333</v>
      </c>
      <c r="J260" s="15">
        <f t="shared" si="39"/>
        <v>10000</v>
      </c>
      <c r="K260" s="15">
        <f t="shared" si="40"/>
        <v>3260</v>
      </c>
      <c r="L260" s="116">
        <f t="shared" si="41"/>
        <v>0.2716666667</v>
      </c>
      <c r="M260" s="1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>
      <c r="A261" s="91">
        <v>2.0</v>
      </c>
      <c r="B261" s="92" t="s">
        <v>33</v>
      </c>
      <c r="C261" s="93" t="s">
        <v>56</v>
      </c>
      <c r="D261" s="22">
        <v>2200.0</v>
      </c>
      <c r="E261" s="15">
        <f t="shared" si="37"/>
        <v>4400</v>
      </c>
      <c r="F261" s="15">
        <f t="shared" si="38"/>
        <v>4862</v>
      </c>
      <c r="G261" s="3"/>
      <c r="H261" s="3"/>
      <c r="I261" s="3">
        <f>28000/17</f>
        <v>1647.058824</v>
      </c>
      <c r="J261" s="15">
        <f t="shared" si="39"/>
        <v>3294.117647</v>
      </c>
      <c r="K261" s="15">
        <f t="shared" si="40"/>
        <v>1567.882353</v>
      </c>
      <c r="L261" s="116">
        <f t="shared" si="41"/>
        <v>0.3563368984</v>
      </c>
      <c r="M261" s="1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>
      <c r="A262" s="117">
        <v>1.0</v>
      </c>
      <c r="B262" s="92" t="s">
        <v>33</v>
      </c>
      <c r="C262" s="93" t="s">
        <v>55</v>
      </c>
      <c r="D262" s="22">
        <v>2800.0</v>
      </c>
      <c r="E262" s="15">
        <f t="shared" si="37"/>
        <v>2800</v>
      </c>
      <c r="F262" s="15">
        <f t="shared" si="38"/>
        <v>3094</v>
      </c>
      <c r="G262" s="3"/>
      <c r="H262" s="3"/>
      <c r="I262" s="3">
        <f>15000/18</f>
        <v>833.3333333</v>
      </c>
      <c r="J262" s="15">
        <f t="shared" si="39"/>
        <v>833.3333333</v>
      </c>
      <c r="K262" s="15">
        <f t="shared" si="40"/>
        <v>2260.666667</v>
      </c>
      <c r="L262" s="116">
        <f t="shared" si="41"/>
        <v>0.8073809524</v>
      </c>
      <c r="M262" s="1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>
      <c r="A263" s="117">
        <v>0.5</v>
      </c>
      <c r="B263" s="92" t="s">
        <v>33</v>
      </c>
      <c r="C263" s="93" t="s">
        <v>57</v>
      </c>
      <c r="D263" s="22">
        <v>8500.0</v>
      </c>
      <c r="E263" s="15">
        <f t="shared" si="37"/>
        <v>4250</v>
      </c>
      <c r="F263" s="15">
        <f t="shared" si="38"/>
        <v>4696.25</v>
      </c>
      <c r="G263" s="3"/>
      <c r="H263" s="3"/>
      <c r="I263" s="3">
        <f>30000/4</f>
        <v>7500</v>
      </c>
      <c r="J263" s="15">
        <f t="shared" si="39"/>
        <v>3750</v>
      </c>
      <c r="K263" s="15">
        <f t="shared" si="40"/>
        <v>946.25</v>
      </c>
      <c r="L263" s="116">
        <f t="shared" si="41"/>
        <v>0.2226470588</v>
      </c>
      <c r="M263" s="1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>
      <c r="A264" s="117"/>
      <c r="B264" s="3"/>
      <c r="C264" s="2"/>
      <c r="D264" s="3"/>
      <c r="E264" s="3"/>
      <c r="F264" s="3"/>
      <c r="G264" s="3"/>
      <c r="H264" s="3"/>
      <c r="I264" s="3"/>
      <c r="J264" s="3"/>
      <c r="K264" s="3"/>
      <c r="L264" s="118"/>
      <c r="M264" s="1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>
      <c r="A265" s="117"/>
      <c r="B265" s="3"/>
      <c r="C265" s="2"/>
      <c r="D265" s="3"/>
      <c r="E265" s="15">
        <f t="shared" ref="E265:F265" si="42">SUM(E240:E263)</f>
        <v>176190</v>
      </c>
      <c r="F265" s="15">
        <f t="shared" si="42"/>
        <v>194689.95</v>
      </c>
      <c r="G265" s="3"/>
      <c r="H265" s="3"/>
      <c r="I265" s="3"/>
      <c r="J265" s="3"/>
      <c r="K265" s="15">
        <f>SUM(K240:K263)</f>
        <v>71249.23105</v>
      </c>
      <c r="L265" s="116">
        <f>IFERROR(K265/E265, 0)</f>
        <v>0.4043886205</v>
      </c>
      <c r="M265" s="1"/>
      <c r="N265" s="3"/>
      <c r="O265" s="2"/>
      <c r="P265" s="3"/>
      <c r="Q265" s="3"/>
      <c r="R265" s="9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3"/>
      <c r="E267" s="86"/>
      <c r="F267" s="7"/>
      <c r="G267" s="3"/>
      <c r="H267" s="3"/>
      <c r="I267" s="8"/>
      <c r="J267" s="8"/>
      <c r="K267" s="8"/>
      <c r="L267" s="4"/>
      <c r="M267" s="1"/>
      <c r="N267" s="3"/>
      <c r="O267" s="2"/>
      <c r="P267" s="3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>
      <c r="A268" s="5" t="s">
        <v>238</v>
      </c>
      <c r="D268" s="3"/>
      <c r="E268" s="86" t="s">
        <v>223</v>
      </c>
      <c r="F268" s="7">
        <v>46073.0</v>
      </c>
      <c r="G268" s="3"/>
      <c r="H268" s="3"/>
      <c r="I268" s="8" t="s">
        <v>3</v>
      </c>
      <c r="L268" s="4"/>
      <c r="M268" s="1"/>
      <c r="N268" s="3"/>
      <c r="O268" s="2"/>
      <c r="P268" s="3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>
      <c r="A269" s="1"/>
      <c r="B269" s="3"/>
      <c r="C269" s="9"/>
      <c r="D269" s="3"/>
      <c r="E269" s="3"/>
      <c r="F269" s="3"/>
      <c r="G269" s="3"/>
      <c r="H269" s="3"/>
      <c r="I269" s="3"/>
      <c r="J269" s="3"/>
      <c r="K269" s="3"/>
      <c r="L269" s="4"/>
      <c r="M269" s="1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>
      <c r="A270" s="5" t="s">
        <v>4</v>
      </c>
      <c r="B270" s="10" t="s">
        <v>5</v>
      </c>
      <c r="C270" s="96" t="s">
        <v>6</v>
      </c>
      <c r="D270" s="10" t="s">
        <v>7</v>
      </c>
      <c r="E270" s="10" t="s">
        <v>8</v>
      </c>
      <c r="F270" s="10" t="s">
        <v>9</v>
      </c>
      <c r="G270" s="3"/>
      <c r="H270" s="3"/>
      <c r="I270" s="10" t="s">
        <v>260</v>
      </c>
      <c r="J270" s="10" t="s">
        <v>8</v>
      </c>
      <c r="K270" s="10" t="s">
        <v>10</v>
      </c>
      <c r="L270" s="4"/>
      <c r="M270" s="1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>
      <c r="A271" s="91">
        <v>10.0</v>
      </c>
      <c r="B271" s="92" t="s">
        <v>50</v>
      </c>
      <c r="C271" s="93" t="s">
        <v>103</v>
      </c>
      <c r="D271" s="22">
        <v>1600.0</v>
      </c>
      <c r="E271" s="15">
        <f t="shared" ref="E271:E301" si="43">A271*D271</f>
        <v>16000</v>
      </c>
      <c r="F271" s="15">
        <f t="shared" ref="F271:F300" si="44">E271*1.105</f>
        <v>17680</v>
      </c>
      <c r="G271" s="3"/>
      <c r="H271" s="3"/>
      <c r="I271" s="22">
        <v>1000.0</v>
      </c>
      <c r="J271" s="15">
        <f t="shared" ref="J271:J301" si="45">I271*A271</f>
        <v>10000</v>
      </c>
      <c r="K271" s="15">
        <f t="shared" ref="K271:K301" si="46">F271-J271</f>
        <v>7680</v>
      </c>
      <c r="L271" s="116">
        <f t="shared" ref="L271:L301" si="47">IFERROR(K271/E271, 0)</f>
        <v>0.48</v>
      </c>
      <c r="M271" s="1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>
      <c r="A272" s="91">
        <v>1.2</v>
      </c>
      <c r="B272" s="92" t="s">
        <v>33</v>
      </c>
      <c r="C272" s="93" t="s">
        <v>236</v>
      </c>
      <c r="D272" s="22">
        <v>5000.0</v>
      </c>
      <c r="E272" s="15">
        <f t="shared" si="43"/>
        <v>6000</v>
      </c>
      <c r="F272" s="15">
        <f t="shared" si="44"/>
        <v>6630</v>
      </c>
      <c r="G272" s="3"/>
      <c r="H272" s="3"/>
      <c r="I272" s="22">
        <v>5000.0</v>
      </c>
      <c r="J272" s="15">
        <f t="shared" si="45"/>
        <v>6000</v>
      </c>
      <c r="K272" s="15">
        <f t="shared" si="46"/>
        <v>630</v>
      </c>
      <c r="L272" s="116">
        <f t="shared" si="47"/>
        <v>0.105</v>
      </c>
      <c r="M272" s="1"/>
      <c r="N272" s="3"/>
      <c r="O272" s="2"/>
      <c r="P272" s="3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>
      <c r="A273" s="91">
        <v>0.25</v>
      </c>
      <c r="B273" s="92" t="s">
        <v>33</v>
      </c>
      <c r="C273" s="93" t="s">
        <v>89</v>
      </c>
      <c r="D273" s="22">
        <v>6000.0</v>
      </c>
      <c r="E273" s="15">
        <f t="shared" si="43"/>
        <v>1500</v>
      </c>
      <c r="F273" s="15">
        <f t="shared" si="44"/>
        <v>1657.5</v>
      </c>
      <c r="G273" s="3"/>
      <c r="H273" s="3"/>
      <c r="I273" s="22">
        <v>4100.0</v>
      </c>
      <c r="J273" s="15">
        <f t="shared" si="45"/>
        <v>1025</v>
      </c>
      <c r="K273" s="15">
        <f t="shared" si="46"/>
        <v>632.5</v>
      </c>
      <c r="L273" s="116">
        <f t="shared" si="47"/>
        <v>0.4216666667</v>
      </c>
      <c r="M273" s="1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>
      <c r="A274" s="91">
        <v>0.5</v>
      </c>
      <c r="B274" s="92" t="s">
        <v>33</v>
      </c>
      <c r="C274" s="93" t="s">
        <v>57</v>
      </c>
      <c r="D274" s="22">
        <v>8500.0</v>
      </c>
      <c r="E274" s="15">
        <f t="shared" si="43"/>
        <v>4250</v>
      </c>
      <c r="F274" s="15">
        <f t="shared" si="44"/>
        <v>4696.25</v>
      </c>
      <c r="G274" s="3"/>
      <c r="H274" s="3"/>
      <c r="I274" s="22">
        <f>30000/4</f>
        <v>7500</v>
      </c>
      <c r="J274" s="15">
        <f t="shared" si="45"/>
        <v>3750</v>
      </c>
      <c r="K274" s="15">
        <f t="shared" si="46"/>
        <v>946.25</v>
      </c>
      <c r="L274" s="116">
        <f t="shared" si="47"/>
        <v>0.2226470588</v>
      </c>
      <c r="M274" s="1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>
      <c r="A275" s="91">
        <v>2.0</v>
      </c>
      <c r="B275" s="92" t="s">
        <v>33</v>
      </c>
      <c r="C275" s="93" t="s">
        <v>24</v>
      </c>
      <c r="D275" s="22">
        <v>4000.0</v>
      </c>
      <c r="E275" s="15">
        <f t="shared" si="43"/>
        <v>8000</v>
      </c>
      <c r="F275" s="15">
        <f t="shared" si="44"/>
        <v>8840</v>
      </c>
      <c r="G275" s="3"/>
      <c r="H275" s="3"/>
      <c r="I275" s="15">
        <f>28000/7</f>
        <v>4000</v>
      </c>
      <c r="J275" s="15">
        <f t="shared" si="45"/>
        <v>8000</v>
      </c>
      <c r="K275" s="15">
        <f t="shared" si="46"/>
        <v>840</v>
      </c>
      <c r="L275" s="116">
        <f t="shared" si="47"/>
        <v>0.105</v>
      </c>
      <c r="M275" s="1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>
      <c r="A276" s="91">
        <v>3.0</v>
      </c>
      <c r="B276" s="92" t="s">
        <v>33</v>
      </c>
      <c r="C276" s="93" t="s">
        <v>233</v>
      </c>
      <c r="D276" s="22">
        <v>2800.0</v>
      </c>
      <c r="E276" s="15">
        <f t="shared" si="43"/>
        <v>8400</v>
      </c>
      <c r="F276" s="15">
        <f t="shared" si="44"/>
        <v>9282</v>
      </c>
      <c r="G276" s="3"/>
      <c r="H276" s="3"/>
      <c r="I276" s="22">
        <f>8000/7</f>
        <v>1142.857143</v>
      </c>
      <c r="J276" s="15">
        <f t="shared" si="45"/>
        <v>3428.571429</v>
      </c>
      <c r="K276" s="15">
        <f t="shared" si="46"/>
        <v>5853.428571</v>
      </c>
      <c r="L276" s="116">
        <f t="shared" si="47"/>
        <v>0.6968367347</v>
      </c>
      <c r="M276" s="1"/>
      <c r="N276" s="3"/>
      <c r="O276" s="2"/>
      <c r="P276" s="3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>
      <c r="A277" s="91">
        <v>2.0</v>
      </c>
      <c r="B277" s="92" t="s">
        <v>38</v>
      </c>
      <c r="C277" s="93" t="s">
        <v>47</v>
      </c>
      <c r="D277" s="22">
        <v>13000.0</v>
      </c>
      <c r="E277" s="15">
        <f t="shared" si="43"/>
        <v>26000</v>
      </c>
      <c r="F277" s="15">
        <f t="shared" si="44"/>
        <v>28730</v>
      </c>
      <c r="G277" s="3"/>
      <c r="H277" s="3"/>
      <c r="I277" s="22">
        <v>8000.0</v>
      </c>
      <c r="J277" s="15">
        <f t="shared" si="45"/>
        <v>16000</v>
      </c>
      <c r="K277" s="15">
        <f t="shared" si="46"/>
        <v>12730</v>
      </c>
      <c r="L277" s="116">
        <f t="shared" si="47"/>
        <v>0.4896153846</v>
      </c>
      <c r="M277" s="1"/>
      <c r="N277" s="3"/>
      <c r="O277" s="2"/>
      <c r="P277" s="3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>
      <c r="A278" s="91">
        <v>4.0</v>
      </c>
      <c r="B278" s="92" t="s">
        <v>38</v>
      </c>
      <c r="C278" s="93" t="s">
        <v>179</v>
      </c>
      <c r="D278" s="22">
        <v>21000.0</v>
      </c>
      <c r="E278" s="15">
        <f t="shared" si="43"/>
        <v>84000</v>
      </c>
      <c r="F278" s="15">
        <f t="shared" si="44"/>
        <v>92820</v>
      </c>
      <c r="G278" s="3"/>
      <c r="H278" s="3"/>
      <c r="I278" s="22">
        <v>18000.0</v>
      </c>
      <c r="J278" s="15">
        <f t="shared" si="45"/>
        <v>72000</v>
      </c>
      <c r="K278" s="15">
        <f t="shared" si="46"/>
        <v>20820</v>
      </c>
      <c r="L278" s="116">
        <f t="shared" si="47"/>
        <v>0.2478571429</v>
      </c>
      <c r="M278" s="1"/>
      <c r="N278" s="3"/>
      <c r="O278" s="2"/>
      <c r="P278" s="3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>
      <c r="A279" s="91">
        <v>1.0</v>
      </c>
      <c r="B279" s="92" t="s">
        <v>33</v>
      </c>
      <c r="C279" s="93" t="s">
        <v>177</v>
      </c>
      <c r="D279" s="22">
        <v>1000.0</v>
      </c>
      <c r="E279" s="15">
        <f t="shared" si="43"/>
        <v>1000</v>
      </c>
      <c r="F279" s="15">
        <f t="shared" si="44"/>
        <v>1105</v>
      </c>
      <c r="G279" s="3"/>
      <c r="H279" s="3"/>
      <c r="I279" s="22">
        <f>7000/15</f>
        <v>466.6666667</v>
      </c>
      <c r="J279" s="15">
        <f t="shared" si="45"/>
        <v>466.6666667</v>
      </c>
      <c r="K279" s="15">
        <f t="shared" si="46"/>
        <v>638.3333333</v>
      </c>
      <c r="L279" s="116">
        <f t="shared" si="47"/>
        <v>0.6383333333</v>
      </c>
      <c r="M279" s="1"/>
      <c r="N279" s="3"/>
      <c r="O279" s="2"/>
      <c r="P279" s="3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>
      <c r="A280" s="91">
        <v>11.0</v>
      </c>
      <c r="B280" s="92" t="s">
        <v>33</v>
      </c>
      <c r="C280" s="93" t="s">
        <v>64</v>
      </c>
      <c r="D280" s="22">
        <v>2300.0</v>
      </c>
      <c r="E280" s="15">
        <f t="shared" si="43"/>
        <v>25300</v>
      </c>
      <c r="F280" s="15">
        <f t="shared" si="44"/>
        <v>27956.5</v>
      </c>
      <c r="G280" s="3"/>
      <c r="H280" s="3"/>
      <c r="I280" s="22">
        <f>20000/15</f>
        <v>1333.333333</v>
      </c>
      <c r="J280" s="15">
        <f t="shared" si="45"/>
        <v>14666.66667</v>
      </c>
      <c r="K280" s="15">
        <f t="shared" si="46"/>
        <v>13289.83333</v>
      </c>
      <c r="L280" s="116">
        <f t="shared" si="47"/>
        <v>0.5252898551</v>
      </c>
      <c r="M280" s="1"/>
      <c r="N280" s="3"/>
      <c r="O280" s="2"/>
      <c r="P280" s="3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>
      <c r="A281" s="117">
        <v>2.7</v>
      </c>
      <c r="B281" s="92" t="s">
        <v>33</v>
      </c>
      <c r="C281" s="93" t="s">
        <v>99</v>
      </c>
      <c r="D281" s="22">
        <v>1800.0</v>
      </c>
      <c r="E281" s="15">
        <f t="shared" si="43"/>
        <v>4860</v>
      </c>
      <c r="F281" s="15">
        <f t="shared" si="44"/>
        <v>5370.3</v>
      </c>
      <c r="G281" s="3"/>
      <c r="H281" s="3"/>
      <c r="I281" s="22">
        <v>1000.0</v>
      </c>
      <c r="J281" s="15">
        <f t="shared" si="45"/>
        <v>2700</v>
      </c>
      <c r="K281" s="15">
        <f t="shared" si="46"/>
        <v>2670.3</v>
      </c>
      <c r="L281" s="116">
        <f t="shared" si="47"/>
        <v>0.5494444444</v>
      </c>
      <c r="M281" s="1"/>
      <c r="N281" s="3"/>
      <c r="O281" s="2"/>
      <c r="P281" s="3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>
      <c r="A282" s="91">
        <v>2.0</v>
      </c>
      <c r="B282" s="92" t="s">
        <v>33</v>
      </c>
      <c r="C282" s="93" t="s">
        <v>240</v>
      </c>
      <c r="D282" s="22">
        <v>1800.0</v>
      </c>
      <c r="E282" s="15">
        <f t="shared" si="43"/>
        <v>3600</v>
      </c>
      <c r="F282" s="15">
        <f t="shared" si="44"/>
        <v>3978</v>
      </c>
      <c r="G282" s="3"/>
      <c r="H282" s="3"/>
      <c r="I282" s="22">
        <v>1000.0</v>
      </c>
      <c r="J282" s="15">
        <f t="shared" si="45"/>
        <v>2000</v>
      </c>
      <c r="K282" s="15">
        <f t="shared" si="46"/>
        <v>1978</v>
      </c>
      <c r="L282" s="116">
        <f t="shared" si="47"/>
        <v>0.5494444444</v>
      </c>
      <c r="M282" s="1"/>
      <c r="N282" s="3"/>
      <c r="O282" s="2"/>
      <c r="P282" s="3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>
      <c r="A283" s="91">
        <v>1.0</v>
      </c>
      <c r="B283" s="92" t="s">
        <v>50</v>
      </c>
      <c r="C283" s="93" t="s">
        <v>68</v>
      </c>
      <c r="D283" s="22">
        <v>4000.0</v>
      </c>
      <c r="E283" s="15">
        <f t="shared" si="43"/>
        <v>4000</v>
      </c>
      <c r="F283" s="15">
        <f t="shared" si="44"/>
        <v>4420</v>
      </c>
      <c r="G283" s="3"/>
      <c r="H283" s="3"/>
      <c r="I283" s="22">
        <v>1000.0</v>
      </c>
      <c r="J283" s="15">
        <f t="shared" si="45"/>
        <v>1000</v>
      </c>
      <c r="K283" s="15">
        <f t="shared" si="46"/>
        <v>3420</v>
      </c>
      <c r="L283" s="116">
        <f t="shared" si="47"/>
        <v>0.855</v>
      </c>
      <c r="M283" s="1"/>
      <c r="N283" s="3"/>
      <c r="O283" s="2"/>
      <c r="P283" s="3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>
      <c r="A284" s="91">
        <v>1.0</v>
      </c>
      <c r="B284" s="92" t="s">
        <v>50</v>
      </c>
      <c r="C284" s="93" t="s">
        <v>171</v>
      </c>
      <c r="D284" s="22">
        <v>3000.0</v>
      </c>
      <c r="E284" s="15">
        <f t="shared" si="43"/>
        <v>3000</v>
      </c>
      <c r="F284" s="15">
        <f t="shared" si="44"/>
        <v>3315</v>
      </c>
      <c r="G284" s="3"/>
      <c r="H284" s="3"/>
      <c r="I284" s="22">
        <v>2000.0</v>
      </c>
      <c r="J284" s="15">
        <f t="shared" si="45"/>
        <v>2000</v>
      </c>
      <c r="K284" s="15">
        <f t="shared" si="46"/>
        <v>1315</v>
      </c>
      <c r="L284" s="116">
        <f t="shared" si="47"/>
        <v>0.4383333333</v>
      </c>
      <c r="M284" s="1"/>
      <c r="N284" s="3"/>
      <c r="O284" s="2"/>
      <c r="P284" s="3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>
      <c r="A285" s="91">
        <v>2.0</v>
      </c>
      <c r="B285" s="92" t="s">
        <v>50</v>
      </c>
      <c r="C285" s="93" t="s">
        <v>235</v>
      </c>
      <c r="D285" s="22">
        <v>3000.0</v>
      </c>
      <c r="E285" s="15">
        <f t="shared" si="43"/>
        <v>6000</v>
      </c>
      <c r="F285" s="15">
        <f t="shared" si="44"/>
        <v>6630</v>
      </c>
      <c r="G285" s="3"/>
      <c r="H285" s="3"/>
      <c r="I285" s="22">
        <v>2000.0</v>
      </c>
      <c r="J285" s="15">
        <f t="shared" si="45"/>
        <v>4000</v>
      </c>
      <c r="K285" s="15">
        <f t="shared" si="46"/>
        <v>2630</v>
      </c>
      <c r="L285" s="116">
        <f t="shared" si="47"/>
        <v>0.4383333333</v>
      </c>
      <c r="M285" s="1"/>
      <c r="N285" s="3"/>
      <c r="O285" s="2"/>
      <c r="P285" s="3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>
      <c r="A286" s="91">
        <v>2.0</v>
      </c>
      <c r="B286" s="92" t="s">
        <v>33</v>
      </c>
      <c r="C286" s="93" t="s">
        <v>349</v>
      </c>
      <c r="D286" s="22">
        <v>4000.0</v>
      </c>
      <c r="E286" s="15">
        <f t="shared" si="43"/>
        <v>8000</v>
      </c>
      <c r="F286" s="15">
        <f t="shared" si="44"/>
        <v>8840</v>
      </c>
      <c r="G286" s="3"/>
      <c r="H286" s="3"/>
      <c r="I286" s="22">
        <f>22000/8</f>
        <v>2750</v>
      </c>
      <c r="J286" s="15">
        <f t="shared" si="45"/>
        <v>5500</v>
      </c>
      <c r="K286" s="15">
        <f t="shared" si="46"/>
        <v>3340</v>
      </c>
      <c r="L286" s="116">
        <f t="shared" si="47"/>
        <v>0.4175</v>
      </c>
      <c r="M286" s="1"/>
      <c r="N286" s="3"/>
      <c r="O286" s="2"/>
      <c r="P286" s="3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>
      <c r="A287" s="91">
        <v>1.0</v>
      </c>
      <c r="B287" s="92" t="s">
        <v>38</v>
      </c>
      <c r="C287" s="93" t="s">
        <v>45</v>
      </c>
      <c r="D287" s="22">
        <v>13000.0</v>
      </c>
      <c r="E287" s="15">
        <f t="shared" si="43"/>
        <v>13000</v>
      </c>
      <c r="F287" s="15">
        <f t="shared" si="44"/>
        <v>14365</v>
      </c>
      <c r="G287" s="3"/>
      <c r="H287" s="3"/>
      <c r="I287" s="22">
        <v>10000.0</v>
      </c>
      <c r="J287" s="15">
        <f t="shared" si="45"/>
        <v>10000</v>
      </c>
      <c r="K287" s="15">
        <f t="shared" si="46"/>
        <v>4365</v>
      </c>
      <c r="L287" s="116">
        <f t="shared" si="47"/>
        <v>0.3357692308</v>
      </c>
      <c r="M287" s="1"/>
      <c r="N287" s="3"/>
      <c r="O287" s="2"/>
      <c r="P287" s="3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>
      <c r="A288" s="91">
        <v>2.0</v>
      </c>
      <c r="B288" s="10" t="s">
        <v>33</v>
      </c>
      <c r="C288" s="93" t="s">
        <v>289</v>
      </c>
      <c r="D288" s="22">
        <v>2200.0</v>
      </c>
      <c r="E288" s="15">
        <f t="shared" si="43"/>
        <v>4400</v>
      </c>
      <c r="F288" s="15">
        <f t="shared" si="44"/>
        <v>4862</v>
      </c>
      <c r="G288" s="3"/>
      <c r="H288" s="3"/>
      <c r="I288" s="22">
        <v>1200.0</v>
      </c>
      <c r="J288" s="15">
        <f t="shared" si="45"/>
        <v>2400</v>
      </c>
      <c r="K288" s="15">
        <f t="shared" si="46"/>
        <v>2462</v>
      </c>
      <c r="L288" s="116">
        <f t="shared" si="47"/>
        <v>0.5595454545</v>
      </c>
      <c r="M288" s="1"/>
      <c r="N288" s="3"/>
      <c r="O288" s="2"/>
      <c r="P288" s="3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>
      <c r="A289" s="91">
        <v>2.0</v>
      </c>
      <c r="B289" s="92" t="s">
        <v>5</v>
      </c>
      <c r="C289" s="93" t="s">
        <v>176</v>
      </c>
      <c r="D289" s="22">
        <v>900.0</v>
      </c>
      <c r="E289" s="15">
        <f t="shared" si="43"/>
        <v>1800</v>
      </c>
      <c r="F289" s="15">
        <f t="shared" si="44"/>
        <v>1989</v>
      </c>
      <c r="G289" s="3"/>
      <c r="H289" s="3"/>
      <c r="I289" s="22">
        <v>560.0</v>
      </c>
      <c r="J289" s="15">
        <f t="shared" si="45"/>
        <v>1120</v>
      </c>
      <c r="K289" s="15">
        <f t="shared" si="46"/>
        <v>869</v>
      </c>
      <c r="L289" s="116">
        <f t="shared" si="47"/>
        <v>0.4827777778</v>
      </c>
      <c r="M289" s="1"/>
      <c r="N289" s="3"/>
      <c r="O289" s="2"/>
      <c r="P289" s="3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>
      <c r="A290" s="91">
        <v>14.0</v>
      </c>
      <c r="B290" s="92" t="s">
        <v>50</v>
      </c>
      <c r="C290" s="93" t="s">
        <v>65</v>
      </c>
      <c r="D290" s="22">
        <v>500.0</v>
      </c>
      <c r="E290" s="15">
        <f t="shared" si="43"/>
        <v>7000</v>
      </c>
      <c r="F290" s="15">
        <f t="shared" si="44"/>
        <v>7735</v>
      </c>
      <c r="G290" s="3"/>
      <c r="H290" s="3"/>
      <c r="I290" s="86">
        <v>250.0</v>
      </c>
      <c r="J290" s="15">
        <f t="shared" si="45"/>
        <v>3500</v>
      </c>
      <c r="K290" s="15">
        <f t="shared" si="46"/>
        <v>4235</v>
      </c>
      <c r="L290" s="116">
        <f t="shared" si="47"/>
        <v>0.605</v>
      </c>
      <c r="M290" s="1"/>
      <c r="N290" s="3"/>
      <c r="O290" s="2"/>
      <c r="P290" s="3"/>
      <c r="Q290" s="3"/>
      <c r="R290" s="2"/>
      <c r="S290" s="3"/>
      <c r="T290" s="3"/>
      <c r="U290" s="1"/>
      <c r="V290" s="3"/>
      <c r="W290" s="3"/>
      <c r="X290" s="3"/>
      <c r="Y290" s="3"/>
      <c r="Z290" s="3"/>
    </row>
    <row r="291">
      <c r="A291" s="91">
        <v>1.0</v>
      </c>
      <c r="B291" s="92" t="s">
        <v>38</v>
      </c>
      <c r="C291" s="93" t="s">
        <v>180</v>
      </c>
      <c r="D291" s="22">
        <v>16000.0</v>
      </c>
      <c r="E291" s="15">
        <f t="shared" si="43"/>
        <v>16000</v>
      </c>
      <c r="F291" s="15">
        <f t="shared" si="44"/>
        <v>17680</v>
      </c>
      <c r="G291" s="3"/>
      <c r="H291" s="3"/>
      <c r="I291" s="86">
        <v>10500.0</v>
      </c>
      <c r="J291" s="15">
        <f t="shared" si="45"/>
        <v>10500</v>
      </c>
      <c r="K291" s="15">
        <f t="shared" si="46"/>
        <v>7180</v>
      </c>
      <c r="L291" s="116">
        <f t="shared" si="47"/>
        <v>0.44875</v>
      </c>
      <c r="M291" s="1"/>
      <c r="N291" s="3"/>
      <c r="O291" s="2"/>
      <c r="P291" s="3"/>
      <c r="Q291" s="3"/>
      <c r="R291" s="2"/>
      <c r="S291" s="3"/>
      <c r="T291" s="3"/>
      <c r="U291" s="1"/>
      <c r="V291" s="3"/>
      <c r="W291" s="3"/>
      <c r="X291" s="3"/>
      <c r="Y291" s="3"/>
      <c r="Z291" s="3"/>
    </row>
    <row r="292">
      <c r="A292" s="91">
        <v>4.0</v>
      </c>
      <c r="B292" s="10" t="s">
        <v>33</v>
      </c>
      <c r="C292" s="93" t="s">
        <v>279</v>
      </c>
      <c r="D292" s="22">
        <v>4000.0</v>
      </c>
      <c r="E292" s="15">
        <f t="shared" si="43"/>
        <v>16000</v>
      </c>
      <c r="F292" s="15">
        <f t="shared" si="44"/>
        <v>17680</v>
      </c>
      <c r="G292" s="3"/>
      <c r="H292" s="3"/>
      <c r="I292" s="3">
        <f>25000/8</f>
        <v>3125</v>
      </c>
      <c r="J292" s="15">
        <f t="shared" si="45"/>
        <v>12500</v>
      </c>
      <c r="K292" s="15">
        <f t="shared" si="46"/>
        <v>5180</v>
      </c>
      <c r="L292" s="116">
        <f t="shared" si="47"/>
        <v>0.32375</v>
      </c>
      <c r="M292" s="1"/>
      <c r="N292" s="3"/>
      <c r="O292" s="2"/>
      <c r="P292" s="3"/>
      <c r="Q292" s="3"/>
      <c r="R292" s="2"/>
      <c r="S292" s="3"/>
      <c r="T292" s="3"/>
      <c r="U292" s="1"/>
      <c r="V292" s="3"/>
      <c r="W292" s="3"/>
      <c r="X292" s="3"/>
      <c r="Y292" s="3"/>
      <c r="Z292" s="3"/>
    </row>
    <row r="293">
      <c r="A293" s="91">
        <v>2.0</v>
      </c>
      <c r="B293" s="92" t="s">
        <v>33</v>
      </c>
      <c r="C293" s="93" t="s">
        <v>67</v>
      </c>
      <c r="D293" s="22">
        <v>800.0</v>
      </c>
      <c r="E293" s="15">
        <f t="shared" si="43"/>
        <v>1600</v>
      </c>
      <c r="F293" s="15">
        <f t="shared" si="44"/>
        <v>1768</v>
      </c>
      <c r="G293" s="3"/>
      <c r="H293" s="3"/>
      <c r="I293" s="3">
        <f>9000/17</f>
        <v>529.4117647</v>
      </c>
      <c r="J293" s="15">
        <f t="shared" si="45"/>
        <v>1058.823529</v>
      </c>
      <c r="K293" s="15">
        <f t="shared" si="46"/>
        <v>709.1764706</v>
      </c>
      <c r="L293" s="116">
        <f t="shared" si="47"/>
        <v>0.4432352941</v>
      </c>
      <c r="M293" s="1"/>
      <c r="N293" s="3"/>
      <c r="O293" s="2"/>
      <c r="P293" s="3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>
      <c r="A294" s="117">
        <v>3.0</v>
      </c>
      <c r="B294" s="10" t="s">
        <v>33</v>
      </c>
      <c r="C294" s="93" t="s">
        <v>174</v>
      </c>
      <c r="D294" s="22">
        <v>1600.0</v>
      </c>
      <c r="E294" s="15">
        <f t="shared" si="43"/>
        <v>4800</v>
      </c>
      <c r="F294" s="15">
        <f t="shared" si="44"/>
        <v>5304</v>
      </c>
      <c r="G294" s="3"/>
      <c r="H294" s="3"/>
      <c r="I294" s="3">
        <f>18000/17</f>
        <v>1058.823529</v>
      </c>
      <c r="J294" s="15">
        <f t="shared" si="45"/>
        <v>3176.470588</v>
      </c>
      <c r="K294" s="15">
        <f t="shared" si="46"/>
        <v>2127.529412</v>
      </c>
      <c r="L294" s="116">
        <f t="shared" si="47"/>
        <v>0.4432352941</v>
      </c>
      <c r="M294" s="1"/>
      <c r="N294" s="3"/>
      <c r="O294" s="2"/>
      <c r="P294" s="3"/>
      <c r="Q294" s="3"/>
      <c r="R294" s="2"/>
      <c r="S294" s="3"/>
      <c r="T294" s="3"/>
      <c r="U294" s="1"/>
      <c r="V294" s="3"/>
      <c r="W294" s="3"/>
      <c r="X294" s="3"/>
      <c r="Y294" s="3"/>
      <c r="Z294" s="3"/>
    </row>
    <row r="295">
      <c r="A295" s="117">
        <v>1.0</v>
      </c>
      <c r="B295" s="92" t="s">
        <v>18</v>
      </c>
      <c r="C295" s="93" t="s">
        <v>54</v>
      </c>
      <c r="D295" s="22">
        <v>24000.0</v>
      </c>
      <c r="E295" s="15">
        <f t="shared" si="43"/>
        <v>24000</v>
      </c>
      <c r="F295" s="15">
        <f t="shared" si="44"/>
        <v>26520</v>
      </c>
      <c r="G295" s="3"/>
      <c r="H295" s="3"/>
      <c r="I295" s="86">
        <v>20000.0</v>
      </c>
      <c r="J295" s="15">
        <f t="shared" si="45"/>
        <v>20000</v>
      </c>
      <c r="K295" s="15">
        <f t="shared" si="46"/>
        <v>6520</v>
      </c>
      <c r="L295" s="116">
        <f t="shared" si="47"/>
        <v>0.2716666667</v>
      </c>
      <c r="M295" s="1"/>
      <c r="N295" s="3"/>
      <c r="O295" s="2"/>
      <c r="P295" s="3"/>
      <c r="Q295" s="3"/>
      <c r="R295" s="2"/>
      <c r="S295" s="3"/>
      <c r="T295" s="3"/>
      <c r="U295" s="1"/>
      <c r="V295" s="3"/>
      <c r="W295" s="3"/>
      <c r="X295" s="3"/>
      <c r="Y295" s="3"/>
      <c r="Z295" s="3"/>
    </row>
    <row r="296">
      <c r="A296" s="91">
        <v>1.0</v>
      </c>
      <c r="B296" s="92" t="s">
        <v>18</v>
      </c>
      <c r="C296" s="93" t="s">
        <v>78</v>
      </c>
      <c r="D296" s="22">
        <v>70000.0</v>
      </c>
      <c r="E296" s="15">
        <f t="shared" si="43"/>
        <v>70000</v>
      </c>
      <c r="F296" s="15">
        <f t="shared" si="44"/>
        <v>77350</v>
      </c>
      <c r="G296" s="3"/>
      <c r="H296" s="3"/>
      <c r="I296" s="86">
        <v>65000.0</v>
      </c>
      <c r="J296" s="15">
        <f t="shared" si="45"/>
        <v>65000</v>
      </c>
      <c r="K296" s="15">
        <f t="shared" si="46"/>
        <v>12350</v>
      </c>
      <c r="L296" s="116">
        <f t="shared" si="47"/>
        <v>0.1764285714</v>
      </c>
      <c r="M296" s="1"/>
      <c r="N296" s="3"/>
      <c r="O296" s="2"/>
      <c r="P296" s="3"/>
      <c r="Q296" s="3"/>
      <c r="R296" s="2"/>
      <c r="S296" s="3"/>
      <c r="T296" s="3"/>
      <c r="U296" s="1"/>
      <c r="V296" s="3"/>
      <c r="W296" s="3"/>
      <c r="X296" s="3"/>
      <c r="Y296" s="3"/>
      <c r="Z296" s="3"/>
    </row>
    <row r="297">
      <c r="A297" s="91">
        <v>1.0</v>
      </c>
      <c r="B297" s="92" t="s">
        <v>18</v>
      </c>
      <c r="C297" s="93" t="s">
        <v>232</v>
      </c>
      <c r="D297" s="22">
        <v>65000.0</v>
      </c>
      <c r="E297" s="15">
        <f t="shared" si="43"/>
        <v>65000</v>
      </c>
      <c r="F297" s="15">
        <f t="shared" si="44"/>
        <v>71825</v>
      </c>
      <c r="G297" s="3"/>
      <c r="H297" s="3"/>
      <c r="I297" s="86">
        <v>60000.0</v>
      </c>
      <c r="J297" s="15">
        <f t="shared" si="45"/>
        <v>60000</v>
      </c>
      <c r="K297" s="15">
        <f t="shared" si="46"/>
        <v>11825</v>
      </c>
      <c r="L297" s="116">
        <f t="shared" si="47"/>
        <v>0.1819230769</v>
      </c>
      <c r="M297" s="1"/>
      <c r="N297" s="3"/>
      <c r="O297" s="2"/>
      <c r="P297" s="3"/>
      <c r="Q297" s="3"/>
      <c r="R297" s="2"/>
      <c r="S297" s="3"/>
      <c r="T297" s="3"/>
      <c r="U297" s="1"/>
      <c r="V297" s="3"/>
      <c r="W297" s="3"/>
      <c r="X297" s="3"/>
      <c r="Y297" s="3"/>
      <c r="Z297" s="3"/>
    </row>
    <row r="298" ht="15.75" customHeight="1">
      <c r="A298" s="91">
        <v>3.0</v>
      </c>
      <c r="B298" s="10" t="s">
        <v>33</v>
      </c>
      <c r="C298" s="93" t="s">
        <v>55</v>
      </c>
      <c r="D298" s="22">
        <v>2800.0</v>
      </c>
      <c r="E298" s="15">
        <f t="shared" si="43"/>
        <v>8400</v>
      </c>
      <c r="F298" s="15">
        <f t="shared" si="44"/>
        <v>9282</v>
      </c>
      <c r="G298" s="3"/>
      <c r="H298" s="3"/>
      <c r="I298" s="3">
        <f>15000/18</f>
        <v>833.3333333</v>
      </c>
      <c r="J298" s="15">
        <f t="shared" si="45"/>
        <v>2500</v>
      </c>
      <c r="K298" s="15">
        <f t="shared" si="46"/>
        <v>6782</v>
      </c>
      <c r="L298" s="116">
        <f t="shared" si="47"/>
        <v>0.8073809524</v>
      </c>
      <c r="M298" s="1"/>
      <c r="N298" s="3"/>
      <c r="O298" s="2"/>
      <c r="P298" s="3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>
      <c r="A299" s="91">
        <v>20.0</v>
      </c>
      <c r="B299" s="92" t="s">
        <v>5</v>
      </c>
      <c r="C299" s="93" t="s">
        <v>241</v>
      </c>
      <c r="D299" s="22">
        <v>800.0</v>
      </c>
      <c r="E299" s="15">
        <f t="shared" si="43"/>
        <v>16000</v>
      </c>
      <c r="F299" s="15">
        <f t="shared" si="44"/>
        <v>17680</v>
      </c>
      <c r="G299" s="3"/>
      <c r="H299" s="3"/>
      <c r="I299" s="86">
        <v>300.0</v>
      </c>
      <c r="J299" s="15">
        <f t="shared" si="45"/>
        <v>6000</v>
      </c>
      <c r="K299" s="15">
        <f t="shared" si="46"/>
        <v>11680</v>
      </c>
      <c r="L299" s="116">
        <f t="shared" si="47"/>
        <v>0.73</v>
      </c>
      <c r="M299" s="1"/>
      <c r="N299" s="3"/>
      <c r="O299" s="2"/>
      <c r="P299" s="3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 ht="15.75" customHeight="1">
      <c r="A300" s="91">
        <v>1.0</v>
      </c>
      <c r="B300" s="92" t="s">
        <v>50</v>
      </c>
      <c r="C300" s="93" t="s">
        <v>16</v>
      </c>
      <c r="D300" s="22">
        <v>1000.0</v>
      </c>
      <c r="E300" s="15">
        <f t="shared" si="43"/>
        <v>1000</v>
      </c>
      <c r="F300" s="15">
        <f t="shared" si="44"/>
        <v>1105</v>
      </c>
      <c r="G300" s="3"/>
      <c r="H300" s="3"/>
      <c r="I300" s="86">
        <v>500.0</v>
      </c>
      <c r="J300" s="15">
        <f t="shared" si="45"/>
        <v>500</v>
      </c>
      <c r="K300" s="15">
        <f t="shared" si="46"/>
        <v>605</v>
      </c>
      <c r="L300" s="116">
        <f t="shared" si="47"/>
        <v>0.605</v>
      </c>
      <c r="M300" s="1"/>
      <c r="N300" s="3"/>
      <c r="O300" s="2"/>
      <c r="P300" s="3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>
      <c r="A301" s="91">
        <v>6.0</v>
      </c>
      <c r="B301" s="92" t="s">
        <v>231</v>
      </c>
      <c r="C301" s="93" t="s">
        <v>277</v>
      </c>
      <c r="D301" s="22">
        <v>4500.0</v>
      </c>
      <c r="E301" s="15">
        <f t="shared" si="43"/>
        <v>27000</v>
      </c>
      <c r="F301" s="15">
        <f>E301*1.21</f>
        <v>32670</v>
      </c>
      <c r="G301" s="3"/>
      <c r="H301" s="3"/>
      <c r="I301" s="86">
        <f>52000/12</f>
        <v>4333.333333</v>
      </c>
      <c r="J301" s="15">
        <f t="shared" si="45"/>
        <v>26000</v>
      </c>
      <c r="K301" s="15">
        <f t="shared" si="46"/>
        <v>6670</v>
      </c>
      <c r="L301" s="116">
        <f t="shared" si="47"/>
        <v>0.247037037</v>
      </c>
      <c r="M301" s="1"/>
      <c r="N301" s="3"/>
      <c r="O301" s="2"/>
      <c r="P301" s="3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>
      <c r="A302" s="117"/>
      <c r="B302" s="3"/>
      <c r="C302" s="2"/>
      <c r="D302" s="3"/>
      <c r="E302" s="3"/>
      <c r="F302" s="3"/>
      <c r="G302" s="3"/>
      <c r="H302" s="3"/>
      <c r="I302" s="3"/>
      <c r="J302" s="3"/>
      <c r="K302" s="3"/>
      <c r="L302" s="118"/>
      <c r="M302" s="1"/>
      <c r="N302" s="3"/>
      <c r="O302" s="2"/>
      <c r="P302" s="3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>
      <c r="A303" s="117"/>
      <c r="B303" s="3"/>
      <c r="C303" s="2"/>
      <c r="D303" s="3"/>
      <c r="E303" s="15">
        <f t="shared" ref="E303:F303" si="48">SUM(E271:E301)</f>
        <v>485910</v>
      </c>
      <c r="F303" s="15">
        <f t="shared" si="48"/>
        <v>539765.55</v>
      </c>
      <c r="G303" s="3"/>
      <c r="H303" s="3"/>
      <c r="I303" s="3"/>
      <c r="J303" s="3"/>
      <c r="K303" s="15">
        <f>SUM(K271:K301)</f>
        <v>162973.3511</v>
      </c>
      <c r="L303" s="116">
        <f>IFERROR(K303/E303, 0)</f>
        <v>0.3353982242</v>
      </c>
      <c r="M303" s="1"/>
      <c r="N303" s="3"/>
      <c r="O303" s="2"/>
      <c r="P303" s="3"/>
      <c r="Q303" s="3"/>
      <c r="R303" s="9"/>
      <c r="S303" s="3"/>
      <c r="T303" s="3"/>
      <c r="U303" s="1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 t="s">
        <v>311</v>
      </c>
      <c r="D306" s="3"/>
      <c r="E306" s="86" t="s">
        <v>62</v>
      </c>
      <c r="F306" s="7">
        <v>46073.0</v>
      </c>
      <c r="G306" s="3"/>
      <c r="H306" s="3"/>
      <c r="I306" s="8" t="s">
        <v>3</v>
      </c>
      <c r="L306" s="4"/>
      <c r="M306" s="1"/>
      <c r="N306" s="3"/>
      <c r="O306" s="2"/>
      <c r="P306" s="3"/>
      <c r="Q306" s="3"/>
      <c r="R306" s="2"/>
      <c r="S306" s="3"/>
      <c r="T306" s="3"/>
      <c r="U306" s="1"/>
      <c r="V306" s="3"/>
      <c r="W306" s="3"/>
      <c r="X306" s="3"/>
      <c r="Y306" s="3"/>
      <c r="Z306" s="3"/>
    </row>
    <row r="307">
      <c r="A307" s="1"/>
      <c r="B307" s="3"/>
      <c r="C307" s="9"/>
      <c r="D307" s="3"/>
      <c r="E307" s="3"/>
      <c r="F307" s="3"/>
      <c r="G307" s="3"/>
      <c r="H307" s="3"/>
      <c r="I307" s="3"/>
      <c r="J307" s="3"/>
      <c r="K307" s="3"/>
      <c r="L307" s="4"/>
      <c r="M307" s="1"/>
      <c r="N307" s="3"/>
      <c r="O307" s="2"/>
      <c r="P307" s="3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>
      <c r="A308" s="5" t="s">
        <v>4</v>
      </c>
      <c r="B308" s="10" t="s">
        <v>5</v>
      </c>
      <c r="C308" s="96" t="s">
        <v>6</v>
      </c>
      <c r="D308" s="10" t="s">
        <v>7</v>
      </c>
      <c r="E308" s="10" t="s">
        <v>8</v>
      </c>
      <c r="F308" s="10" t="s">
        <v>9</v>
      </c>
      <c r="G308" s="3"/>
      <c r="H308" s="3"/>
      <c r="I308" s="10" t="s">
        <v>260</v>
      </c>
      <c r="J308" s="10" t="s">
        <v>8</v>
      </c>
      <c r="K308" s="10" t="s">
        <v>10</v>
      </c>
      <c r="L308" s="4"/>
      <c r="M308" s="1"/>
      <c r="N308" s="3"/>
      <c r="O308" s="2"/>
      <c r="P308" s="3"/>
      <c r="Q308" s="3"/>
      <c r="R308" s="2"/>
      <c r="S308" s="3"/>
      <c r="T308" s="3"/>
      <c r="U308" s="1"/>
      <c r="V308" s="3"/>
      <c r="W308" s="3"/>
      <c r="X308" s="3"/>
      <c r="Y308" s="3"/>
      <c r="Z308" s="3"/>
    </row>
    <row r="309">
      <c r="A309" s="91">
        <v>2.0</v>
      </c>
      <c r="B309" s="92" t="s">
        <v>38</v>
      </c>
      <c r="C309" s="93" t="s">
        <v>179</v>
      </c>
      <c r="D309" s="22">
        <v>21000.0</v>
      </c>
      <c r="E309" s="15">
        <f t="shared" ref="E309:E329" si="49">A309*D309</f>
        <v>42000</v>
      </c>
      <c r="F309" s="15">
        <f t="shared" ref="F309:F328" si="50">E309*1.105</f>
        <v>46410</v>
      </c>
      <c r="G309" s="3"/>
      <c r="H309" s="3"/>
      <c r="I309" s="22">
        <v>18000.0</v>
      </c>
      <c r="J309" s="15">
        <f t="shared" ref="J309:J329" si="51">I309*A309</f>
        <v>36000</v>
      </c>
      <c r="K309" s="15">
        <f t="shared" ref="K309:K329" si="52">F309-J309</f>
        <v>10410</v>
      </c>
      <c r="L309" s="116">
        <f t="shared" ref="L309:L329" si="53">IFERROR(K309/E309, 0)</f>
        <v>0.2478571429</v>
      </c>
      <c r="M309" s="1"/>
      <c r="N309" s="3"/>
      <c r="O309" s="2"/>
      <c r="P309" s="3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>
      <c r="A310" s="91">
        <v>1.0</v>
      </c>
      <c r="B310" s="92" t="s">
        <v>38</v>
      </c>
      <c r="C310" s="93" t="s">
        <v>45</v>
      </c>
      <c r="D310" s="22">
        <v>13000.0</v>
      </c>
      <c r="E310" s="15">
        <f t="shared" si="49"/>
        <v>13000</v>
      </c>
      <c r="F310" s="15">
        <f t="shared" si="50"/>
        <v>14365</v>
      </c>
      <c r="G310" s="3"/>
      <c r="H310" s="3"/>
      <c r="I310" s="22">
        <v>10000.0</v>
      </c>
      <c r="J310" s="15">
        <f t="shared" si="51"/>
        <v>10000</v>
      </c>
      <c r="K310" s="15">
        <f t="shared" si="52"/>
        <v>4365</v>
      </c>
      <c r="L310" s="116">
        <f t="shared" si="53"/>
        <v>0.3357692308</v>
      </c>
      <c r="M310" s="1"/>
      <c r="N310" s="3"/>
      <c r="O310" s="2"/>
      <c r="P310" s="3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>
      <c r="A311" s="91">
        <v>6.0</v>
      </c>
      <c r="B311" s="92" t="s">
        <v>33</v>
      </c>
      <c r="C311" s="93" t="s">
        <v>64</v>
      </c>
      <c r="D311" s="22">
        <v>2300.0</v>
      </c>
      <c r="E311" s="15">
        <f t="shared" si="49"/>
        <v>13800</v>
      </c>
      <c r="F311" s="15">
        <f t="shared" si="50"/>
        <v>15249</v>
      </c>
      <c r="G311" s="3"/>
      <c r="H311" s="3"/>
      <c r="I311" s="22">
        <f>20000/15</f>
        <v>1333.333333</v>
      </c>
      <c r="J311" s="15">
        <f t="shared" si="51"/>
        <v>8000</v>
      </c>
      <c r="K311" s="15">
        <f t="shared" si="52"/>
        <v>7249</v>
      </c>
      <c r="L311" s="116">
        <f t="shared" si="53"/>
        <v>0.5252898551</v>
      </c>
      <c r="M311" s="1"/>
      <c r="N311" s="3"/>
      <c r="O311" s="2"/>
      <c r="P311" s="3"/>
      <c r="Q311" s="3"/>
      <c r="R311" s="2"/>
      <c r="S311" s="3"/>
      <c r="T311" s="3"/>
      <c r="U311" s="1"/>
      <c r="V311" s="3"/>
      <c r="W311" s="3"/>
      <c r="X311" s="3"/>
      <c r="Y311" s="3"/>
      <c r="Z311" s="3"/>
    </row>
    <row r="312">
      <c r="A312" s="91">
        <v>2.0</v>
      </c>
      <c r="B312" s="92" t="s">
        <v>33</v>
      </c>
      <c r="C312" s="93" t="s">
        <v>233</v>
      </c>
      <c r="D312" s="22">
        <v>2800.0</v>
      </c>
      <c r="E312" s="15">
        <f t="shared" si="49"/>
        <v>5600</v>
      </c>
      <c r="F312" s="15">
        <f t="shared" si="50"/>
        <v>6188</v>
      </c>
      <c r="G312" s="3"/>
      <c r="H312" s="3"/>
      <c r="I312" s="22">
        <f>8000/7</f>
        <v>1142.857143</v>
      </c>
      <c r="J312" s="15">
        <f t="shared" si="51"/>
        <v>2285.714286</v>
      </c>
      <c r="K312" s="15">
        <f t="shared" si="52"/>
        <v>3902.285714</v>
      </c>
      <c r="L312" s="116">
        <f t="shared" si="53"/>
        <v>0.6968367347</v>
      </c>
      <c r="M312" s="1"/>
      <c r="N312" s="3"/>
      <c r="O312" s="2"/>
      <c r="P312" s="3"/>
      <c r="Q312" s="3"/>
      <c r="R312" s="2"/>
      <c r="S312" s="3"/>
      <c r="T312" s="3"/>
      <c r="U312" s="1"/>
      <c r="V312" s="3"/>
      <c r="W312" s="3"/>
      <c r="X312" s="3"/>
      <c r="Y312" s="3"/>
      <c r="Z312" s="3"/>
    </row>
    <row r="313">
      <c r="A313" s="91">
        <v>16.0</v>
      </c>
      <c r="B313" s="92" t="s">
        <v>50</v>
      </c>
      <c r="C313" s="93" t="s">
        <v>65</v>
      </c>
      <c r="D313" s="22">
        <v>500.0</v>
      </c>
      <c r="E313" s="15">
        <f t="shared" si="49"/>
        <v>8000</v>
      </c>
      <c r="F313" s="15">
        <f t="shared" si="50"/>
        <v>8840</v>
      </c>
      <c r="G313" s="3"/>
      <c r="H313" s="3"/>
      <c r="I313" s="22">
        <v>250.0</v>
      </c>
      <c r="J313" s="15">
        <f t="shared" si="51"/>
        <v>4000</v>
      </c>
      <c r="K313" s="15">
        <f t="shared" si="52"/>
        <v>4840</v>
      </c>
      <c r="L313" s="116">
        <f t="shared" si="53"/>
        <v>0.605</v>
      </c>
      <c r="M313" s="1"/>
      <c r="N313" s="3"/>
      <c r="O313" s="2"/>
      <c r="P313" s="3"/>
      <c r="Q313" s="3"/>
      <c r="R313" s="2"/>
      <c r="S313" s="3"/>
      <c r="T313" s="3"/>
      <c r="U313" s="1"/>
      <c r="V313" s="3"/>
      <c r="W313" s="3"/>
      <c r="X313" s="3"/>
      <c r="Y313" s="3"/>
      <c r="Z313" s="3"/>
    </row>
    <row r="314">
      <c r="A314" s="91">
        <v>2.0</v>
      </c>
      <c r="B314" s="92" t="s">
        <v>33</v>
      </c>
      <c r="C314" s="93" t="s">
        <v>98</v>
      </c>
      <c r="D314" s="22">
        <v>1800.0</v>
      </c>
      <c r="E314" s="15">
        <f t="shared" si="49"/>
        <v>3600</v>
      </c>
      <c r="F314" s="15">
        <f t="shared" si="50"/>
        <v>3978</v>
      </c>
      <c r="G314" s="3"/>
      <c r="H314" s="3"/>
      <c r="I314" s="22">
        <v>1000.0</v>
      </c>
      <c r="J314" s="15">
        <f t="shared" si="51"/>
        <v>2000</v>
      </c>
      <c r="K314" s="15">
        <f t="shared" si="52"/>
        <v>1978</v>
      </c>
      <c r="L314" s="116">
        <f t="shared" si="53"/>
        <v>0.5494444444</v>
      </c>
      <c r="M314" s="1"/>
      <c r="N314" s="3"/>
      <c r="O314" s="2"/>
      <c r="P314" s="3"/>
      <c r="Q314" s="3"/>
      <c r="R314" s="2"/>
      <c r="S314" s="3"/>
      <c r="T314" s="3"/>
      <c r="U314" s="1"/>
      <c r="V314" s="3"/>
      <c r="W314" s="3"/>
      <c r="X314" s="3"/>
      <c r="Y314" s="3"/>
      <c r="Z314" s="3"/>
    </row>
    <row r="315">
      <c r="A315" s="91">
        <v>3.5</v>
      </c>
      <c r="B315" s="92" t="s">
        <v>33</v>
      </c>
      <c r="C315" s="93" t="s">
        <v>99</v>
      </c>
      <c r="D315" s="22">
        <v>1800.0</v>
      </c>
      <c r="E315" s="15">
        <f t="shared" si="49"/>
        <v>6300</v>
      </c>
      <c r="F315" s="15">
        <f t="shared" si="50"/>
        <v>6961.5</v>
      </c>
      <c r="G315" s="3"/>
      <c r="H315" s="3"/>
      <c r="I315" s="22">
        <v>1000.0</v>
      </c>
      <c r="J315" s="15">
        <f t="shared" si="51"/>
        <v>3500</v>
      </c>
      <c r="K315" s="15">
        <f t="shared" si="52"/>
        <v>3461.5</v>
      </c>
      <c r="L315" s="116">
        <f t="shared" si="53"/>
        <v>0.5494444444</v>
      </c>
      <c r="M315" s="1"/>
      <c r="N315" s="3"/>
      <c r="O315" s="2"/>
      <c r="P315" s="3"/>
      <c r="Q315" s="3"/>
      <c r="R315" s="2"/>
      <c r="S315" s="3"/>
      <c r="T315" s="3"/>
      <c r="U315" s="1"/>
      <c r="V315" s="3"/>
      <c r="W315" s="3"/>
      <c r="X315" s="3"/>
      <c r="Y315" s="3"/>
      <c r="Z315" s="3"/>
    </row>
    <row r="316">
      <c r="A316" s="91">
        <v>3.0</v>
      </c>
      <c r="B316" s="92" t="s">
        <v>5</v>
      </c>
      <c r="C316" s="93" t="s">
        <v>87</v>
      </c>
      <c r="D316" s="22">
        <v>1300.0</v>
      </c>
      <c r="E316" s="15">
        <f t="shared" si="49"/>
        <v>3900</v>
      </c>
      <c r="F316" s="15">
        <f t="shared" si="50"/>
        <v>4309.5</v>
      </c>
      <c r="G316" s="3"/>
      <c r="H316" s="3"/>
      <c r="I316" s="22">
        <f>62000/80</f>
        <v>775</v>
      </c>
      <c r="J316" s="15">
        <f t="shared" si="51"/>
        <v>2325</v>
      </c>
      <c r="K316" s="15">
        <f t="shared" si="52"/>
        <v>1984.5</v>
      </c>
      <c r="L316" s="116">
        <f t="shared" si="53"/>
        <v>0.5088461538</v>
      </c>
      <c r="M316" s="1"/>
      <c r="N316" s="3"/>
      <c r="O316" s="2"/>
      <c r="P316" s="3"/>
      <c r="Q316" s="3"/>
      <c r="R316" s="2"/>
      <c r="S316" s="3"/>
      <c r="T316" s="3"/>
      <c r="U316" s="1"/>
      <c r="V316" s="3"/>
      <c r="W316" s="3"/>
      <c r="X316" s="3"/>
      <c r="Y316" s="3"/>
      <c r="Z316" s="3"/>
    </row>
    <row r="317">
      <c r="A317" s="91">
        <v>0.5</v>
      </c>
      <c r="B317" s="92" t="s">
        <v>33</v>
      </c>
      <c r="C317" s="93" t="s">
        <v>20</v>
      </c>
      <c r="D317" s="22">
        <v>3500.0</v>
      </c>
      <c r="E317" s="15">
        <f t="shared" si="49"/>
        <v>1750</v>
      </c>
      <c r="F317" s="15">
        <f t="shared" si="50"/>
        <v>1933.75</v>
      </c>
      <c r="G317" s="3"/>
      <c r="H317" s="3"/>
      <c r="I317" s="22">
        <f>25000/8</f>
        <v>3125</v>
      </c>
      <c r="J317" s="15">
        <f t="shared" si="51"/>
        <v>1562.5</v>
      </c>
      <c r="K317" s="15">
        <f t="shared" si="52"/>
        <v>371.25</v>
      </c>
      <c r="L317" s="116">
        <f t="shared" si="53"/>
        <v>0.2121428571</v>
      </c>
      <c r="M317" s="1"/>
      <c r="N317" s="3"/>
      <c r="O317" s="2"/>
      <c r="P317" s="3"/>
      <c r="Q317" s="3"/>
      <c r="R317" s="2"/>
      <c r="S317" s="3"/>
      <c r="T317" s="3"/>
      <c r="U317" s="1"/>
      <c r="V317" s="3"/>
      <c r="W317" s="3"/>
      <c r="X317" s="3"/>
      <c r="Y317" s="3"/>
      <c r="Z317" s="3"/>
    </row>
    <row r="318">
      <c r="A318" s="91">
        <v>2.0</v>
      </c>
      <c r="B318" s="92" t="s">
        <v>50</v>
      </c>
      <c r="C318" s="93" t="s">
        <v>308</v>
      </c>
      <c r="D318" s="22">
        <v>2000.0</v>
      </c>
      <c r="E318" s="15">
        <f t="shared" si="49"/>
        <v>4000</v>
      </c>
      <c r="F318" s="15">
        <f t="shared" si="50"/>
        <v>4420</v>
      </c>
      <c r="G318" s="3"/>
      <c r="H318" s="3"/>
      <c r="I318" s="22">
        <v>1500.0</v>
      </c>
      <c r="J318" s="15">
        <f t="shared" si="51"/>
        <v>3000</v>
      </c>
      <c r="K318" s="15">
        <f t="shared" si="52"/>
        <v>1420</v>
      </c>
      <c r="L318" s="116">
        <f t="shared" si="53"/>
        <v>0.355</v>
      </c>
      <c r="M318" s="1"/>
      <c r="N318" s="3"/>
      <c r="O318" s="2"/>
      <c r="P318" s="3"/>
      <c r="Q318" s="3"/>
      <c r="R318" s="2"/>
      <c r="S318" s="3"/>
      <c r="T318" s="3"/>
      <c r="U318" s="1"/>
      <c r="V318" s="3"/>
      <c r="W318" s="3"/>
      <c r="X318" s="3"/>
      <c r="Y318" s="3"/>
      <c r="Z318" s="3"/>
    </row>
    <row r="319">
      <c r="A319" s="117">
        <v>1.0</v>
      </c>
      <c r="B319" s="92" t="s">
        <v>50</v>
      </c>
      <c r="C319" s="93" t="s">
        <v>89</v>
      </c>
      <c r="D319" s="22">
        <v>6000.0</v>
      </c>
      <c r="E319" s="15">
        <f t="shared" si="49"/>
        <v>6000</v>
      </c>
      <c r="F319" s="15">
        <f t="shared" si="50"/>
        <v>6630</v>
      </c>
      <c r="G319" s="3"/>
      <c r="H319" s="3"/>
      <c r="I319" s="22">
        <v>4100.0</v>
      </c>
      <c r="J319" s="15">
        <f t="shared" si="51"/>
        <v>4100</v>
      </c>
      <c r="K319" s="15">
        <f t="shared" si="52"/>
        <v>2530</v>
      </c>
      <c r="L319" s="116">
        <f t="shared" si="53"/>
        <v>0.4216666667</v>
      </c>
      <c r="M319" s="1"/>
      <c r="N319" s="3"/>
      <c r="O319" s="2"/>
      <c r="P319" s="3"/>
      <c r="Q319" s="3"/>
      <c r="R319" s="2"/>
      <c r="S319" s="3"/>
      <c r="T319" s="3"/>
      <c r="U319" s="1"/>
      <c r="V319" s="3"/>
      <c r="W319" s="3"/>
      <c r="X319" s="3"/>
      <c r="Y319" s="3"/>
      <c r="Z319" s="3"/>
    </row>
    <row r="320">
      <c r="A320" s="91">
        <v>1.0</v>
      </c>
      <c r="B320" s="92" t="s">
        <v>50</v>
      </c>
      <c r="C320" s="93" t="s">
        <v>68</v>
      </c>
      <c r="D320" s="22">
        <v>4000.0</v>
      </c>
      <c r="E320" s="15">
        <f t="shared" si="49"/>
        <v>4000</v>
      </c>
      <c r="F320" s="15">
        <f t="shared" si="50"/>
        <v>4420</v>
      </c>
      <c r="G320" s="3"/>
      <c r="H320" s="3"/>
      <c r="I320" s="22">
        <v>1000.0</v>
      </c>
      <c r="J320" s="15">
        <f t="shared" si="51"/>
        <v>1000</v>
      </c>
      <c r="K320" s="15">
        <f t="shared" si="52"/>
        <v>3420</v>
      </c>
      <c r="L320" s="116">
        <f t="shared" si="53"/>
        <v>0.855</v>
      </c>
      <c r="M320" s="1"/>
      <c r="N320" s="3"/>
      <c r="O320" s="2"/>
      <c r="P320" s="3"/>
      <c r="Q320" s="3"/>
      <c r="R320" s="2"/>
      <c r="S320" s="3"/>
      <c r="T320" s="3"/>
      <c r="U320" s="1"/>
      <c r="V320" s="3"/>
      <c r="W320" s="3"/>
      <c r="X320" s="3"/>
      <c r="Y320" s="3"/>
      <c r="Z320" s="3"/>
    </row>
    <row r="321">
      <c r="A321" s="91">
        <v>1.0</v>
      </c>
      <c r="B321" s="92" t="s">
        <v>50</v>
      </c>
      <c r="C321" s="93" t="s">
        <v>171</v>
      </c>
      <c r="D321" s="22">
        <v>3000.0</v>
      </c>
      <c r="E321" s="15">
        <f t="shared" si="49"/>
        <v>3000</v>
      </c>
      <c r="F321" s="15">
        <f t="shared" si="50"/>
        <v>3315</v>
      </c>
      <c r="G321" s="3"/>
      <c r="H321" s="3"/>
      <c r="I321" s="22">
        <v>2000.0</v>
      </c>
      <c r="J321" s="15">
        <f t="shared" si="51"/>
        <v>2000</v>
      </c>
      <c r="K321" s="15">
        <f t="shared" si="52"/>
        <v>1315</v>
      </c>
      <c r="L321" s="116">
        <f t="shared" si="53"/>
        <v>0.4383333333</v>
      </c>
      <c r="M321" s="1"/>
      <c r="N321" s="3"/>
      <c r="O321" s="2"/>
      <c r="P321" s="3"/>
      <c r="Q321" s="3"/>
      <c r="R321" s="2"/>
      <c r="S321" s="3"/>
      <c r="T321" s="3"/>
      <c r="U321" s="1"/>
      <c r="V321" s="3"/>
      <c r="W321" s="3"/>
      <c r="X321" s="3"/>
      <c r="Y321" s="3"/>
      <c r="Z321" s="3"/>
    </row>
    <row r="322">
      <c r="A322" s="91">
        <v>1.0</v>
      </c>
      <c r="B322" s="92" t="s">
        <v>33</v>
      </c>
      <c r="C322" s="93" t="s">
        <v>72</v>
      </c>
      <c r="D322" s="22">
        <v>2600.0</v>
      </c>
      <c r="E322" s="15">
        <f t="shared" si="49"/>
        <v>2600</v>
      </c>
      <c r="F322" s="15">
        <f t="shared" si="50"/>
        <v>2873</v>
      </c>
      <c r="G322" s="3"/>
      <c r="H322" s="3"/>
      <c r="I322" s="15">
        <f>30000/15</f>
        <v>2000</v>
      </c>
      <c r="J322" s="15">
        <f t="shared" si="51"/>
        <v>2000</v>
      </c>
      <c r="K322" s="15">
        <f t="shared" si="52"/>
        <v>873</v>
      </c>
      <c r="L322" s="116">
        <f t="shared" si="53"/>
        <v>0.3357692308</v>
      </c>
      <c r="M322" s="1"/>
      <c r="N322" s="3"/>
      <c r="O322" s="2"/>
      <c r="P322" s="3"/>
      <c r="Q322" s="3"/>
      <c r="R322" s="2"/>
      <c r="S322" s="3"/>
      <c r="T322" s="3"/>
      <c r="U322" s="1"/>
      <c r="V322" s="3"/>
      <c r="W322" s="3"/>
      <c r="X322" s="3"/>
      <c r="Y322" s="3"/>
      <c r="Z322" s="3"/>
    </row>
    <row r="323">
      <c r="A323" s="91">
        <v>1.0</v>
      </c>
      <c r="B323" s="92" t="s">
        <v>33</v>
      </c>
      <c r="C323" s="93" t="s">
        <v>69</v>
      </c>
      <c r="D323" s="22">
        <v>2000.0</v>
      </c>
      <c r="E323" s="15">
        <f t="shared" si="49"/>
        <v>2000</v>
      </c>
      <c r="F323" s="15">
        <f t="shared" si="50"/>
        <v>2210</v>
      </c>
      <c r="G323" s="3"/>
      <c r="H323" s="3"/>
      <c r="I323" s="22">
        <f>15000/9</f>
        <v>1666.666667</v>
      </c>
      <c r="J323" s="15">
        <f t="shared" si="51"/>
        <v>1666.666667</v>
      </c>
      <c r="K323" s="15">
        <f t="shared" si="52"/>
        <v>543.3333333</v>
      </c>
      <c r="L323" s="116">
        <f t="shared" si="53"/>
        <v>0.2716666667</v>
      </c>
      <c r="M323" s="1"/>
      <c r="N323" s="3"/>
      <c r="O323" s="2"/>
      <c r="P323" s="3"/>
      <c r="Q323" s="3"/>
      <c r="R323" s="2"/>
      <c r="S323" s="3"/>
      <c r="T323" s="3"/>
      <c r="U323" s="1"/>
      <c r="V323" s="3"/>
      <c r="W323" s="3"/>
      <c r="X323" s="3"/>
      <c r="Y323" s="3"/>
      <c r="Z323" s="3"/>
    </row>
    <row r="324">
      <c r="A324" s="91">
        <v>1.0</v>
      </c>
      <c r="B324" s="92" t="s">
        <v>50</v>
      </c>
      <c r="C324" s="93" t="s">
        <v>235</v>
      </c>
      <c r="D324" s="22">
        <v>3000.0</v>
      </c>
      <c r="E324" s="15">
        <f t="shared" si="49"/>
        <v>3000</v>
      </c>
      <c r="F324" s="15">
        <f t="shared" si="50"/>
        <v>3315</v>
      </c>
      <c r="G324" s="3"/>
      <c r="H324" s="3"/>
      <c r="I324" s="22">
        <v>2000.0</v>
      </c>
      <c r="J324" s="15">
        <f t="shared" si="51"/>
        <v>2000</v>
      </c>
      <c r="K324" s="15">
        <f t="shared" si="52"/>
        <v>1315</v>
      </c>
      <c r="L324" s="116">
        <f t="shared" si="53"/>
        <v>0.4383333333</v>
      </c>
      <c r="M324" s="1"/>
      <c r="N324" s="3"/>
      <c r="O324" s="2"/>
      <c r="P324" s="3"/>
      <c r="Q324" s="3"/>
      <c r="R324" s="2"/>
      <c r="S324" s="3"/>
      <c r="T324" s="3"/>
      <c r="U324" s="1"/>
      <c r="V324" s="3"/>
      <c r="W324" s="3"/>
      <c r="X324" s="3"/>
      <c r="Y324" s="3"/>
      <c r="Z324" s="3"/>
    </row>
    <row r="325">
      <c r="A325" s="91">
        <v>1.0</v>
      </c>
      <c r="B325" s="10" t="s">
        <v>33</v>
      </c>
      <c r="C325" s="93" t="s">
        <v>67</v>
      </c>
      <c r="D325" s="22">
        <v>800.0</v>
      </c>
      <c r="E325" s="15">
        <f t="shared" si="49"/>
        <v>800</v>
      </c>
      <c r="F325" s="15">
        <f t="shared" si="50"/>
        <v>884</v>
      </c>
      <c r="G325" s="3"/>
      <c r="H325" s="3"/>
      <c r="I325" s="15">
        <f>9000/17</f>
        <v>529.4117647</v>
      </c>
      <c r="J325" s="15">
        <f t="shared" si="51"/>
        <v>529.4117647</v>
      </c>
      <c r="K325" s="15">
        <f t="shared" si="52"/>
        <v>354.5882353</v>
      </c>
      <c r="L325" s="116">
        <f t="shared" si="53"/>
        <v>0.4432352941</v>
      </c>
      <c r="M325" s="1"/>
      <c r="N325" s="3"/>
      <c r="O325" s="2"/>
      <c r="P325" s="3"/>
      <c r="Q325" s="3"/>
      <c r="R325" s="2"/>
      <c r="S325" s="3"/>
      <c r="T325" s="3"/>
      <c r="U325" s="1"/>
      <c r="V325" s="3"/>
      <c r="W325" s="3"/>
      <c r="X325" s="3"/>
      <c r="Y325" s="3"/>
      <c r="Z325" s="3"/>
    </row>
    <row r="326">
      <c r="A326" s="91">
        <v>1.0</v>
      </c>
      <c r="B326" s="92" t="s">
        <v>5</v>
      </c>
      <c r="C326" s="93" t="s">
        <v>176</v>
      </c>
      <c r="D326" s="22">
        <v>900.0</v>
      </c>
      <c r="E326" s="15">
        <f t="shared" si="49"/>
        <v>900</v>
      </c>
      <c r="F326" s="15">
        <f t="shared" si="50"/>
        <v>994.5</v>
      </c>
      <c r="G326" s="3"/>
      <c r="H326" s="3"/>
      <c r="I326" s="22">
        <v>560.0</v>
      </c>
      <c r="J326" s="15">
        <f t="shared" si="51"/>
        <v>560</v>
      </c>
      <c r="K326" s="15">
        <f t="shared" si="52"/>
        <v>434.5</v>
      </c>
      <c r="L326" s="116">
        <f t="shared" si="53"/>
        <v>0.4827777778</v>
      </c>
      <c r="M326" s="1"/>
      <c r="N326" s="3"/>
      <c r="O326" s="2"/>
      <c r="P326" s="3"/>
      <c r="Q326" s="3"/>
      <c r="R326" s="2"/>
      <c r="S326" s="3"/>
      <c r="T326" s="3"/>
      <c r="U326" s="1"/>
      <c r="V326" s="3"/>
      <c r="W326" s="3"/>
      <c r="X326" s="3"/>
      <c r="Y326" s="3"/>
      <c r="Z326" s="3"/>
    </row>
    <row r="327">
      <c r="A327" s="91">
        <v>1.0</v>
      </c>
      <c r="B327" s="92" t="s">
        <v>33</v>
      </c>
      <c r="C327" s="93" t="s">
        <v>57</v>
      </c>
      <c r="D327" s="22">
        <v>8500.0</v>
      </c>
      <c r="E327" s="15">
        <f t="shared" si="49"/>
        <v>8500</v>
      </c>
      <c r="F327" s="15">
        <f t="shared" si="50"/>
        <v>9392.5</v>
      </c>
      <c r="G327" s="3"/>
      <c r="H327" s="3"/>
      <c r="I327" s="3">
        <f>30000/4</f>
        <v>7500</v>
      </c>
      <c r="J327" s="15">
        <f t="shared" si="51"/>
        <v>7500</v>
      </c>
      <c r="K327" s="15">
        <f t="shared" si="52"/>
        <v>1892.5</v>
      </c>
      <c r="L327" s="116">
        <f t="shared" si="53"/>
        <v>0.2226470588</v>
      </c>
      <c r="M327" s="1"/>
      <c r="N327" s="3"/>
      <c r="O327" s="2"/>
      <c r="P327" s="3"/>
      <c r="Q327" s="3"/>
      <c r="R327" s="2"/>
      <c r="S327" s="3"/>
      <c r="T327" s="3"/>
      <c r="U327" s="1"/>
      <c r="V327" s="3"/>
      <c r="W327" s="3"/>
      <c r="X327" s="3"/>
      <c r="Y327" s="3"/>
      <c r="Z327" s="3"/>
    </row>
    <row r="328">
      <c r="A328" s="91">
        <v>3.0</v>
      </c>
      <c r="B328" s="92" t="s">
        <v>33</v>
      </c>
      <c r="C328" s="93" t="s">
        <v>55</v>
      </c>
      <c r="D328" s="22">
        <v>2800.0</v>
      </c>
      <c r="E328" s="15">
        <f t="shared" si="49"/>
        <v>8400</v>
      </c>
      <c r="F328" s="15">
        <f t="shared" si="50"/>
        <v>9282</v>
      </c>
      <c r="G328" s="3"/>
      <c r="H328" s="3"/>
      <c r="I328" s="3">
        <f>15000/18</f>
        <v>833.3333333</v>
      </c>
      <c r="J328" s="15">
        <f t="shared" si="51"/>
        <v>2500</v>
      </c>
      <c r="K328" s="15">
        <f t="shared" si="52"/>
        <v>6782</v>
      </c>
      <c r="L328" s="116">
        <f t="shared" si="53"/>
        <v>0.8073809524</v>
      </c>
      <c r="M328" s="1"/>
      <c r="N328" s="3"/>
      <c r="O328" s="2"/>
      <c r="P328" s="3"/>
      <c r="Q328" s="3"/>
      <c r="R328" s="2"/>
      <c r="S328" s="3"/>
      <c r="T328" s="3"/>
      <c r="U328" s="1"/>
      <c r="V328" s="3"/>
      <c r="W328" s="3"/>
      <c r="X328" s="3"/>
      <c r="Y328" s="3"/>
      <c r="Z328" s="3"/>
    </row>
    <row r="329">
      <c r="A329" s="91">
        <v>0.5</v>
      </c>
      <c r="B329" s="92" t="s">
        <v>18</v>
      </c>
      <c r="C329" s="93" t="s">
        <v>277</v>
      </c>
      <c r="D329" s="22">
        <v>52000.0</v>
      </c>
      <c r="E329" s="15">
        <f t="shared" si="49"/>
        <v>26000</v>
      </c>
      <c r="F329" s="15">
        <f>E329*1.21</f>
        <v>31460</v>
      </c>
      <c r="G329" s="3"/>
      <c r="H329" s="3"/>
      <c r="I329" s="86">
        <v>52000.0</v>
      </c>
      <c r="J329" s="15">
        <f t="shared" si="51"/>
        <v>26000</v>
      </c>
      <c r="K329" s="15">
        <f t="shared" si="52"/>
        <v>5460</v>
      </c>
      <c r="L329" s="116">
        <f t="shared" si="53"/>
        <v>0.21</v>
      </c>
      <c r="M329" s="1"/>
      <c r="N329" s="3"/>
      <c r="O329" s="2"/>
      <c r="P329" s="3"/>
      <c r="Q329" s="3"/>
      <c r="R329" s="2"/>
      <c r="S329" s="3"/>
      <c r="T329" s="3"/>
      <c r="U329" s="1"/>
      <c r="V329" s="3"/>
      <c r="W329" s="3"/>
      <c r="X329" s="3"/>
      <c r="Y329" s="3"/>
      <c r="Z329" s="3"/>
    </row>
    <row r="330">
      <c r="A330" s="117"/>
      <c r="B330" s="3"/>
      <c r="C330" s="2"/>
      <c r="D330" s="3"/>
      <c r="E330" s="3"/>
      <c r="F330" s="3"/>
      <c r="G330" s="3"/>
      <c r="H330" s="3"/>
      <c r="I330" s="3"/>
      <c r="J330" s="3"/>
      <c r="K330" s="3"/>
      <c r="L330" s="118"/>
      <c r="M330" s="1"/>
      <c r="N330" s="3"/>
      <c r="O330" s="2"/>
      <c r="P330" s="3"/>
      <c r="Q330" s="3"/>
      <c r="R330" s="2"/>
      <c r="S330" s="3"/>
      <c r="T330" s="3"/>
      <c r="U330" s="1"/>
      <c r="V330" s="3"/>
      <c r="W330" s="3"/>
      <c r="X330" s="3"/>
      <c r="Y330" s="3"/>
      <c r="Z330" s="3"/>
    </row>
    <row r="331">
      <c r="A331" s="117"/>
      <c r="B331" s="3"/>
      <c r="C331" s="2"/>
      <c r="D331" s="3"/>
      <c r="E331" s="15">
        <f t="shared" ref="E331:F331" si="54">SUM(E309:E329)</f>
        <v>167150</v>
      </c>
      <c r="F331" s="15">
        <f t="shared" si="54"/>
        <v>187430.75</v>
      </c>
      <c r="G331" s="3"/>
      <c r="H331" s="3"/>
      <c r="I331" s="3"/>
      <c r="J331" s="3"/>
      <c r="K331" s="15">
        <f>SUM(K309:K329)</f>
        <v>64901.45728</v>
      </c>
      <c r="L331" s="116">
        <f>IFERROR(K331/E331, 0)</f>
        <v>0.3882827238</v>
      </c>
      <c r="M331" s="1"/>
      <c r="N331" s="3"/>
      <c r="O331" s="2"/>
      <c r="P331" s="3"/>
      <c r="Q331" s="3"/>
      <c r="R331" s="9"/>
      <c r="S331" s="3"/>
      <c r="T331" s="3"/>
      <c r="U331" s="1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9" t="s">
        <v>266</v>
      </c>
      <c r="B334" s="114" t="s">
        <v>343</v>
      </c>
      <c r="C334" s="24"/>
      <c r="D334" s="81" t="s">
        <v>337</v>
      </c>
      <c r="E334" s="7">
        <v>46073.0</v>
      </c>
      <c r="F334" s="33" t="s">
        <v>13</v>
      </c>
      <c r="G334" s="98"/>
      <c r="H334" s="25"/>
      <c r="I334" s="16"/>
      <c r="J334" s="16"/>
      <c r="K334" s="16"/>
      <c r="L334" s="34"/>
      <c r="M334" s="2"/>
      <c r="N334" s="3"/>
      <c r="O334" s="2"/>
      <c r="P334" s="3"/>
      <c r="Q334" s="3"/>
      <c r="R334" s="2"/>
      <c r="S334" s="3"/>
      <c r="T334" s="3"/>
      <c r="U334" s="1"/>
      <c r="V334" s="3"/>
      <c r="W334" s="3"/>
      <c r="X334" s="3"/>
      <c r="Y334" s="3"/>
      <c r="Z334" s="3"/>
    </row>
    <row r="335">
      <c r="B335" s="25"/>
      <c r="C335" s="35"/>
      <c r="D335" s="25"/>
      <c r="E335" s="25"/>
      <c r="F335" s="25"/>
      <c r="G335" s="25"/>
      <c r="H335" s="25"/>
      <c r="I335" s="16"/>
      <c r="J335" s="16"/>
      <c r="K335" s="16"/>
      <c r="L335" s="34"/>
      <c r="M335" s="2"/>
      <c r="N335" s="3"/>
      <c r="O335" s="2"/>
      <c r="P335" s="3"/>
      <c r="Q335" s="3"/>
      <c r="R335" s="2"/>
      <c r="S335" s="3"/>
      <c r="T335" s="3"/>
      <c r="U335" s="1"/>
      <c r="V335" s="3"/>
      <c r="W335" s="3"/>
      <c r="X335" s="3"/>
      <c r="Y335" s="3"/>
      <c r="Z335" s="3"/>
    </row>
    <row r="336">
      <c r="A336" s="5" t="s">
        <v>4</v>
      </c>
      <c r="B336" s="10" t="s">
        <v>5</v>
      </c>
      <c r="C336" s="11" t="s">
        <v>6</v>
      </c>
      <c r="D336" s="12" t="s">
        <v>7</v>
      </c>
      <c r="E336" s="10" t="s">
        <v>8</v>
      </c>
      <c r="F336" s="12"/>
      <c r="G336" s="25"/>
      <c r="H336" s="25"/>
      <c r="I336" s="12" t="s">
        <v>7</v>
      </c>
      <c r="J336" s="12" t="s">
        <v>8</v>
      </c>
      <c r="K336" s="12" t="s">
        <v>10</v>
      </c>
      <c r="L336" s="34"/>
      <c r="M336" s="2"/>
      <c r="N336" s="3"/>
      <c r="O336" s="2"/>
      <c r="P336" s="3"/>
      <c r="Q336" s="3"/>
      <c r="R336" s="2"/>
      <c r="S336" s="3"/>
      <c r="T336" s="3"/>
      <c r="U336" s="1"/>
      <c r="V336" s="3"/>
      <c r="W336" s="3"/>
      <c r="X336" s="3"/>
      <c r="Y336" s="3"/>
      <c r="Z336" s="3"/>
    </row>
    <row r="337">
      <c r="A337" s="83">
        <v>2.0</v>
      </c>
      <c r="B337" s="84" t="s">
        <v>33</v>
      </c>
      <c r="C337" s="85" t="s">
        <v>24</v>
      </c>
      <c r="D337" s="22">
        <v>4200.0</v>
      </c>
      <c r="E337" s="15">
        <f t="shared" ref="E337:E358" si="55">A337*D337</f>
        <v>8400</v>
      </c>
      <c r="F337" s="16"/>
      <c r="G337" s="25"/>
      <c r="H337" s="37"/>
      <c r="I337" s="87">
        <f>28000/8</f>
        <v>3500</v>
      </c>
      <c r="J337" s="16">
        <f t="shared" ref="J337:J358" si="56">I337*A337</f>
        <v>7000</v>
      </c>
      <c r="K337" s="16">
        <f t="shared" ref="K337:K358" si="57">E337-J337</f>
        <v>1400</v>
      </c>
      <c r="L337" s="110">
        <f t="shared" ref="L337:L358" si="58">IFERROR(K337/E337, 0)</f>
        <v>0.1666666667</v>
      </c>
      <c r="M337" s="2"/>
      <c r="N337" s="3"/>
      <c r="O337" s="2"/>
      <c r="P337" s="3"/>
      <c r="Q337" s="3"/>
      <c r="R337" s="2"/>
      <c r="S337" s="3"/>
      <c r="T337" s="3"/>
      <c r="U337" s="1"/>
      <c r="V337" s="3"/>
      <c r="W337" s="3"/>
      <c r="X337" s="3"/>
      <c r="Y337" s="3"/>
      <c r="Z337" s="3"/>
    </row>
    <row r="338">
      <c r="A338" s="83">
        <v>1.5</v>
      </c>
      <c r="B338" s="84" t="s">
        <v>33</v>
      </c>
      <c r="C338" s="85" t="s">
        <v>25</v>
      </c>
      <c r="D338" s="22">
        <v>3100.0</v>
      </c>
      <c r="E338" s="15">
        <f t="shared" si="55"/>
        <v>4650</v>
      </c>
      <c r="F338" s="16"/>
      <c r="G338" s="25"/>
      <c r="H338" s="37"/>
      <c r="I338" s="87">
        <f>12000/8</f>
        <v>1500</v>
      </c>
      <c r="J338" s="16">
        <f t="shared" si="56"/>
        <v>2250</v>
      </c>
      <c r="K338" s="16">
        <f t="shared" si="57"/>
        <v>2400</v>
      </c>
      <c r="L338" s="110">
        <f t="shared" si="58"/>
        <v>0.5161290323</v>
      </c>
      <c r="M338" s="2"/>
      <c r="N338" s="3"/>
      <c r="O338" s="2"/>
      <c r="P338" s="3"/>
      <c r="Q338" s="3"/>
      <c r="R338" s="2"/>
      <c r="S338" s="3"/>
      <c r="T338" s="3"/>
      <c r="U338" s="1"/>
      <c r="V338" s="3"/>
      <c r="W338" s="3"/>
      <c r="X338" s="3"/>
      <c r="Y338" s="3"/>
      <c r="Z338" s="3"/>
    </row>
    <row r="339">
      <c r="A339" s="83">
        <v>1.5</v>
      </c>
      <c r="B339" s="84" t="s">
        <v>33</v>
      </c>
      <c r="C339" s="85" t="s">
        <v>26</v>
      </c>
      <c r="D339" s="22">
        <v>4000.0</v>
      </c>
      <c r="E339" s="15">
        <f t="shared" si="55"/>
        <v>6000</v>
      </c>
      <c r="F339" s="16"/>
      <c r="G339" s="25"/>
      <c r="H339" s="37"/>
      <c r="I339" s="22">
        <f>22000/8</f>
        <v>2750</v>
      </c>
      <c r="J339" s="16">
        <f t="shared" si="56"/>
        <v>4125</v>
      </c>
      <c r="K339" s="16">
        <f t="shared" si="57"/>
        <v>1875</v>
      </c>
      <c r="L339" s="110">
        <f t="shared" si="58"/>
        <v>0.3125</v>
      </c>
      <c r="M339" s="2"/>
      <c r="N339" s="3"/>
      <c r="O339" s="2"/>
      <c r="P339" s="3"/>
      <c r="Q339" s="3"/>
      <c r="R339" s="2"/>
      <c r="S339" s="3"/>
      <c r="T339" s="3"/>
      <c r="U339" s="1"/>
      <c r="V339" s="3"/>
      <c r="W339" s="3"/>
      <c r="X339" s="3"/>
      <c r="Y339" s="3"/>
      <c r="Z339" s="3"/>
    </row>
    <row r="340">
      <c r="A340" s="83">
        <v>2.0</v>
      </c>
      <c r="B340" s="84" t="s">
        <v>50</v>
      </c>
      <c r="C340" s="85" t="s">
        <v>236</v>
      </c>
      <c r="D340" s="22">
        <v>5500.0</v>
      </c>
      <c r="E340" s="15">
        <f t="shared" si="55"/>
        <v>11000</v>
      </c>
      <c r="F340" s="16"/>
      <c r="G340" s="25"/>
      <c r="H340" s="37"/>
      <c r="I340" s="87">
        <v>5000.0</v>
      </c>
      <c r="J340" s="16">
        <f t="shared" si="56"/>
        <v>10000</v>
      </c>
      <c r="K340" s="16">
        <f t="shared" si="57"/>
        <v>1000</v>
      </c>
      <c r="L340" s="110">
        <f t="shared" si="58"/>
        <v>0.09090909091</v>
      </c>
      <c r="M340" s="2"/>
      <c r="N340" s="3"/>
      <c r="O340" s="2"/>
      <c r="P340" s="3"/>
      <c r="Q340" s="3"/>
      <c r="R340" s="2"/>
      <c r="S340" s="3"/>
      <c r="T340" s="3"/>
      <c r="U340" s="1"/>
      <c r="V340" s="3"/>
      <c r="W340" s="3"/>
      <c r="X340" s="3"/>
      <c r="Y340" s="3"/>
      <c r="Z340" s="3"/>
    </row>
    <row r="341">
      <c r="A341" s="83">
        <v>2.0</v>
      </c>
      <c r="B341" s="84" t="s">
        <v>50</v>
      </c>
      <c r="C341" s="85" t="s">
        <v>235</v>
      </c>
      <c r="D341" s="22">
        <v>3000.0</v>
      </c>
      <c r="E341" s="15">
        <f t="shared" si="55"/>
        <v>6000</v>
      </c>
      <c r="F341" s="16"/>
      <c r="G341" s="25"/>
      <c r="H341" s="37"/>
      <c r="I341" s="87">
        <v>2000.0</v>
      </c>
      <c r="J341" s="16">
        <f t="shared" si="56"/>
        <v>4000</v>
      </c>
      <c r="K341" s="16">
        <f t="shared" si="57"/>
        <v>2000</v>
      </c>
      <c r="L341" s="110">
        <f t="shared" si="58"/>
        <v>0.3333333333</v>
      </c>
      <c r="M341" s="2"/>
      <c r="N341" s="3"/>
      <c r="O341" s="2"/>
      <c r="P341" s="3"/>
      <c r="Q341" s="3"/>
      <c r="R341" s="2"/>
      <c r="S341" s="3"/>
      <c r="T341" s="3"/>
      <c r="U341" s="1"/>
      <c r="V341" s="3"/>
      <c r="W341" s="3"/>
      <c r="X341" s="3"/>
      <c r="Y341" s="3"/>
      <c r="Z341" s="3"/>
    </row>
    <row r="342">
      <c r="A342" s="83">
        <v>0.5</v>
      </c>
      <c r="B342" s="84" t="s">
        <v>33</v>
      </c>
      <c r="C342" s="85" t="s">
        <v>269</v>
      </c>
      <c r="D342" s="22">
        <v>7500.0</v>
      </c>
      <c r="E342" s="15">
        <f t="shared" si="55"/>
        <v>3750</v>
      </c>
      <c r="F342" s="16"/>
      <c r="G342" s="25"/>
      <c r="H342" s="37"/>
      <c r="I342" s="87">
        <v>6000.0</v>
      </c>
      <c r="J342" s="16">
        <f t="shared" si="56"/>
        <v>3000</v>
      </c>
      <c r="K342" s="16">
        <f t="shared" si="57"/>
        <v>750</v>
      </c>
      <c r="L342" s="110">
        <f t="shared" si="58"/>
        <v>0.2</v>
      </c>
      <c r="M342" s="2"/>
      <c r="N342" s="3"/>
      <c r="O342" s="2"/>
      <c r="P342" s="3"/>
      <c r="Q342" s="3"/>
      <c r="R342" s="2"/>
      <c r="S342" s="3"/>
      <c r="T342" s="3"/>
      <c r="U342" s="1"/>
      <c r="V342" s="3"/>
      <c r="W342" s="3"/>
      <c r="X342" s="3"/>
      <c r="Y342" s="3"/>
      <c r="Z342" s="3"/>
    </row>
    <row r="343">
      <c r="A343" s="83">
        <v>0.5</v>
      </c>
      <c r="B343" s="84" t="s">
        <v>33</v>
      </c>
      <c r="C343" s="85" t="s">
        <v>178</v>
      </c>
      <c r="D343" s="22">
        <v>2300.0</v>
      </c>
      <c r="E343" s="15">
        <f t="shared" si="55"/>
        <v>1150</v>
      </c>
      <c r="F343" s="16"/>
      <c r="G343" s="25"/>
      <c r="H343" s="37"/>
      <c r="I343" s="22">
        <f>28000/15</f>
        <v>1866.666667</v>
      </c>
      <c r="J343" s="16">
        <f t="shared" si="56"/>
        <v>933.3333333</v>
      </c>
      <c r="K343" s="16">
        <f t="shared" si="57"/>
        <v>216.6666667</v>
      </c>
      <c r="L343" s="110">
        <f t="shared" si="58"/>
        <v>0.1884057971</v>
      </c>
      <c r="M343" s="2"/>
      <c r="N343" s="3"/>
      <c r="O343" s="2"/>
      <c r="P343" s="3"/>
      <c r="Q343" s="3"/>
      <c r="R343" s="2"/>
      <c r="S343" s="3"/>
      <c r="T343" s="3"/>
      <c r="U343" s="1"/>
      <c r="V343" s="3"/>
      <c r="W343" s="3"/>
      <c r="X343" s="3"/>
      <c r="Y343" s="3"/>
      <c r="Z343" s="3"/>
    </row>
    <row r="344">
      <c r="A344" s="83">
        <v>1.0</v>
      </c>
      <c r="B344" s="84" t="s">
        <v>208</v>
      </c>
      <c r="C344" s="85" t="s">
        <v>268</v>
      </c>
      <c r="D344" s="22">
        <v>5000.0</v>
      </c>
      <c r="E344" s="15">
        <f t="shared" si="55"/>
        <v>5000</v>
      </c>
      <c r="F344" s="16"/>
      <c r="G344" s="25"/>
      <c r="H344" s="37"/>
      <c r="I344" s="87">
        <v>4000.0</v>
      </c>
      <c r="J344" s="16">
        <f t="shared" si="56"/>
        <v>4000</v>
      </c>
      <c r="K344" s="16">
        <f t="shared" si="57"/>
        <v>1000</v>
      </c>
      <c r="L344" s="110">
        <f t="shared" si="58"/>
        <v>0.2</v>
      </c>
      <c r="M344" s="2"/>
      <c r="N344" s="3"/>
      <c r="O344" s="2"/>
      <c r="P344" s="3"/>
      <c r="Q344" s="3"/>
      <c r="R344" s="2"/>
      <c r="S344" s="3"/>
      <c r="T344" s="3"/>
      <c r="U344" s="1"/>
      <c r="V344" s="3"/>
      <c r="W344" s="3"/>
      <c r="X344" s="3"/>
      <c r="Y344" s="3"/>
      <c r="Z344" s="3"/>
    </row>
    <row r="345">
      <c r="A345" s="83">
        <v>1.0</v>
      </c>
      <c r="B345" s="84" t="s">
        <v>33</v>
      </c>
      <c r="C345" s="85" t="s">
        <v>174</v>
      </c>
      <c r="D345" s="22">
        <v>1600.0</v>
      </c>
      <c r="E345" s="15">
        <f t="shared" si="55"/>
        <v>1600</v>
      </c>
      <c r="F345" s="16"/>
      <c r="G345" s="25"/>
      <c r="H345" s="37"/>
      <c r="I345" s="87">
        <f>18000/17</f>
        <v>1058.823529</v>
      </c>
      <c r="J345" s="16">
        <f t="shared" si="56"/>
        <v>1058.823529</v>
      </c>
      <c r="K345" s="16">
        <f t="shared" si="57"/>
        <v>541.1764706</v>
      </c>
      <c r="L345" s="110">
        <f t="shared" si="58"/>
        <v>0.3382352941</v>
      </c>
      <c r="M345" s="2"/>
      <c r="N345" s="3"/>
      <c r="O345" s="2"/>
      <c r="P345" s="3"/>
      <c r="Q345" s="3"/>
      <c r="R345" s="2"/>
      <c r="S345" s="3"/>
      <c r="T345" s="3"/>
      <c r="U345" s="1"/>
      <c r="V345" s="3"/>
      <c r="W345" s="3"/>
      <c r="X345" s="3"/>
      <c r="Y345" s="3"/>
      <c r="Z345" s="3"/>
    </row>
    <row r="346">
      <c r="A346" s="83">
        <v>1.0</v>
      </c>
      <c r="B346" s="84" t="s">
        <v>33</v>
      </c>
      <c r="C346" s="85" t="s">
        <v>184</v>
      </c>
      <c r="D346" s="22">
        <v>24500.0</v>
      </c>
      <c r="E346" s="15">
        <f t="shared" si="55"/>
        <v>24500</v>
      </c>
      <c r="F346" s="16"/>
      <c r="G346" s="25"/>
      <c r="H346" s="37"/>
      <c r="I346" s="87">
        <v>20000.0</v>
      </c>
      <c r="J346" s="16">
        <f t="shared" si="56"/>
        <v>20000</v>
      </c>
      <c r="K346" s="16">
        <f t="shared" si="57"/>
        <v>4500</v>
      </c>
      <c r="L346" s="110">
        <f t="shared" si="58"/>
        <v>0.1836734694</v>
      </c>
      <c r="M346" s="2"/>
      <c r="N346" s="3"/>
      <c r="O346" s="2"/>
      <c r="P346" s="3"/>
      <c r="Q346" s="3"/>
      <c r="R346" s="2"/>
      <c r="S346" s="3"/>
      <c r="T346" s="3"/>
      <c r="U346" s="1"/>
      <c r="V346" s="3"/>
      <c r="W346" s="3"/>
      <c r="X346" s="3"/>
      <c r="Y346" s="3"/>
      <c r="Z346" s="3"/>
    </row>
    <row r="347">
      <c r="A347" s="83">
        <v>1.0</v>
      </c>
      <c r="B347" s="84" t="s">
        <v>5</v>
      </c>
      <c r="C347" s="85" t="s">
        <v>95</v>
      </c>
      <c r="D347" s="22">
        <v>2500.0</v>
      </c>
      <c r="E347" s="15">
        <f t="shared" si="55"/>
        <v>2500</v>
      </c>
      <c r="F347" s="16"/>
      <c r="G347" s="25"/>
      <c r="H347" s="37"/>
      <c r="I347" s="87">
        <f>13000/8</f>
        <v>1625</v>
      </c>
      <c r="J347" s="16">
        <f t="shared" si="56"/>
        <v>1625</v>
      </c>
      <c r="K347" s="16">
        <f t="shared" si="57"/>
        <v>875</v>
      </c>
      <c r="L347" s="110">
        <f t="shared" si="58"/>
        <v>0.35</v>
      </c>
      <c r="M347" s="2"/>
      <c r="N347" s="3"/>
      <c r="O347" s="2"/>
      <c r="P347" s="3"/>
      <c r="Q347" s="3"/>
      <c r="R347" s="2"/>
      <c r="S347" s="3"/>
      <c r="T347" s="3"/>
      <c r="U347" s="1"/>
      <c r="V347" s="3"/>
      <c r="W347" s="3"/>
      <c r="X347" s="3"/>
      <c r="Y347" s="3"/>
      <c r="Z347" s="3"/>
    </row>
    <row r="348">
      <c r="A348" s="26">
        <v>1.0</v>
      </c>
      <c r="B348" s="92" t="s">
        <v>50</v>
      </c>
      <c r="C348" s="93" t="s">
        <v>103</v>
      </c>
      <c r="D348" s="22">
        <v>1600.0</v>
      </c>
      <c r="E348" s="15">
        <f t="shared" si="55"/>
        <v>1600</v>
      </c>
      <c r="F348" s="3"/>
      <c r="G348" s="3"/>
      <c r="H348" s="3"/>
      <c r="I348" s="22">
        <v>1000.0</v>
      </c>
      <c r="J348" s="15">
        <f t="shared" si="56"/>
        <v>1000</v>
      </c>
      <c r="K348" s="15">
        <f t="shared" si="57"/>
        <v>600</v>
      </c>
      <c r="L348" s="116">
        <f t="shared" si="58"/>
        <v>0.375</v>
      </c>
      <c r="M348" s="2"/>
      <c r="N348" s="3"/>
      <c r="O348" s="2"/>
      <c r="P348" s="3"/>
      <c r="Q348" s="3"/>
      <c r="R348" s="2"/>
      <c r="S348" s="3"/>
      <c r="T348" s="3"/>
      <c r="U348" s="1"/>
      <c r="V348" s="3"/>
      <c r="W348" s="3"/>
      <c r="X348" s="3"/>
      <c r="Y348" s="3"/>
      <c r="Z348" s="3"/>
    </row>
    <row r="349">
      <c r="A349" s="26">
        <v>1.0</v>
      </c>
      <c r="B349" s="92" t="s">
        <v>5</v>
      </c>
      <c r="C349" s="93" t="s">
        <v>241</v>
      </c>
      <c r="D349" s="22">
        <v>800.0</v>
      </c>
      <c r="E349" s="15">
        <f t="shared" si="55"/>
        <v>800</v>
      </c>
      <c r="F349" s="3"/>
      <c r="G349" s="3"/>
      <c r="H349" s="3"/>
      <c r="I349" s="22">
        <v>300.0</v>
      </c>
      <c r="J349" s="15">
        <f t="shared" si="56"/>
        <v>300</v>
      </c>
      <c r="K349" s="15">
        <f t="shared" si="57"/>
        <v>500</v>
      </c>
      <c r="L349" s="116">
        <f t="shared" si="58"/>
        <v>0.625</v>
      </c>
      <c r="M349" s="2"/>
      <c r="N349" s="3"/>
      <c r="O349" s="2"/>
      <c r="P349" s="3"/>
      <c r="Q349" s="3"/>
      <c r="R349" s="2"/>
      <c r="S349" s="3"/>
      <c r="T349" s="3"/>
      <c r="U349" s="1"/>
      <c r="V349" s="3"/>
      <c r="W349" s="3"/>
      <c r="X349" s="3"/>
      <c r="Y349" s="3"/>
      <c r="Z349" s="3"/>
    </row>
    <row r="350">
      <c r="A350" s="91">
        <v>1.0</v>
      </c>
      <c r="B350" s="92" t="s">
        <v>5</v>
      </c>
      <c r="C350" s="93" t="s">
        <v>89</v>
      </c>
      <c r="D350" s="22">
        <v>6000.0</v>
      </c>
      <c r="E350" s="15">
        <f t="shared" si="55"/>
        <v>6000</v>
      </c>
      <c r="F350" s="3"/>
      <c r="G350" s="3"/>
      <c r="H350" s="3"/>
      <c r="I350" s="22">
        <v>4100.0</v>
      </c>
      <c r="J350" s="15">
        <f t="shared" si="56"/>
        <v>4100</v>
      </c>
      <c r="K350" s="15">
        <f t="shared" si="57"/>
        <v>1900</v>
      </c>
      <c r="L350" s="116">
        <f t="shared" si="58"/>
        <v>0.3166666667</v>
      </c>
      <c r="M350" s="2"/>
      <c r="N350" s="3"/>
      <c r="O350" s="2"/>
      <c r="P350" s="3"/>
      <c r="Q350" s="3"/>
      <c r="R350" s="2"/>
      <c r="S350" s="3"/>
      <c r="T350" s="3"/>
      <c r="U350" s="1"/>
      <c r="V350" s="3"/>
      <c r="W350" s="3"/>
      <c r="X350" s="3"/>
      <c r="Y350" s="3"/>
      <c r="Z350" s="3"/>
    </row>
    <row r="351">
      <c r="A351" s="26">
        <v>3.0</v>
      </c>
      <c r="B351" s="92" t="s">
        <v>5</v>
      </c>
      <c r="C351" s="93" t="s">
        <v>176</v>
      </c>
      <c r="D351" s="22">
        <v>900.0</v>
      </c>
      <c r="E351" s="15">
        <f t="shared" si="55"/>
        <v>2700</v>
      </c>
      <c r="F351" s="3"/>
      <c r="G351" s="3"/>
      <c r="H351" s="3"/>
      <c r="I351" s="22">
        <v>560.0</v>
      </c>
      <c r="J351" s="15">
        <f t="shared" si="56"/>
        <v>1680</v>
      </c>
      <c r="K351" s="15">
        <f t="shared" si="57"/>
        <v>1020</v>
      </c>
      <c r="L351" s="116">
        <f t="shared" si="58"/>
        <v>0.3777777778</v>
      </c>
      <c r="M351" s="2"/>
      <c r="N351" s="3"/>
      <c r="O351" s="2"/>
      <c r="P351" s="3"/>
      <c r="Q351" s="3"/>
      <c r="R351" s="2"/>
      <c r="S351" s="3"/>
      <c r="T351" s="3"/>
      <c r="U351" s="1"/>
      <c r="V351" s="3"/>
      <c r="W351" s="3"/>
      <c r="X351" s="3"/>
      <c r="Y351" s="3"/>
      <c r="Z351" s="3"/>
    </row>
    <row r="352">
      <c r="A352" s="91">
        <v>1.2</v>
      </c>
      <c r="B352" s="92" t="s">
        <v>33</v>
      </c>
      <c r="C352" s="93" t="s">
        <v>99</v>
      </c>
      <c r="D352" s="22">
        <v>1800.0</v>
      </c>
      <c r="E352" s="15">
        <f t="shared" si="55"/>
        <v>2160</v>
      </c>
      <c r="F352" s="3"/>
      <c r="G352" s="3"/>
      <c r="H352" s="3"/>
      <c r="I352" s="22">
        <v>1000.0</v>
      </c>
      <c r="J352" s="15">
        <f t="shared" si="56"/>
        <v>1200</v>
      </c>
      <c r="K352" s="15">
        <f t="shared" si="57"/>
        <v>960</v>
      </c>
      <c r="L352" s="116">
        <f t="shared" si="58"/>
        <v>0.4444444444</v>
      </c>
      <c r="M352" s="2"/>
      <c r="N352" s="3"/>
      <c r="O352" s="2"/>
      <c r="P352" s="3"/>
      <c r="Q352" s="3"/>
      <c r="R352" s="2"/>
      <c r="S352" s="3"/>
      <c r="T352" s="3"/>
      <c r="U352" s="1"/>
      <c r="V352" s="3"/>
      <c r="W352" s="3"/>
      <c r="X352" s="3"/>
      <c r="Y352" s="3"/>
      <c r="Z352" s="3"/>
    </row>
    <row r="353">
      <c r="A353" s="26">
        <v>1.0</v>
      </c>
      <c r="B353" s="92" t="s">
        <v>5</v>
      </c>
      <c r="C353" s="93" t="s">
        <v>354</v>
      </c>
      <c r="D353" s="22">
        <v>3500.0</v>
      </c>
      <c r="E353" s="15">
        <f t="shared" si="55"/>
        <v>3500</v>
      </c>
      <c r="F353" s="3"/>
      <c r="G353" s="3"/>
      <c r="H353" s="3"/>
      <c r="I353" s="22">
        <v>2500.0</v>
      </c>
      <c r="J353" s="15">
        <f t="shared" si="56"/>
        <v>2500</v>
      </c>
      <c r="K353" s="15">
        <f t="shared" si="57"/>
        <v>1000</v>
      </c>
      <c r="L353" s="116">
        <f t="shared" si="58"/>
        <v>0.2857142857</v>
      </c>
      <c r="M353" s="2"/>
      <c r="N353" s="3"/>
      <c r="O353" s="2"/>
      <c r="P353" s="3"/>
      <c r="Q353" s="3"/>
      <c r="R353" s="2"/>
      <c r="S353" s="3"/>
      <c r="T353" s="3"/>
      <c r="U353" s="1"/>
      <c r="V353" s="3"/>
      <c r="W353" s="3"/>
      <c r="X353" s="3"/>
      <c r="Y353" s="3"/>
      <c r="Z353" s="3"/>
    </row>
    <row r="354">
      <c r="A354" s="91">
        <v>0.5</v>
      </c>
      <c r="B354" s="10" t="s">
        <v>33</v>
      </c>
      <c r="C354" s="93" t="s">
        <v>47</v>
      </c>
      <c r="D354" s="22">
        <v>1500.0</v>
      </c>
      <c r="E354" s="15">
        <f t="shared" si="55"/>
        <v>750</v>
      </c>
      <c r="F354" s="3"/>
      <c r="G354" s="3"/>
      <c r="H354" s="3"/>
      <c r="I354" s="15">
        <f>1000</f>
        <v>1000</v>
      </c>
      <c r="J354" s="15">
        <f t="shared" si="56"/>
        <v>500</v>
      </c>
      <c r="K354" s="15">
        <f t="shared" si="57"/>
        <v>250</v>
      </c>
      <c r="L354" s="116">
        <f t="shared" si="58"/>
        <v>0.3333333333</v>
      </c>
      <c r="M354" s="2"/>
      <c r="N354" s="3"/>
      <c r="O354" s="2"/>
      <c r="P354" s="3"/>
      <c r="Q354" s="3"/>
      <c r="R354" s="2"/>
      <c r="S354" s="3"/>
      <c r="T354" s="3"/>
      <c r="U354" s="1"/>
      <c r="V354" s="3"/>
      <c r="W354" s="3"/>
      <c r="X354" s="3"/>
      <c r="Y354" s="3"/>
      <c r="Z354" s="3"/>
    </row>
    <row r="355">
      <c r="A355" s="91">
        <v>1.0</v>
      </c>
      <c r="B355" s="10" t="s">
        <v>33</v>
      </c>
      <c r="C355" s="93" t="s">
        <v>48</v>
      </c>
      <c r="D355" s="22">
        <v>3000.0</v>
      </c>
      <c r="E355" s="15">
        <f t="shared" si="55"/>
        <v>3000</v>
      </c>
      <c r="F355" s="3"/>
      <c r="G355" s="3"/>
      <c r="H355" s="3"/>
      <c r="I355" s="15">
        <f>10000/8</f>
        <v>1250</v>
      </c>
      <c r="J355" s="15">
        <f t="shared" si="56"/>
        <v>1250</v>
      </c>
      <c r="K355" s="15">
        <f t="shared" si="57"/>
        <v>1750</v>
      </c>
      <c r="L355" s="116">
        <f t="shared" si="58"/>
        <v>0.5833333333</v>
      </c>
      <c r="M355" s="2"/>
      <c r="N355" s="3"/>
      <c r="O355" s="2"/>
      <c r="P355" s="3"/>
      <c r="Q355" s="3"/>
      <c r="R355" s="2"/>
      <c r="S355" s="3"/>
      <c r="T355" s="3"/>
      <c r="U355" s="1"/>
      <c r="V355" s="3"/>
      <c r="W355" s="3"/>
      <c r="X355" s="3"/>
      <c r="Y355" s="3"/>
      <c r="Z355" s="3"/>
    </row>
    <row r="356">
      <c r="A356" s="91">
        <v>3.0</v>
      </c>
      <c r="B356" s="10" t="s">
        <v>33</v>
      </c>
      <c r="C356" s="93" t="s">
        <v>177</v>
      </c>
      <c r="D356" s="22">
        <v>1200.0</v>
      </c>
      <c r="E356" s="15">
        <f t="shared" si="55"/>
        <v>3600</v>
      </c>
      <c r="F356" s="3"/>
      <c r="G356" s="3"/>
      <c r="H356" s="3"/>
      <c r="I356" s="15">
        <f>7000/15</f>
        <v>466.6666667</v>
      </c>
      <c r="J356" s="15">
        <f t="shared" si="56"/>
        <v>1400</v>
      </c>
      <c r="K356" s="15">
        <f t="shared" si="57"/>
        <v>2200</v>
      </c>
      <c r="L356" s="116">
        <f t="shared" si="58"/>
        <v>0.6111111111</v>
      </c>
      <c r="M356" s="2"/>
      <c r="N356" s="3"/>
      <c r="O356" s="2"/>
      <c r="P356" s="3"/>
      <c r="Q356" s="3"/>
      <c r="R356" s="2"/>
      <c r="S356" s="3"/>
      <c r="T356" s="3"/>
      <c r="U356" s="1"/>
      <c r="V356" s="3"/>
      <c r="W356" s="3"/>
      <c r="X356" s="3"/>
      <c r="Y356" s="3"/>
      <c r="Z356" s="3"/>
    </row>
    <row r="357">
      <c r="A357" s="26">
        <v>1.0</v>
      </c>
      <c r="B357" s="92" t="s">
        <v>5</v>
      </c>
      <c r="C357" s="93" t="s">
        <v>104</v>
      </c>
      <c r="D357" s="22">
        <v>2500.0</v>
      </c>
      <c r="E357" s="15">
        <f t="shared" si="55"/>
        <v>2500</v>
      </c>
      <c r="F357" s="3"/>
      <c r="G357" s="3"/>
      <c r="H357" s="3"/>
      <c r="I357" s="22">
        <v>1500.0</v>
      </c>
      <c r="J357" s="15">
        <f t="shared" si="56"/>
        <v>1500</v>
      </c>
      <c r="K357" s="15">
        <f t="shared" si="57"/>
        <v>1000</v>
      </c>
      <c r="L357" s="116">
        <f t="shared" si="58"/>
        <v>0.4</v>
      </c>
      <c r="M357" s="2"/>
      <c r="N357" s="3"/>
      <c r="O357" s="2"/>
      <c r="P357" s="3"/>
      <c r="Q357" s="3"/>
      <c r="R357" s="2"/>
      <c r="S357" s="3"/>
      <c r="T357" s="3"/>
      <c r="U357" s="1"/>
      <c r="V357" s="3"/>
      <c r="W357" s="3"/>
      <c r="X357" s="3"/>
      <c r="Y357" s="3"/>
      <c r="Z357" s="3"/>
    </row>
    <row r="358">
      <c r="A358" s="83">
        <v>1.0</v>
      </c>
      <c r="B358" s="84" t="s">
        <v>33</v>
      </c>
      <c r="C358" s="85" t="s">
        <v>249</v>
      </c>
      <c r="D358" s="22">
        <v>9500.0</v>
      </c>
      <c r="E358" s="15">
        <f t="shared" si="55"/>
        <v>9500</v>
      </c>
      <c r="F358" s="16"/>
      <c r="G358" s="25"/>
      <c r="H358" s="37"/>
      <c r="I358" s="87">
        <v>8000.0</v>
      </c>
      <c r="J358" s="16">
        <f t="shared" si="56"/>
        <v>8000</v>
      </c>
      <c r="K358" s="16">
        <f t="shared" si="57"/>
        <v>1500</v>
      </c>
      <c r="L358" s="110">
        <f t="shared" si="58"/>
        <v>0.1578947368</v>
      </c>
      <c r="M358" s="2"/>
      <c r="N358" s="3"/>
      <c r="O358" s="2"/>
      <c r="P358" s="3"/>
      <c r="Q358" s="3"/>
      <c r="R358" s="2"/>
      <c r="S358" s="3"/>
      <c r="T358" s="3"/>
      <c r="U358" s="1"/>
      <c r="V358" s="3"/>
      <c r="W358" s="3"/>
      <c r="X358" s="3"/>
      <c r="Y358" s="3"/>
      <c r="Z358" s="3"/>
    </row>
    <row r="359">
      <c r="A359" s="13"/>
      <c r="B359" s="12"/>
      <c r="C359" s="14"/>
      <c r="D359" s="15"/>
      <c r="E359" s="16"/>
      <c r="F359" s="16"/>
      <c r="H359" s="25"/>
      <c r="I359" s="16"/>
      <c r="J359" s="16"/>
      <c r="K359" s="16"/>
      <c r="L359" s="110"/>
      <c r="N359" s="3"/>
      <c r="O359" s="2"/>
      <c r="P359" s="3"/>
      <c r="Q359" s="3"/>
      <c r="R359" s="2"/>
      <c r="S359" s="3"/>
      <c r="T359" s="3"/>
      <c r="U359" s="1"/>
      <c r="V359" s="3"/>
      <c r="W359" s="3"/>
      <c r="X359" s="3"/>
      <c r="Y359" s="3"/>
      <c r="Z359" s="3"/>
    </row>
    <row r="360">
      <c r="A360" s="13"/>
      <c r="B360" s="12"/>
      <c r="C360" s="14"/>
      <c r="D360" s="15"/>
      <c r="E360" s="16">
        <f>SUM(E337:E359)</f>
        <v>110660</v>
      </c>
      <c r="F360" s="16"/>
      <c r="G360" s="25"/>
      <c r="H360" s="25"/>
      <c r="I360" s="16"/>
      <c r="J360" s="16"/>
      <c r="K360" s="16">
        <f>SUM(K337:K358)</f>
        <v>29237.84314</v>
      </c>
      <c r="L360" s="110">
        <f>IFERROR(K360/E360, 0)</f>
        <v>0.2642132942</v>
      </c>
      <c r="M360" s="2"/>
      <c r="N360" s="3"/>
      <c r="O360" s="2"/>
      <c r="P360" s="3"/>
      <c r="Q360" s="3"/>
      <c r="R360" s="2"/>
      <c r="S360" s="3"/>
      <c r="T360" s="3"/>
      <c r="U360" s="1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3"/>
      <c r="R361" s="2"/>
      <c r="S361" s="3"/>
      <c r="T361" s="3"/>
      <c r="U361" s="3"/>
      <c r="V361" s="3"/>
      <c r="W361" s="3"/>
      <c r="X361" s="3"/>
      <c r="Y361" s="3"/>
      <c r="Z361" s="3"/>
    </row>
    <row r="362">
      <c r="A362" s="26" t="s">
        <v>60</v>
      </c>
      <c r="B362" s="27">
        <v>0.04</v>
      </c>
      <c r="C362" s="2"/>
      <c r="D362" s="3"/>
      <c r="E362" s="15">
        <f>E360*0.04</f>
        <v>4426.4</v>
      </c>
      <c r="F362" s="3"/>
      <c r="G362" s="2"/>
      <c r="H362" s="3"/>
      <c r="I362" s="3"/>
      <c r="J362" s="3"/>
      <c r="K362" s="3"/>
      <c r="L362" s="4"/>
      <c r="M362" s="1"/>
      <c r="N362" s="3"/>
      <c r="O362" s="2"/>
      <c r="P362" s="3"/>
      <c r="Q362" s="3"/>
      <c r="R362" s="2"/>
      <c r="S362" s="3"/>
      <c r="T362" s="3"/>
      <c r="U362" s="1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9" t="s">
        <v>319</v>
      </c>
      <c r="B366" s="24"/>
      <c r="C366" s="24"/>
      <c r="D366" s="81" t="s">
        <v>355</v>
      </c>
      <c r="E366" s="82">
        <v>46073.0</v>
      </c>
      <c r="F366" s="33" t="s">
        <v>13</v>
      </c>
      <c r="G366" s="25"/>
      <c r="H366" s="25"/>
      <c r="I366" s="16"/>
      <c r="J366" s="16"/>
      <c r="K366" s="16"/>
      <c r="L366" s="34"/>
      <c r="M366" s="2"/>
      <c r="N366" s="3"/>
      <c r="O366" s="2"/>
      <c r="P366" s="3"/>
      <c r="Q366" s="3"/>
      <c r="R366" s="2"/>
      <c r="S366" s="3"/>
      <c r="T366" s="3"/>
      <c r="U366" s="1"/>
      <c r="V366" s="3"/>
      <c r="W366" s="3"/>
      <c r="X366" s="3"/>
      <c r="Y366" s="3"/>
      <c r="Z366" s="3"/>
    </row>
    <row r="367">
      <c r="B367" s="25"/>
      <c r="C367" s="35"/>
      <c r="D367" s="25"/>
      <c r="E367" s="25"/>
      <c r="F367" s="25"/>
      <c r="G367" s="25"/>
      <c r="H367" s="25"/>
      <c r="I367" s="16"/>
      <c r="J367" s="16"/>
      <c r="K367" s="16"/>
      <c r="L367" s="34"/>
      <c r="M367" s="2"/>
      <c r="N367" s="3"/>
      <c r="O367" s="2"/>
      <c r="P367" s="3"/>
      <c r="Q367" s="3"/>
      <c r="R367" s="2"/>
      <c r="S367" s="3"/>
      <c r="T367" s="3"/>
      <c r="U367" s="1"/>
      <c r="V367" s="3"/>
      <c r="W367" s="3"/>
      <c r="X367" s="3"/>
      <c r="Y367" s="3"/>
      <c r="Z367" s="3"/>
    </row>
    <row r="368">
      <c r="A368" s="5" t="s">
        <v>4</v>
      </c>
      <c r="B368" s="10" t="s">
        <v>5</v>
      </c>
      <c r="C368" s="11" t="s">
        <v>6</v>
      </c>
      <c r="D368" s="12" t="s">
        <v>7</v>
      </c>
      <c r="E368" s="10" t="s">
        <v>8</v>
      </c>
      <c r="F368" s="12"/>
      <c r="G368" s="25"/>
      <c r="H368" s="25"/>
      <c r="I368" s="12"/>
      <c r="J368" s="12" t="s">
        <v>8</v>
      </c>
      <c r="K368" s="12" t="s">
        <v>10</v>
      </c>
      <c r="L368" s="34"/>
      <c r="M368" s="2"/>
      <c r="N368" s="3"/>
      <c r="O368" s="2"/>
      <c r="P368" s="3"/>
      <c r="Q368" s="3"/>
      <c r="R368" s="2"/>
      <c r="S368" s="3"/>
      <c r="T368" s="3"/>
      <c r="U368" s="1"/>
      <c r="V368" s="3"/>
      <c r="W368" s="3"/>
      <c r="X368" s="3"/>
      <c r="Y368" s="3"/>
      <c r="Z368" s="3"/>
    </row>
    <row r="369">
      <c r="A369" s="83">
        <v>2.0</v>
      </c>
      <c r="B369" s="84" t="s">
        <v>33</v>
      </c>
      <c r="C369" s="85" t="s">
        <v>23</v>
      </c>
      <c r="D369" s="22">
        <v>1600.0</v>
      </c>
      <c r="E369" s="15">
        <f t="shared" ref="E369:E380" si="59">A369*D369</f>
        <v>3200</v>
      </c>
      <c r="F369" s="16"/>
      <c r="G369" s="25"/>
      <c r="H369" s="37"/>
      <c r="I369" s="22">
        <v>1000.0</v>
      </c>
      <c r="J369" s="16">
        <f t="shared" ref="J369:J380" si="60">I369*A369</f>
        <v>2000</v>
      </c>
      <c r="K369" s="16">
        <f t="shared" ref="K369:K380" si="61">E369-J369</f>
        <v>1200</v>
      </c>
      <c r="L369" s="110">
        <f t="shared" ref="L369:L380" si="62">K369/E369</f>
        <v>0.375</v>
      </c>
      <c r="M369" s="2"/>
      <c r="N369" s="3"/>
      <c r="O369" s="2"/>
      <c r="P369" s="3"/>
      <c r="Q369" s="3"/>
      <c r="R369" s="2"/>
      <c r="S369" s="3"/>
      <c r="T369" s="3"/>
      <c r="U369" s="1"/>
      <c r="V369" s="3"/>
      <c r="W369" s="3"/>
      <c r="X369" s="3"/>
      <c r="Y369" s="3"/>
      <c r="Z369" s="3"/>
    </row>
    <row r="370">
      <c r="A370" s="83">
        <v>2.0</v>
      </c>
      <c r="B370" s="84" t="s">
        <v>5</v>
      </c>
      <c r="C370" s="85" t="s">
        <v>259</v>
      </c>
      <c r="D370" s="22">
        <v>5500.0</v>
      </c>
      <c r="E370" s="15">
        <f t="shared" si="59"/>
        <v>11000</v>
      </c>
      <c r="F370" s="16"/>
      <c r="G370" s="25"/>
      <c r="H370" s="37"/>
      <c r="I370" s="87">
        <v>4000.0</v>
      </c>
      <c r="J370" s="16">
        <f t="shared" si="60"/>
        <v>8000</v>
      </c>
      <c r="K370" s="16">
        <f t="shared" si="61"/>
        <v>3000</v>
      </c>
      <c r="L370" s="110">
        <f t="shared" si="62"/>
        <v>0.2727272727</v>
      </c>
      <c r="M370" s="2"/>
      <c r="N370" s="3"/>
      <c r="O370" s="2"/>
      <c r="P370" s="3"/>
      <c r="Q370" s="3"/>
      <c r="R370" s="2"/>
      <c r="S370" s="3"/>
      <c r="T370" s="3"/>
      <c r="U370" s="1"/>
      <c r="V370" s="3"/>
      <c r="W370" s="3"/>
      <c r="X370" s="3"/>
      <c r="Y370" s="3"/>
      <c r="Z370" s="3"/>
    </row>
    <row r="371">
      <c r="A371" s="83">
        <v>2.0</v>
      </c>
      <c r="B371" s="84" t="s">
        <v>50</v>
      </c>
      <c r="C371" s="85" t="s">
        <v>68</v>
      </c>
      <c r="D371" s="22">
        <v>3500.0</v>
      </c>
      <c r="E371" s="15">
        <f t="shared" si="59"/>
        <v>7000</v>
      </c>
      <c r="F371" s="16"/>
      <c r="G371" s="25"/>
      <c r="H371" s="37"/>
      <c r="I371" s="87">
        <v>1000.0</v>
      </c>
      <c r="J371" s="16">
        <f t="shared" si="60"/>
        <v>2000</v>
      </c>
      <c r="K371" s="16">
        <f t="shared" si="61"/>
        <v>5000</v>
      </c>
      <c r="L371" s="110">
        <f t="shared" si="62"/>
        <v>0.7142857143</v>
      </c>
      <c r="M371" s="2"/>
      <c r="N371" s="3"/>
      <c r="O371" s="2"/>
      <c r="P371" s="3"/>
      <c r="Q371" s="3"/>
      <c r="R371" s="2"/>
      <c r="S371" s="3"/>
      <c r="T371" s="3"/>
      <c r="U371" s="1"/>
      <c r="V371" s="3"/>
      <c r="W371" s="3"/>
      <c r="X371" s="3"/>
      <c r="Y371" s="3"/>
      <c r="Z371" s="3"/>
    </row>
    <row r="372">
      <c r="A372" s="83">
        <v>2.0</v>
      </c>
      <c r="B372" s="84" t="s">
        <v>33</v>
      </c>
      <c r="C372" s="85" t="s">
        <v>97</v>
      </c>
      <c r="D372" s="22">
        <v>20000.0</v>
      </c>
      <c r="E372" s="15">
        <f t="shared" si="59"/>
        <v>40000</v>
      </c>
      <c r="F372" s="16"/>
      <c r="G372" s="25"/>
      <c r="H372" s="37"/>
      <c r="I372" s="87">
        <v>16000.0</v>
      </c>
      <c r="J372" s="16">
        <f t="shared" si="60"/>
        <v>32000</v>
      </c>
      <c r="K372" s="16">
        <f t="shared" si="61"/>
        <v>8000</v>
      </c>
      <c r="L372" s="110">
        <f t="shared" si="62"/>
        <v>0.2</v>
      </c>
      <c r="M372" s="2"/>
      <c r="N372" s="3"/>
      <c r="O372" s="2"/>
      <c r="P372" s="3"/>
      <c r="Q372" s="3"/>
      <c r="R372" s="2"/>
      <c r="S372" s="3"/>
      <c r="T372" s="3"/>
      <c r="U372" s="1"/>
      <c r="V372" s="3"/>
      <c r="W372" s="3"/>
      <c r="X372" s="3"/>
      <c r="Y372" s="3"/>
      <c r="Z372" s="3"/>
    </row>
    <row r="373">
      <c r="A373" s="83">
        <v>1.0</v>
      </c>
      <c r="B373" s="84" t="s">
        <v>38</v>
      </c>
      <c r="C373" s="85" t="s">
        <v>67</v>
      </c>
      <c r="D373" s="22">
        <v>12000.0</v>
      </c>
      <c r="E373" s="15">
        <f t="shared" si="59"/>
        <v>12000</v>
      </c>
      <c r="F373" s="16"/>
      <c r="G373" s="25"/>
      <c r="H373" s="37"/>
      <c r="I373" s="87">
        <v>9000.0</v>
      </c>
      <c r="J373" s="16">
        <f t="shared" si="60"/>
        <v>9000</v>
      </c>
      <c r="K373" s="16">
        <f t="shared" si="61"/>
        <v>3000</v>
      </c>
      <c r="L373" s="110">
        <f t="shared" si="62"/>
        <v>0.25</v>
      </c>
      <c r="M373" s="2"/>
      <c r="N373" s="3"/>
      <c r="O373" s="2"/>
      <c r="P373" s="3"/>
      <c r="Q373" s="3"/>
      <c r="R373" s="2"/>
      <c r="S373" s="3"/>
      <c r="T373" s="3"/>
      <c r="U373" s="1"/>
      <c r="V373" s="3"/>
      <c r="W373" s="3"/>
      <c r="X373" s="3"/>
      <c r="Y373" s="3"/>
      <c r="Z373" s="3"/>
    </row>
    <row r="374">
      <c r="A374" s="83">
        <v>2.0</v>
      </c>
      <c r="B374" s="84" t="s">
        <v>33</v>
      </c>
      <c r="C374" s="85" t="s">
        <v>213</v>
      </c>
      <c r="D374" s="22">
        <v>3600.0</v>
      </c>
      <c r="E374" s="15">
        <f t="shared" si="59"/>
        <v>7200</v>
      </c>
      <c r="F374" s="16"/>
      <c r="G374" s="25"/>
      <c r="H374" s="37"/>
      <c r="I374" s="87">
        <f>10500/3</f>
        <v>3500</v>
      </c>
      <c r="J374" s="16">
        <f t="shared" si="60"/>
        <v>7000</v>
      </c>
      <c r="K374" s="16">
        <f t="shared" si="61"/>
        <v>200</v>
      </c>
      <c r="L374" s="115">
        <f t="shared" si="62"/>
        <v>0.02777777778</v>
      </c>
      <c r="M374" s="2"/>
      <c r="N374" s="3"/>
      <c r="O374" s="2"/>
      <c r="P374" s="3"/>
      <c r="Q374" s="3"/>
      <c r="R374" s="2"/>
      <c r="S374" s="3"/>
      <c r="T374" s="3"/>
      <c r="U374" s="1"/>
      <c r="V374" s="3"/>
      <c r="W374" s="3"/>
      <c r="X374" s="3"/>
      <c r="Y374" s="3"/>
      <c r="Z374" s="3"/>
    </row>
    <row r="375">
      <c r="A375" s="83">
        <v>2.0</v>
      </c>
      <c r="B375" s="84" t="s">
        <v>33</v>
      </c>
      <c r="C375" s="85" t="s">
        <v>201</v>
      </c>
      <c r="D375" s="22">
        <v>4000.0</v>
      </c>
      <c r="E375" s="15">
        <f t="shared" si="59"/>
        <v>8000</v>
      </c>
      <c r="F375" s="16"/>
      <c r="G375" s="25"/>
      <c r="H375" s="98"/>
      <c r="I375" s="22">
        <v>3500.0</v>
      </c>
      <c r="J375" s="16">
        <f t="shared" si="60"/>
        <v>7000</v>
      </c>
      <c r="K375" s="16">
        <f t="shared" si="61"/>
        <v>1000</v>
      </c>
      <c r="L375" s="110">
        <f t="shared" si="62"/>
        <v>0.125</v>
      </c>
      <c r="M375" s="2"/>
      <c r="N375" s="3"/>
      <c r="O375" s="2"/>
      <c r="P375" s="3"/>
      <c r="Q375" s="3"/>
      <c r="R375" s="2"/>
      <c r="S375" s="3"/>
      <c r="T375" s="3"/>
      <c r="U375" s="1"/>
      <c r="V375" s="3"/>
      <c r="W375" s="3"/>
      <c r="X375" s="3"/>
      <c r="Y375" s="3"/>
      <c r="Z375" s="3"/>
    </row>
    <row r="376">
      <c r="A376" s="83">
        <v>2.0</v>
      </c>
      <c r="B376" s="84" t="s">
        <v>18</v>
      </c>
      <c r="C376" s="85" t="s">
        <v>356</v>
      </c>
      <c r="D376" s="22">
        <v>23000.0</v>
      </c>
      <c r="E376" s="15">
        <f t="shared" si="59"/>
        <v>46000</v>
      </c>
      <c r="F376" s="16"/>
      <c r="G376" s="25"/>
      <c r="H376" s="37"/>
      <c r="I376" s="87">
        <v>20000.0</v>
      </c>
      <c r="J376" s="16">
        <f t="shared" si="60"/>
        <v>40000</v>
      </c>
      <c r="K376" s="16">
        <f t="shared" si="61"/>
        <v>6000</v>
      </c>
      <c r="L376" s="110">
        <f t="shared" si="62"/>
        <v>0.1304347826</v>
      </c>
      <c r="M376" s="2"/>
      <c r="N376" s="3"/>
      <c r="O376" s="2"/>
      <c r="P376" s="3"/>
      <c r="Q376" s="3"/>
      <c r="R376" s="2"/>
      <c r="S376" s="3"/>
      <c r="T376" s="3"/>
      <c r="U376" s="1"/>
      <c r="V376" s="3"/>
      <c r="W376" s="3"/>
      <c r="X376" s="3"/>
      <c r="Y376" s="3"/>
      <c r="Z376" s="3"/>
    </row>
    <row r="377">
      <c r="A377" s="83">
        <v>1.0</v>
      </c>
      <c r="B377" s="84" t="s">
        <v>18</v>
      </c>
      <c r="C377" s="85" t="s">
        <v>204</v>
      </c>
      <c r="D377" s="22">
        <v>51000.0</v>
      </c>
      <c r="E377" s="15">
        <f t="shared" si="59"/>
        <v>51000</v>
      </c>
      <c r="F377" s="16"/>
      <c r="G377" s="25"/>
      <c r="H377" s="37"/>
      <c r="I377" s="22">
        <v>45000.0</v>
      </c>
      <c r="J377" s="16">
        <f t="shared" si="60"/>
        <v>45000</v>
      </c>
      <c r="K377" s="16">
        <f t="shared" si="61"/>
        <v>6000</v>
      </c>
      <c r="L377" s="110">
        <f t="shared" si="62"/>
        <v>0.1176470588</v>
      </c>
      <c r="M377" s="2"/>
      <c r="N377" s="3"/>
      <c r="O377" s="2"/>
      <c r="P377" s="3"/>
      <c r="Q377" s="3"/>
      <c r="R377" s="2"/>
      <c r="S377" s="3"/>
      <c r="T377" s="3"/>
      <c r="U377" s="1"/>
      <c r="V377" s="3"/>
      <c r="W377" s="3"/>
      <c r="X377" s="3"/>
      <c r="Y377" s="3"/>
      <c r="Z377" s="3"/>
    </row>
    <row r="378">
      <c r="A378" s="83">
        <v>2.0</v>
      </c>
      <c r="B378" s="84" t="s">
        <v>29</v>
      </c>
      <c r="C378" s="85" t="s">
        <v>357</v>
      </c>
      <c r="D378" s="22">
        <v>34000.0</v>
      </c>
      <c r="E378" s="15">
        <f t="shared" si="59"/>
        <v>68000</v>
      </c>
      <c r="F378" s="16"/>
      <c r="G378" s="25"/>
      <c r="H378" s="98"/>
      <c r="I378" s="87">
        <v>30000.0</v>
      </c>
      <c r="J378" s="16">
        <f t="shared" si="60"/>
        <v>60000</v>
      </c>
      <c r="K378" s="16">
        <f t="shared" si="61"/>
        <v>8000</v>
      </c>
      <c r="L378" s="110">
        <f t="shared" si="62"/>
        <v>0.1176470588</v>
      </c>
      <c r="M378" s="2"/>
      <c r="N378" s="3"/>
      <c r="O378" s="2"/>
      <c r="P378" s="3"/>
      <c r="Q378" s="3"/>
      <c r="R378" s="2"/>
      <c r="S378" s="3"/>
      <c r="T378" s="3"/>
      <c r="U378" s="1"/>
      <c r="V378" s="3"/>
      <c r="W378" s="3"/>
      <c r="X378" s="3"/>
      <c r="Y378" s="3"/>
      <c r="Z378" s="3"/>
    </row>
    <row r="379">
      <c r="A379" s="83">
        <v>1.0</v>
      </c>
      <c r="B379" s="84" t="s">
        <v>50</v>
      </c>
      <c r="C379" s="85" t="s">
        <v>16</v>
      </c>
      <c r="D379" s="22">
        <v>1000.0</v>
      </c>
      <c r="E379" s="15">
        <f t="shared" si="59"/>
        <v>1000</v>
      </c>
      <c r="F379" s="16"/>
      <c r="G379" s="25"/>
      <c r="H379" s="37"/>
      <c r="I379" s="22">
        <v>500.0</v>
      </c>
      <c r="J379" s="16">
        <f t="shared" si="60"/>
        <v>500</v>
      </c>
      <c r="K379" s="16">
        <f t="shared" si="61"/>
        <v>500</v>
      </c>
      <c r="L379" s="115">
        <f t="shared" si="62"/>
        <v>0.5</v>
      </c>
      <c r="M379" s="2"/>
      <c r="N379" s="3"/>
      <c r="O379" s="2"/>
      <c r="P379" s="3"/>
      <c r="Q379" s="3"/>
      <c r="R379" s="2"/>
      <c r="S379" s="3"/>
      <c r="T379" s="3"/>
      <c r="U379" s="1"/>
      <c r="V379" s="3"/>
      <c r="W379" s="3"/>
      <c r="X379" s="3"/>
      <c r="Y379" s="3"/>
      <c r="Z379" s="3"/>
    </row>
    <row r="380">
      <c r="A380" s="83">
        <v>2.5</v>
      </c>
      <c r="B380" s="84" t="s">
        <v>33</v>
      </c>
      <c r="C380" s="85" t="s">
        <v>321</v>
      </c>
      <c r="D380" s="22">
        <v>2800.0</v>
      </c>
      <c r="E380" s="15">
        <f t="shared" si="59"/>
        <v>7000</v>
      </c>
      <c r="F380" s="16"/>
      <c r="G380" s="25"/>
      <c r="H380" s="37"/>
      <c r="I380" s="22">
        <f>38000/15</f>
        <v>2533.333333</v>
      </c>
      <c r="J380" s="16">
        <f t="shared" si="60"/>
        <v>6333.333333</v>
      </c>
      <c r="K380" s="16">
        <f t="shared" si="61"/>
        <v>666.6666667</v>
      </c>
      <c r="L380" s="115">
        <f t="shared" si="62"/>
        <v>0.09523809524</v>
      </c>
      <c r="M380" s="2"/>
      <c r="N380" s="3"/>
      <c r="O380" s="2"/>
      <c r="P380" s="3"/>
      <c r="Q380" s="3"/>
      <c r="R380" s="2"/>
      <c r="S380" s="3"/>
      <c r="T380" s="3"/>
      <c r="U380" s="1"/>
      <c r="V380" s="3"/>
      <c r="W380" s="3"/>
      <c r="X380" s="3"/>
      <c r="Y380" s="3"/>
      <c r="Z380" s="3"/>
    </row>
    <row r="381">
      <c r="A381" s="13"/>
      <c r="B381" s="12"/>
      <c r="C381" s="14"/>
      <c r="D381" s="15"/>
      <c r="E381" s="16"/>
      <c r="F381" s="16"/>
      <c r="H381" s="25"/>
      <c r="I381" s="16"/>
      <c r="J381" s="16"/>
      <c r="K381" s="16"/>
      <c r="L381" s="36"/>
      <c r="N381" s="3"/>
      <c r="O381" s="2"/>
      <c r="P381" s="3"/>
      <c r="Q381" s="3"/>
      <c r="R381" s="2"/>
      <c r="S381" s="3"/>
      <c r="T381" s="3"/>
      <c r="U381" s="1"/>
      <c r="V381" s="3"/>
      <c r="W381" s="3"/>
      <c r="X381" s="3"/>
      <c r="Y381" s="3"/>
      <c r="Z381" s="3"/>
    </row>
    <row r="382">
      <c r="A382" s="13"/>
      <c r="B382" s="12"/>
      <c r="C382" s="14"/>
      <c r="D382" s="15"/>
      <c r="E382" s="16">
        <f>SUM(E369:E381)</f>
        <v>261400</v>
      </c>
      <c r="F382" s="16"/>
      <c r="G382" s="25"/>
      <c r="H382" s="25"/>
      <c r="I382" s="16"/>
      <c r="J382" s="16"/>
      <c r="K382" s="16">
        <f>SUM(K369:K380)</f>
        <v>42566.66667</v>
      </c>
      <c r="L382" s="110">
        <f>K382/E382</f>
        <v>0.162841112</v>
      </c>
      <c r="M382" s="2"/>
      <c r="N382" s="3"/>
      <c r="O382" s="2"/>
      <c r="P382" s="3"/>
      <c r="Q382" s="3"/>
      <c r="R382" s="2"/>
      <c r="S382" s="3"/>
      <c r="T382" s="3"/>
      <c r="U382" s="1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4" t="s">
        <v>105</v>
      </c>
      <c r="B385" s="38" t="s">
        <v>106</v>
      </c>
      <c r="C385" s="24"/>
      <c r="D385" s="81" t="s">
        <v>223</v>
      </c>
      <c r="E385" s="82">
        <v>46073.0</v>
      </c>
      <c r="F385" s="33" t="s">
        <v>13</v>
      </c>
      <c r="G385" s="25"/>
      <c r="H385" s="25"/>
      <c r="I385" s="16"/>
      <c r="J385" s="16"/>
      <c r="K385" s="16"/>
      <c r="L385" s="34"/>
      <c r="M385" s="2"/>
      <c r="N385" s="3"/>
      <c r="O385" s="2"/>
      <c r="P385" s="3"/>
      <c r="Q385" s="3"/>
      <c r="R385" s="2"/>
      <c r="S385" s="3"/>
      <c r="T385" s="3"/>
      <c r="U385" s="1"/>
      <c r="V385" s="3"/>
      <c r="W385" s="3"/>
      <c r="X385" s="3"/>
      <c r="Y385" s="3"/>
      <c r="Z385" s="3"/>
    </row>
    <row r="386">
      <c r="B386" s="25"/>
      <c r="C386" s="35"/>
      <c r="D386" s="25"/>
      <c r="E386" s="25"/>
      <c r="F386" s="25"/>
      <c r="G386" s="25"/>
      <c r="H386" s="25"/>
      <c r="I386" s="16"/>
      <c r="J386" s="16"/>
      <c r="K386" s="16"/>
      <c r="L386" s="34"/>
      <c r="M386" s="2"/>
      <c r="N386" s="3"/>
      <c r="O386" s="2"/>
      <c r="P386" s="3"/>
      <c r="Q386" s="3"/>
      <c r="R386" s="2"/>
      <c r="S386" s="3"/>
      <c r="T386" s="3"/>
      <c r="U386" s="1"/>
      <c r="V386" s="3"/>
      <c r="W386" s="3"/>
      <c r="X386" s="3"/>
      <c r="Y386" s="3"/>
      <c r="Z386" s="3"/>
    </row>
    <row r="387">
      <c r="A387" s="5" t="s">
        <v>4</v>
      </c>
      <c r="B387" s="10" t="s">
        <v>5</v>
      </c>
      <c r="C387" s="11" t="s">
        <v>6</v>
      </c>
      <c r="D387" s="12" t="s">
        <v>7</v>
      </c>
      <c r="E387" s="10" t="s">
        <v>8</v>
      </c>
      <c r="F387" s="12"/>
      <c r="G387" s="25"/>
      <c r="H387" s="25"/>
      <c r="I387" s="12"/>
      <c r="J387" s="12" t="s">
        <v>8</v>
      </c>
      <c r="K387" s="12" t="s">
        <v>10</v>
      </c>
      <c r="L387" s="34"/>
      <c r="M387" s="2"/>
      <c r="N387" s="3"/>
      <c r="O387" s="2"/>
      <c r="P387" s="3"/>
      <c r="Q387" s="3"/>
      <c r="R387" s="2"/>
      <c r="S387" s="3"/>
      <c r="T387" s="3"/>
      <c r="U387" s="1"/>
      <c r="V387" s="3"/>
      <c r="W387" s="3"/>
      <c r="X387" s="3"/>
      <c r="Y387" s="3"/>
      <c r="Z387" s="3"/>
    </row>
    <row r="388">
      <c r="A388" s="83">
        <v>0.75</v>
      </c>
      <c r="B388" s="84" t="s">
        <v>33</v>
      </c>
      <c r="C388" s="85" t="s">
        <v>48</v>
      </c>
      <c r="D388" s="22">
        <v>3000.0</v>
      </c>
      <c r="E388" s="15">
        <f t="shared" ref="E388:E395" si="63">A388*D388</f>
        <v>2250</v>
      </c>
      <c r="F388" s="16"/>
      <c r="G388" s="25"/>
      <c r="H388" s="37"/>
      <c r="I388" s="22">
        <f>10000/8</f>
        <v>1250</v>
      </c>
      <c r="J388" s="16">
        <f t="shared" ref="J388:J395" si="64">I388*A388</f>
        <v>937.5</v>
      </c>
      <c r="K388" s="16">
        <f t="shared" ref="K388:K395" si="65">E388-J388</f>
        <v>1312.5</v>
      </c>
      <c r="L388" s="110">
        <f t="shared" ref="L388:L395" si="66">K388/E388</f>
        <v>0.5833333333</v>
      </c>
      <c r="M388" s="2"/>
      <c r="N388" s="3"/>
      <c r="O388" s="2"/>
      <c r="P388" s="3"/>
      <c r="Q388" s="3"/>
      <c r="R388" s="2"/>
      <c r="S388" s="3"/>
      <c r="T388" s="3"/>
      <c r="U388" s="1"/>
      <c r="V388" s="3"/>
      <c r="W388" s="3"/>
      <c r="X388" s="3"/>
      <c r="Y388" s="3"/>
      <c r="Z388" s="3"/>
    </row>
    <row r="389">
      <c r="A389" s="83">
        <v>0.5</v>
      </c>
      <c r="B389" s="84" t="s">
        <v>33</v>
      </c>
      <c r="C389" s="85" t="s">
        <v>20</v>
      </c>
      <c r="D389" s="22">
        <v>3500.0</v>
      </c>
      <c r="E389" s="15">
        <f t="shared" si="63"/>
        <v>1750</v>
      </c>
      <c r="F389" s="16"/>
      <c r="G389" s="25"/>
      <c r="H389" s="37"/>
      <c r="I389" s="87">
        <f>25000/8</f>
        <v>3125</v>
      </c>
      <c r="J389" s="16">
        <f t="shared" si="64"/>
        <v>1562.5</v>
      </c>
      <c r="K389" s="16">
        <f t="shared" si="65"/>
        <v>187.5</v>
      </c>
      <c r="L389" s="110">
        <f t="shared" si="66"/>
        <v>0.1071428571</v>
      </c>
      <c r="M389" s="2"/>
      <c r="N389" s="3"/>
      <c r="O389" s="2"/>
      <c r="P389" s="3"/>
      <c r="Q389" s="3"/>
      <c r="R389" s="2"/>
      <c r="S389" s="3"/>
      <c r="T389" s="3"/>
      <c r="U389" s="1"/>
      <c r="V389" s="3"/>
      <c r="W389" s="3"/>
      <c r="X389" s="3"/>
      <c r="Y389" s="3"/>
      <c r="Z389" s="3"/>
    </row>
    <row r="390">
      <c r="A390" s="83">
        <v>0.2</v>
      </c>
      <c r="B390" s="84" t="s">
        <v>33</v>
      </c>
      <c r="C390" s="85" t="s">
        <v>78</v>
      </c>
      <c r="D390" s="22">
        <v>4000.0</v>
      </c>
      <c r="E390" s="15">
        <f t="shared" si="63"/>
        <v>800</v>
      </c>
      <c r="F390" s="16"/>
      <c r="G390" s="25"/>
      <c r="H390" s="37"/>
      <c r="I390" s="87">
        <f>65000/17</f>
        <v>3823.529412</v>
      </c>
      <c r="J390" s="16">
        <f t="shared" si="64"/>
        <v>764.7058824</v>
      </c>
      <c r="K390" s="16">
        <f t="shared" si="65"/>
        <v>35.29411765</v>
      </c>
      <c r="L390" s="110">
        <f t="shared" si="66"/>
        <v>0.04411764706</v>
      </c>
      <c r="M390" s="2"/>
      <c r="N390" s="3"/>
      <c r="O390" s="2"/>
      <c r="P390" s="3"/>
      <c r="Q390" s="3"/>
      <c r="R390" s="2"/>
      <c r="S390" s="3"/>
      <c r="T390" s="3"/>
      <c r="U390" s="1"/>
      <c r="V390" s="3"/>
      <c r="W390" s="3"/>
      <c r="X390" s="3"/>
      <c r="Y390" s="3"/>
      <c r="Z390" s="3"/>
    </row>
    <row r="391">
      <c r="A391" s="83">
        <v>5.0</v>
      </c>
      <c r="B391" s="84" t="s">
        <v>5</v>
      </c>
      <c r="C391" s="85" t="s">
        <v>87</v>
      </c>
      <c r="D391" s="22">
        <v>1400.0</v>
      </c>
      <c r="E391" s="15">
        <f t="shared" si="63"/>
        <v>7000</v>
      </c>
      <c r="F391" s="16"/>
      <c r="G391" s="25"/>
      <c r="H391" s="37"/>
      <c r="I391" s="87">
        <f>62000/80</f>
        <v>775</v>
      </c>
      <c r="J391" s="16">
        <f t="shared" si="64"/>
        <v>3875</v>
      </c>
      <c r="K391" s="16">
        <f t="shared" si="65"/>
        <v>3125</v>
      </c>
      <c r="L391" s="110">
        <f t="shared" si="66"/>
        <v>0.4464285714</v>
      </c>
      <c r="M391" s="2"/>
      <c r="N391" s="3"/>
      <c r="O391" s="2"/>
      <c r="P391" s="3"/>
      <c r="Q391" s="3"/>
      <c r="R391" s="2"/>
      <c r="S391" s="3"/>
      <c r="T391" s="3"/>
      <c r="U391" s="1"/>
      <c r="V391" s="3"/>
      <c r="W391" s="3"/>
      <c r="X391" s="3"/>
      <c r="Y391" s="3"/>
      <c r="Z391" s="3"/>
    </row>
    <row r="392">
      <c r="A392" s="83">
        <v>0.2</v>
      </c>
      <c r="B392" s="84" t="s">
        <v>33</v>
      </c>
      <c r="C392" s="85" t="s">
        <v>53</v>
      </c>
      <c r="D392" s="22">
        <v>9500.0</v>
      </c>
      <c r="E392" s="15">
        <f t="shared" si="63"/>
        <v>1900</v>
      </c>
      <c r="F392" s="16"/>
      <c r="G392" s="25"/>
      <c r="H392" s="37"/>
      <c r="I392" s="87">
        <v>10000.0</v>
      </c>
      <c r="J392" s="16">
        <f t="shared" si="64"/>
        <v>2000</v>
      </c>
      <c r="K392" s="16">
        <f t="shared" si="65"/>
        <v>-100</v>
      </c>
      <c r="L392" s="110">
        <f t="shared" si="66"/>
        <v>-0.05263157895</v>
      </c>
      <c r="M392" s="2"/>
      <c r="N392" s="3"/>
      <c r="O392" s="2"/>
      <c r="P392" s="3"/>
      <c r="Q392" s="3"/>
      <c r="R392" s="2"/>
      <c r="S392" s="3"/>
      <c r="T392" s="3"/>
      <c r="U392" s="1"/>
      <c r="V392" s="3"/>
      <c r="W392" s="3"/>
      <c r="X392" s="3"/>
      <c r="Y392" s="3"/>
      <c r="Z392" s="3"/>
    </row>
    <row r="393">
      <c r="A393" s="83">
        <v>1.0</v>
      </c>
      <c r="B393" s="84" t="s">
        <v>33</v>
      </c>
      <c r="C393" s="85" t="s">
        <v>72</v>
      </c>
      <c r="D393" s="22">
        <v>2800.0</v>
      </c>
      <c r="E393" s="15">
        <f t="shared" si="63"/>
        <v>2800</v>
      </c>
      <c r="F393" s="16"/>
      <c r="G393" s="25"/>
      <c r="H393" s="37"/>
      <c r="I393" s="87">
        <f>2000</f>
        <v>2000</v>
      </c>
      <c r="J393" s="16">
        <f t="shared" si="64"/>
        <v>2000</v>
      </c>
      <c r="K393" s="16">
        <f t="shared" si="65"/>
        <v>800</v>
      </c>
      <c r="L393" s="115">
        <f t="shared" si="66"/>
        <v>0.2857142857</v>
      </c>
      <c r="M393" s="2"/>
      <c r="N393" s="3"/>
      <c r="O393" s="2"/>
      <c r="P393" s="3"/>
      <c r="Q393" s="3"/>
      <c r="R393" s="2"/>
      <c r="S393" s="3"/>
      <c r="T393" s="3"/>
      <c r="U393" s="1"/>
      <c r="V393" s="3"/>
      <c r="W393" s="3"/>
      <c r="X393" s="3"/>
      <c r="Y393" s="3"/>
      <c r="Z393" s="3"/>
    </row>
    <row r="394">
      <c r="A394" s="83">
        <v>1.0</v>
      </c>
      <c r="B394" s="84" t="s">
        <v>18</v>
      </c>
      <c r="C394" s="85" t="s">
        <v>54</v>
      </c>
      <c r="D394" s="22">
        <v>17000.0</v>
      </c>
      <c r="E394" s="15">
        <f t="shared" si="63"/>
        <v>17000</v>
      </c>
      <c r="F394" s="16"/>
      <c r="G394" s="25"/>
      <c r="H394" s="98"/>
      <c r="I394" s="22">
        <v>14000.0</v>
      </c>
      <c r="J394" s="16">
        <f t="shared" si="64"/>
        <v>14000</v>
      </c>
      <c r="K394" s="16">
        <f t="shared" si="65"/>
        <v>3000</v>
      </c>
      <c r="L394" s="110">
        <f t="shared" si="66"/>
        <v>0.1764705882</v>
      </c>
      <c r="M394" s="2"/>
      <c r="N394" s="3"/>
      <c r="O394" s="2"/>
      <c r="P394" s="3"/>
      <c r="Q394" s="3"/>
      <c r="R394" s="2"/>
      <c r="S394" s="3"/>
      <c r="T394" s="3"/>
      <c r="U394" s="1"/>
      <c r="V394" s="3"/>
      <c r="W394" s="3"/>
      <c r="X394" s="3"/>
      <c r="Y394" s="3"/>
      <c r="Z394" s="3"/>
    </row>
    <row r="395">
      <c r="A395" s="83">
        <v>3.0</v>
      </c>
      <c r="B395" s="84" t="s">
        <v>50</v>
      </c>
      <c r="C395" s="85" t="s">
        <v>65</v>
      </c>
      <c r="D395" s="22">
        <v>500.0</v>
      </c>
      <c r="E395" s="15">
        <f t="shared" si="63"/>
        <v>1500</v>
      </c>
      <c r="F395" s="16"/>
      <c r="G395" s="25"/>
      <c r="H395" s="37"/>
      <c r="I395" s="87">
        <v>250.0</v>
      </c>
      <c r="J395" s="16">
        <f t="shared" si="64"/>
        <v>750</v>
      </c>
      <c r="K395" s="16">
        <f t="shared" si="65"/>
        <v>750</v>
      </c>
      <c r="L395" s="110">
        <f t="shared" si="66"/>
        <v>0.5</v>
      </c>
      <c r="M395" s="2"/>
      <c r="N395" s="3"/>
      <c r="O395" s="2"/>
      <c r="P395" s="3"/>
      <c r="Q395" s="3"/>
      <c r="R395" s="2"/>
      <c r="S395" s="3"/>
      <c r="T395" s="3"/>
      <c r="U395" s="1"/>
      <c r="V395" s="3"/>
      <c r="W395" s="3"/>
      <c r="X395" s="3"/>
      <c r="Y395" s="3"/>
      <c r="Z395" s="3"/>
    </row>
    <row r="396">
      <c r="A396" s="13"/>
      <c r="B396" s="12"/>
      <c r="C396" s="14"/>
      <c r="D396" s="15"/>
      <c r="E396" s="16"/>
      <c r="F396" s="16"/>
      <c r="H396" s="25"/>
      <c r="I396" s="16"/>
      <c r="J396" s="16"/>
      <c r="K396" s="16"/>
      <c r="L396" s="36"/>
      <c r="N396" s="3"/>
      <c r="O396" s="2"/>
      <c r="P396" s="3"/>
      <c r="Q396" s="3"/>
      <c r="R396" s="2"/>
      <c r="S396" s="3"/>
      <c r="T396" s="3"/>
      <c r="U396" s="1"/>
      <c r="V396" s="3"/>
      <c r="W396" s="3"/>
      <c r="X396" s="3"/>
      <c r="Y396" s="3"/>
      <c r="Z396" s="3"/>
    </row>
    <row r="397">
      <c r="A397" s="13"/>
      <c r="B397" s="12"/>
      <c r="C397" s="14"/>
      <c r="D397" s="15"/>
      <c r="E397" s="16">
        <f>SUM(E388:E396)</f>
        <v>35000</v>
      </c>
      <c r="F397" s="16"/>
      <c r="G397" s="25"/>
      <c r="H397" s="25"/>
      <c r="I397" s="16"/>
      <c r="J397" s="16"/>
      <c r="K397" s="16">
        <f>SUM(K388:K395)</f>
        <v>9110.294118</v>
      </c>
      <c r="L397" s="110">
        <f>K397/E397</f>
        <v>0.2602941176</v>
      </c>
      <c r="M397" s="2"/>
      <c r="N397" s="3"/>
      <c r="O397" s="2"/>
      <c r="P397" s="3"/>
      <c r="Q397" s="3"/>
      <c r="R397" s="2"/>
      <c r="S397" s="3"/>
      <c r="T397" s="3"/>
      <c r="U397" s="1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6" t="s">
        <v>60</v>
      </c>
      <c r="B399" s="27">
        <v>0.04</v>
      </c>
      <c r="C399" s="2"/>
      <c r="D399" s="3"/>
      <c r="E399" s="15">
        <f>E397*0.04</f>
        <v>1400</v>
      </c>
      <c r="F399" s="3"/>
      <c r="G399" s="2"/>
      <c r="H399" s="3"/>
      <c r="I399" s="3"/>
      <c r="J399" s="3"/>
      <c r="K399" s="3"/>
      <c r="L399" s="4"/>
      <c r="M399" s="1"/>
      <c r="N399" s="3"/>
      <c r="O399" s="2"/>
      <c r="P399" s="3"/>
      <c r="Q399" s="3"/>
      <c r="R399" s="2"/>
      <c r="S399" s="3"/>
      <c r="T399" s="3"/>
      <c r="U399" s="1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8" t="s">
        <v>244</v>
      </c>
      <c r="D402" s="3"/>
      <c r="E402" s="86" t="s">
        <v>207</v>
      </c>
      <c r="F402" s="7">
        <v>46073.0</v>
      </c>
      <c r="G402" s="3"/>
      <c r="H402" s="3"/>
      <c r="I402" s="8" t="s">
        <v>3</v>
      </c>
      <c r="L402" s="4"/>
      <c r="M402" s="1"/>
      <c r="N402" s="3"/>
      <c r="O402" s="2"/>
      <c r="P402" s="3"/>
      <c r="Q402" s="3"/>
      <c r="R402" s="2"/>
      <c r="S402" s="3"/>
      <c r="T402" s="3"/>
      <c r="U402" s="1"/>
      <c r="V402" s="3"/>
      <c r="W402" s="3"/>
      <c r="X402" s="3"/>
      <c r="Y402" s="3"/>
      <c r="Z402" s="3"/>
    </row>
    <row r="403">
      <c r="A403" s="1"/>
      <c r="B403" s="3"/>
      <c r="C403" s="9"/>
      <c r="D403" s="3"/>
      <c r="E403" s="3"/>
      <c r="F403" s="3"/>
      <c r="G403" s="3"/>
      <c r="H403" s="3"/>
      <c r="I403" s="3"/>
      <c r="J403" s="3"/>
      <c r="K403" s="3"/>
      <c r="L403" s="4"/>
      <c r="M403" s="1"/>
      <c r="N403" s="3"/>
      <c r="O403" s="2"/>
      <c r="P403" s="3"/>
      <c r="Q403" s="3"/>
      <c r="R403" s="2"/>
      <c r="S403" s="3"/>
      <c r="T403" s="3"/>
      <c r="U403" s="1"/>
      <c r="V403" s="3"/>
      <c r="W403" s="3"/>
      <c r="X403" s="3"/>
      <c r="Y403" s="3"/>
      <c r="Z403" s="3"/>
    </row>
    <row r="404">
      <c r="A404" s="5" t="s">
        <v>4</v>
      </c>
      <c r="B404" s="10" t="s">
        <v>5</v>
      </c>
      <c r="C404" s="96" t="s">
        <v>6</v>
      </c>
      <c r="D404" s="10" t="s">
        <v>7</v>
      </c>
      <c r="E404" s="10" t="s">
        <v>8</v>
      </c>
      <c r="F404" s="10" t="s">
        <v>9</v>
      </c>
      <c r="G404" s="3"/>
      <c r="H404" s="3"/>
      <c r="I404" s="10" t="s">
        <v>260</v>
      </c>
      <c r="J404" s="10" t="s">
        <v>8</v>
      </c>
      <c r="K404" s="10" t="s">
        <v>10</v>
      </c>
      <c r="L404" s="4"/>
      <c r="M404" s="1"/>
      <c r="N404" s="3"/>
      <c r="O404" s="2"/>
      <c r="P404" s="3"/>
      <c r="Q404" s="3"/>
      <c r="R404" s="2"/>
      <c r="S404" s="3"/>
      <c r="T404" s="3"/>
      <c r="U404" s="1"/>
      <c r="V404" s="3"/>
      <c r="W404" s="3"/>
      <c r="X404" s="3"/>
      <c r="Y404" s="3"/>
      <c r="Z404" s="3"/>
    </row>
    <row r="405">
      <c r="A405" s="91">
        <v>1.0</v>
      </c>
      <c r="B405" s="92" t="s">
        <v>33</v>
      </c>
      <c r="C405" s="93" t="s">
        <v>53</v>
      </c>
      <c r="D405" s="22">
        <v>9500.0</v>
      </c>
      <c r="E405" s="15">
        <f t="shared" ref="E405:E416" si="67">A405*D405</f>
        <v>9500</v>
      </c>
      <c r="F405" s="15">
        <f t="shared" ref="F405:F416" si="68">E405*1.105</f>
        <v>10497.5</v>
      </c>
      <c r="G405" s="3"/>
      <c r="H405" s="3"/>
      <c r="I405" s="22">
        <v>10000.0</v>
      </c>
      <c r="J405" s="15">
        <f t="shared" ref="J405:J416" si="69">I405*A405</f>
        <v>10000</v>
      </c>
      <c r="K405" s="15">
        <f t="shared" ref="K405:K416" si="70">F405-J405</f>
        <v>497.5</v>
      </c>
      <c r="L405" s="116">
        <f t="shared" ref="L405:L416" si="71">IFERROR(K405/F405, 0)</f>
        <v>0.04739223625</v>
      </c>
      <c r="M405" s="1"/>
      <c r="N405" s="3"/>
      <c r="O405" s="2"/>
      <c r="P405" s="3"/>
      <c r="Q405" s="3"/>
      <c r="R405" s="2"/>
      <c r="S405" s="3"/>
      <c r="T405" s="3"/>
      <c r="U405" s="1"/>
      <c r="V405" s="3"/>
      <c r="W405" s="3"/>
      <c r="X405" s="3"/>
      <c r="Y405" s="3"/>
      <c r="Z405" s="3"/>
    </row>
    <row r="406">
      <c r="A406" s="91">
        <v>2.0</v>
      </c>
      <c r="B406" s="92" t="s">
        <v>33</v>
      </c>
      <c r="C406" s="93" t="s">
        <v>31</v>
      </c>
      <c r="D406" s="22">
        <v>2800.0</v>
      </c>
      <c r="E406" s="15">
        <f t="shared" si="67"/>
        <v>5600</v>
      </c>
      <c r="F406" s="15">
        <f t="shared" si="68"/>
        <v>6188</v>
      </c>
      <c r="G406" s="3"/>
      <c r="H406" s="3"/>
      <c r="I406" s="15">
        <f>15000/18</f>
        <v>833.3333333</v>
      </c>
      <c r="J406" s="15">
        <f t="shared" si="69"/>
        <v>1666.666667</v>
      </c>
      <c r="K406" s="15">
        <f t="shared" si="70"/>
        <v>4521.333333</v>
      </c>
      <c r="L406" s="116">
        <f t="shared" si="71"/>
        <v>0.7306614954</v>
      </c>
      <c r="M406" s="1"/>
      <c r="N406" s="3"/>
      <c r="O406" s="2"/>
      <c r="P406" s="3"/>
      <c r="Q406" s="3"/>
      <c r="R406" s="2"/>
      <c r="S406" s="3"/>
      <c r="T406" s="3"/>
      <c r="U406" s="1"/>
      <c r="V406" s="3"/>
      <c r="W406" s="3"/>
      <c r="X406" s="3"/>
      <c r="Y406" s="3"/>
      <c r="Z406" s="3"/>
    </row>
    <row r="407">
      <c r="A407" s="91">
        <v>3.0</v>
      </c>
      <c r="B407" s="92" t="s">
        <v>18</v>
      </c>
      <c r="C407" s="93" t="s">
        <v>356</v>
      </c>
      <c r="D407" s="22">
        <v>23000.0</v>
      </c>
      <c r="E407" s="15">
        <f t="shared" si="67"/>
        <v>69000</v>
      </c>
      <c r="F407" s="15">
        <f t="shared" si="68"/>
        <v>76245</v>
      </c>
      <c r="G407" s="3"/>
      <c r="H407" s="3"/>
      <c r="I407" s="22">
        <v>20000.0</v>
      </c>
      <c r="J407" s="15">
        <f t="shared" si="69"/>
        <v>60000</v>
      </c>
      <c r="K407" s="15">
        <f t="shared" si="70"/>
        <v>16245</v>
      </c>
      <c r="L407" s="116">
        <f t="shared" si="71"/>
        <v>0.2130631517</v>
      </c>
      <c r="M407" s="1"/>
      <c r="N407" s="3"/>
      <c r="O407" s="2"/>
      <c r="P407" s="3"/>
      <c r="Q407" s="3"/>
      <c r="R407" s="2"/>
      <c r="S407" s="3"/>
      <c r="T407" s="3"/>
      <c r="U407" s="1"/>
      <c r="V407" s="3"/>
      <c r="W407" s="3"/>
      <c r="X407" s="3"/>
      <c r="Y407" s="3"/>
      <c r="Z407" s="3"/>
    </row>
    <row r="408">
      <c r="A408" s="91">
        <v>1.0</v>
      </c>
      <c r="B408" s="92" t="s">
        <v>33</v>
      </c>
      <c r="C408" s="93" t="s">
        <v>232</v>
      </c>
      <c r="D408" s="22">
        <v>4000.0</v>
      </c>
      <c r="E408" s="15">
        <f t="shared" si="67"/>
        <v>4000</v>
      </c>
      <c r="F408" s="15">
        <f t="shared" si="68"/>
        <v>4420</v>
      </c>
      <c r="G408" s="3"/>
      <c r="H408" s="3"/>
      <c r="I408" s="22">
        <f>60000/18</f>
        <v>3333.333333</v>
      </c>
      <c r="J408" s="15">
        <f t="shared" si="69"/>
        <v>3333.333333</v>
      </c>
      <c r="K408" s="15">
        <f t="shared" si="70"/>
        <v>1086.666667</v>
      </c>
      <c r="L408" s="116">
        <f t="shared" si="71"/>
        <v>0.245852187</v>
      </c>
      <c r="M408" s="1"/>
      <c r="N408" s="3"/>
      <c r="O408" s="2"/>
      <c r="P408" s="3"/>
      <c r="Q408" s="3"/>
      <c r="R408" s="2"/>
      <c r="S408" s="3"/>
      <c r="T408" s="3"/>
      <c r="U408" s="1"/>
      <c r="V408" s="3"/>
      <c r="W408" s="3"/>
      <c r="X408" s="3"/>
      <c r="Y408" s="3"/>
      <c r="Z408" s="3"/>
    </row>
    <row r="409">
      <c r="A409" s="91">
        <v>1.0</v>
      </c>
      <c r="B409" s="92" t="s">
        <v>33</v>
      </c>
      <c r="C409" s="93" t="s">
        <v>67</v>
      </c>
      <c r="D409" s="22">
        <v>900.0</v>
      </c>
      <c r="E409" s="15">
        <f t="shared" si="67"/>
        <v>900</v>
      </c>
      <c r="F409" s="15">
        <f t="shared" si="68"/>
        <v>994.5</v>
      </c>
      <c r="G409" s="3"/>
      <c r="H409" s="3"/>
      <c r="I409" s="15">
        <f>9000/17</f>
        <v>529.4117647</v>
      </c>
      <c r="J409" s="15">
        <f t="shared" si="69"/>
        <v>529.4117647</v>
      </c>
      <c r="K409" s="15">
        <f t="shared" si="70"/>
        <v>465.0882353</v>
      </c>
      <c r="L409" s="116">
        <f t="shared" si="71"/>
        <v>0.4676603673</v>
      </c>
      <c r="M409" s="1"/>
      <c r="N409" s="3"/>
      <c r="O409" s="2"/>
      <c r="P409" s="3"/>
      <c r="Q409" s="3"/>
      <c r="R409" s="2"/>
      <c r="S409" s="3"/>
      <c r="T409" s="3"/>
      <c r="U409" s="1"/>
      <c r="V409" s="3"/>
      <c r="W409" s="3"/>
      <c r="X409" s="3"/>
      <c r="Y409" s="3"/>
      <c r="Z409" s="3"/>
    </row>
    <row r="410">
      <c r="A410" s="91">
        <v>2.0</v>
      </c>
      <c r="B410" s="92" t="s">
        <v>33</v>
      </c>
      <c r="C410" s="93" t="s">
        <v>20</v>
      </c>
      <c r="D410" s="22">
        <v>3000.0</v>
      </c>
      <c r="E410" s="15">
        <f t="shared" si="67"/>
        <v>6000</v>
      </c>
      <c r="F410" s="15">
        <f t="shared" si="68"/>
        <v>6630</v>
      </c>
      <c r="G410" s="3"/>
      <c r="H410" s="3"/>
      <c r="I410" s="22">
        <f>25000/8</f>
        <v>3125</v>
      </c>
      <c r="J410" s="15">
        <f t="shared" si="69"/>
        <v>6250</v>
      </c>
      <c r="K410" s="15">
        <f t="shared" si="70"/>
        <v>380</v>
      </c>
      <c r="L410" s="116">
        <f t="shared" si="71"/>
        <v>0.05731523379</v>
      </c>
      <c r="M410" s="1"/>
      <c r="N410" s="3"/>
      <c r="O410" s="2"/>
      <c r="P410" s="3"/>
      <c r="Q410" s="3"/>
      <c r="R410" s="2"/>
      <c r="S410" s="3"/>
      <c r="T410" s="3"/>
      <c r="U410" s="1"/>
      <c r="V410" s="3"/>
      <c r="W410" s="3"/>
      <c r="X410" s="3"/>
      <c r="Y410" s="3"/>
      <c r="Z410" s="3"/>
    </row>
    <row r="411">
      <c r="A411" s="91">
        <v>1.0</v>
      </c>
      <c r="B411" s="92" t="s">
        <v>33</v>
      </c>
      <c r="C411" s="93" t="s">
        <v>57</v>
      </c>
      <c r="D411" s="22">
        <v>8500.0</v>
      </c>
      <c r="E411" s="15">
        <f t="shared" si="67"/>
        <v>8500</v>
      </c>
      <c r="F411" s="15">
        <f t="shared" si="68"/>
        <v>9392.5</v>
      </c>
      <c r="G411" s="3"/>
      <c r="H411" s="3"/>
      <c r="I411" s="22">
        <f>30000/4</f>
        <v>7500</v>
      </c>
      <c r="J411" s="15">
        <f t="shared" si="69"/>
        <v>7500</v>
      </c>
      <c r="K411" s="15">
        <f t="shared" si="70"/>
        <v>1892.5</v>
      </c>
      <c r="L411" s="116">
        <f t="shared" si="71"/>
        <v>0.201490551</v>
      </c>
      <c r="M411" s="1"/>
      <c r="N411" s="3"/>
      <c r="O411" s="2"/>
      <c r="P411" s="3"/>
      <c r="Q411" s="3"/>
      <c r="R411" s="2"/>
      <c r="S411" s="3"/>
      <c r="T411" s="3"/>
      <c r="U411" s="1"/>
      <c r="V411" s="3"/>
      <c r="W411" s="3"/>
      <c r="X411" s="3"/>
      <c r="Y411" s="3"/>
      <c r="Z411" s="3"/>
    </row>
    <row r="412">
      <c r="A412" s="91">
        <v>0.15</v>
      </c>
      <c r="B412" s="92" t="s">
        <v>50</v>
      </c>
      <c r="C412" s="93" t="s">
        <v>68</v>
      </c>
      <c r="D412" s="22">
        <v>4000.0</v>
      </c>
      <c r="E412" s="15">
        <f t="shared" si="67"/>
        <v>600</v>
      </c>
      <c r="F412" s="15">
        <f t="shared" si="68"/>
        <v>663</v>
      </c>
      <c r="G412" s="3"/>
      <c r="H412" s="3"/>
      <c r="I412" s="22">
        <v>1000.0</v>
      </c>
      <c r="J412" s="15">
        <f t="shared" si="69"/>
        <v>150</v>
      </c>
      <c r="K412" s="15">
        <f t="shared" si="70"/>
        <v>513</v>
      </c>
      <c r="L412" s="116">
        <f t="shared" si="71"/>
        <v>0.7737556561</v>
      </c>
      <c r="M412" s="1"/>
      <c r="N412" s="3"/>
      <c r="O412" s="2"/>
      <c r="P412" s="3"/>
      <c r="Q412" s="3"/>
      <c r="R412" s="2"/>
      <c r="S412" s="3"/>
      <c r="T412" s="3"/>
      <c r="U412" s="1"/>
      <c r="V412" s="3"/>
      <c r="W412" s="3"/>
      <c r="X412" s="3"/>
      <c r="Y412" s="3"/>
      <c r="Z412" s="3"/>
    </row>
    <row r="413">
      <c r="A413" s="91">
        <v>1.0</v>
      </c>
      <c r="B413" s="92" t="s">
        <v>50</v>
      </c>
      <c r="C413" s="93" t="s">
        <v>16</v>
      </c>
      <c r="D413" s="22">
        <v>1000.0</v>
      </c>
      <c r="E413" s="15">
        <f t="shared" si="67"/>
        <v>1000</v>
      </c>
      <c r="F413" s="15">
        <f t="shared" si="68"/>
        <v>1105</v>
      </c>
      <c r="G413" s="3"/>
      <c r="H413" s="3"/>
      <c r="I413" s="22">
        <v>500.0</v>
      </c>
      <c r="J413" s="15">
        <f t="shared" si="69"/>
        <v>500</v>
      </c>
      <c r="K413" s="15">
        <f t="shared" si="70"/>
        <v>605</v>
      </c>
      <c r="L413" s="116">
        <f t="shared" si="71"/>
        <v>0.5475113122</v>
      </c>
      <c r="M413" s="1"/>
      <c r="N413" s="3"/>
      <c r="O413" s="2"/>
      <c r="P413" s="3"/>
      <c r="Q413" s="3"/>
      <c r="R413" s="2"/>
      <c r="S413" s="3"/>
      <c r="T413" s="3"/>
      <c r="U413" s="1"/>
      <c r="V413" s="3"/>
      <c r="W413" s="3"/>
      <c r="X413" s="3"/>
      <c r="Y413" s="3"/>
      <c r="Z413" s="3"/>
    </row>
    <row r="414">
      <c r="A414" s="91">
        <v>3.0</v>
      </c>
      <c r="B414" s="92" t="s">
        <v>50</v>
      </c>
      <c r="C414" s="93" t="s">
        <v>65</v>
      </c>
      <c r="D414" s="22">
        <v>500.0</v>
      </c>
      <c r="E414" s="15">
        <f t="shared" si="67"/>
        <v>1500</v>
      </c>
      <c r="F414" s="15">
        <f t="shared" si="68"/>
        <v>1657.5</v>
      </c>
      <c r="G414" s="3"/>
      <c r="H414" s="3"/>
      <c r="I414" s="22">
        <v>250.0</v>
      </c>
      <c r="J414" s="15">
        <f t="shared" si="69"/>
        <v>750</v>
      </c>
      <c r="K414" s="15">
        <f t="shared" si="70"/>
        <v>907.5</v>
      </c>
      <c r="L414" s="116">
        <f t="shared" si="71"/>
        <v>0.5475113122</v>
      </c>
      <c r="M414" s="1"/>
      <c r="N414" s="3"/>
      <c r="O414" s="2"/>
      <c r="P414" s="3"/>
      <c r="Q414" s="3"/>
      <c r="R414" s="2"/>
      <c r="S414" s="3"/>
      <c r="T414" s="3"/>
      <c r="U414" s="1"/>
      <c r="V414" s="3"/>
      <c r="W414" s="3"/>
      <c r="X414" s="3"/>
      <c r="Y414" s="3"/>
      <c r="Z414" s="3"/>
    </row>
    <row r="415">
      <c r="A415" s="91">
        <v>1.5</v>
      </c>
      <c r="B415" s="92" t="s">
        <v>33</v>
      </c>
      <c r="C415" s="93" t="s">
        <v>48</v>
      </c>
      <c r="D415" s="22">
        <v>3000.0</v>
      </c>
      <c r="E415" s="15">
        <f t="shared" si="67"/>
        <v>4500</v>
      </c>
      <c r="F415" s="15">
        <f t="shared" si="68"/>
        <v>4972.5</v>
      </c>
      <c r="G415" s="3"/>
      <c r="H415" s="3"/>
      <c r="I415" s="22">
        <f>10000/8</f>
        <v>1250</v>
      </c>
      <c r="J415" s="15">
        <f t="shared" si="69"/>
        <v>1875</v>
      </c>
      <c r="K415" s="15">
        <f t="shared" si="70"/>
        <v>3097.5</v>
      </c>
      <c r="L415" s="116">
        <f t="shared" si="71"/>
        <v>0.6229260935</v>
      </c>
      <c r="M415" s="1"/>
      <c r="N415" s="3"/>
      <c r="O415" s="2"/>
      <c r="P415" s="3"/>
      <c r="Q415" s="3"/>
      <c r="R415" s="2"/>
      <c r="S415" s="3"/>
      <c r="T415" s="3"/>
      <c r="U415" s="1"/>
      <c r="V415" s="3"/>
      <c r="W415" s="3"/>
      <c r="X415" s="3"/>
      <c r="Y415" s="3"/>
      <c r="Z415" s="3"/>
    </row>
    <row r="416">
      <c r="A416" s="91">
        <v>3.0</v>
      </c>
      <c r="B416" s="92" t="s">
        <v>50</v>
      </c>
      <c r="C416" s="93" t="s">
        <v>72</v>
      </c>
      <c r="D416" s="22">
        <v>2800.0</v>
      </c>
      <c r="E416" s="15">
        <f t="shared" si="67"/>
        <v>8400</v>
      </c>
      <c r="F416" s="15">
        <f t="shared" si="68"/>
        <v>9282</v>
      </c>
      <c r="G416" s="3"/>
      <c r="H416" s="3"/>
      <c r="I416" s="22">
        <v>2000.0</v>
      </c>
      <c r="J416" s="15">
        <f t="shared" si="69"/>
        <v>6000</v>
      </c>
      <c r="K416" s="15">
        <f t="shared" si="70"/>
        <v>3282</v>
      </c>
      <c r="L416" s="116">
        <f t="shared" si="71"/>
        <v>0.3535875889</v>
      </c>
      <c r="M416" s="1"/>
      <c r="N416" s="3"/>
      <c r="O416" s="2"/>
      <c r="P416" s="3"/>
      <c r="Q416" s="3"/>
      <c r="R416" s="2"/>
      <c r="S416" s="3"/>
      <c r="T416" s="3"/>
      <c r="U416" s="1"/>
      <c r="V416" s="3"/>
      <c r="W416" s="3"/>
      <c r="X416" s="3"/>
      <c r="Y416" s="3"/>
      <c r="Z416" s="3"/>
    </row>
    <row r="417">
      <c r="A417" s="117"/>
      <c r="B417" s="3"/>
      <c r="C417" s="2"/>
      <c r="D417" s="3"/>
      <c r="E417" s="3"/>
      <c r="F417" s="3"/>
      <c r="G417" s="3"/>
      <c r="H417" s="3"/>
      <c r="I417" s="3"/>
      <c r="J417" s="3"/>
      <c r="K417" s="3"/>
      <c r="L417" s="118"/>
      <c r="M417" s="1"/>
      <c r="N417" s="3"/>
      <c r="O417" s="2"/>
      <c r="P417" s="3"/>
      <c r="Q417" s="3"/>
      <c r="R417" s="2"/>
      <c r="S417" s="3"/>
      <c r="T417" s="3"/>
      <c r="U417" s="1"/>
      <c r="V417" s="3"/>
      <c r="W417" s="3"/>
      <c r="X417" s="3"/>
      <c r="Y417" s="3"/>
      <c r="Z417" s="3"/>
    </row>
    <row r="418">
      <c r="A418" s="117"/>
      <c r="B418" s="3"/>
      <c r="C418" s="2"/>
      <c r="D418" s="3"/>
      <c r="E418" s="15">
        <f t="shared" ref="E418:F418" si="72">SUM(E405:E416)</f>
        <v>119500</v>
      </c>
      <c r="F418" s="15">
        <f t="shared" si="72"/>
        <v>132047.5</v>
      </c>
      <c r="G418" s="3"/>
      <c r="H418" s="3"/>
      <c r="I418" s="3"/>
      <c r="J418" s="3"/>
      <c r="K418" s="15">
        <f>SUM(K405:K416)</f>
        <v>33493.08824</v>
      </c>
      <c r="L418" s="116">
        <f>IFERROR(K418/F418, 0)</f>
        <v>0.2536442434</v>
      </c>
      <c r="M418" s="1"/>
      <c r="N418" s="3"/>
      <c r="O418" s="2"/>
      <c r="P418" s="3"/>
      <c r="Q418" s="3"/>
      <c r="R418" s="9"/>
      <c r="S418" s="3"/>
      <c r="T418" s="3"/>
      <c r="U418" s="1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89" t="s">
        <v>206</v>
      </c>
      <c r="B421" s="24"/>
      <c r="C421" s="24"/>
      <c r="D421" s="81" t="s">
        <v>220</v>
      </c>
      <c r="E421" s="82">
        <v>46073.0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B422" s="25"/>
      <c r="C422" s="35"/>
      <c r="D422" s="25"/>
      <c r="E422" s="2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5" t="s">
        <v>4</v>
      </c>
      <c r="B423" s="10" t="s">
        <v>5</v>
      </c>
      <c r="C423" s="11" t="s">
        <v>6</v>
      </c>
      <c r="D423" s="12" t="s">
        <v>7</v>
      </c>
      <c r="E423" s="10" t="s">
        <v>8</v>
      </c>
      <c r="F423" s="2"/>
      <c r="G423" s="2"/>
      <c r="H423" s="2"/>
      <c r="I423" s="12" t="s">
        <v>7</v>
      </c>
      <c r="J423" s="12" t="s">
        <v>8</v>
      </c>
      <c r="K423" s="12" t="s">
        <v>10</v>
      </c>
      <c r="L423" s="3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83">
        <v>1.0</v>
      </c>
      <c r="B424" s="84" t="s">
        <v>208</v>
      </c>
      <c r="C424" s="85" t="s">
        <v>202</v>
      </c>
      <c r="D424" s="22">
        <v>20000.0</v>
      </c>
      <c r="E424" s="15">
        <f t="shared" ref="E424:E431" si="73">A424*D424</f>
        <v>20000</v>
      </c>
      <c r="F424" s="2"/>
      <c r="G424" s="2"/>
      <c r="H424" s="2"/>
      <c r="I424" s="87">
        <f>3122*5</f>
        <v>15610</v>
      </c>
      <c r="J424" s="16">
        <f t="shared" ref="J424:J431" si="74">A424*I424</f>
        <v>15610</v>
      </c>
      <c r="K424" s="16">
        <f t="shared" ref="K424:K431" si="75">E424-J424</f>
        <v>4390</v>
      </c>
      <c r="L424" s="116">
        <f t="shared" ref="L424:L431" si="76">K424/E424</f>
        <v>0.2195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83">
        <v>2.0</v>
      </c>
      <c r="B425" s="84" t="s">
        <v>50</v>
      </c>
      <c r="C425" s="85" t="s">
        <v>172</v>
      </c>
      <c r="D425" s="22">
        <v>3000.0</v>
      </c>
      <c r="E425" s="15">
        <f t="shared" si="73"/>
        <v>6000</v>
      </c>
      <c r="F425" s="2"/>
      <c r="G425" s="2"/>
      <c r="H425" s="2"/>
      <c r="I425" s="87">
        <v>2000.0</v>
      </c>
      <c r="J425" s="16">
        <f t="shared" si="74"/>
        <v>4000</v>
      </c>
      <c r="K425" s="16">
        <f t="shared" si="75"/>
        <v>2000</v>
      </c>
      <c r="L425" s="110">
        <f t="shared" si="76"/>
        <v>0.3333333333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83">
        <v>1.0</v>
      </c>
      <c r="B426" s="84" t="s">
        <v>29</v>
      </c>
      <c r="C426" s="85" t="s">
        <v>72</v>
      </c>
      <c r="D426" s="22">
        <v>34000.0</v>
      </c>
      <c r="E426" s="15">
        <f t="shared" si="73"/>
        <v>34000</v>
      </c>
      <c r="F426" s="2"/>
      <c r="G426" s="2"/>
      <c r="H426" s="2"/>
      <c r="I426" s="87">
        <v>30000.0</v>
      </c>
      <c r="J426" s="16">
        <f t="shared" si="74"/>
        <v>30000</v>
      </c>
      <c r="K426" s="16">
        <f t="shared" si="75"/>
        <v>4000</v>
      </c>
      <c r="L426" s="116">
        <f t="shared" si="76"/>
        <v>0.1176470588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83">
        <v>2.0</v>
      </c>
      <c r="B427" s="84" t="s">
        <v>18</v>
      </c>
      <c r="C427" s="85" t="s">
        <v>39</v>
      </c>
      <c r="D427" s="22">
        <v>18000.0</v>
      </c>
      <c r="E427" s="15">
        <f t="shared" si="73"/>
        <v>36000</v>
      </c>
      <c r="F427" s="2"/>
      <c r="G427" s="2"/>
      <c r="H427" s="2"/>
      <c r="I427" s="87">
        <v>14000.0</v>
      </c>
      <c r="J427" s="16">
        <f t="shared" si="74"/>
        <v>28000</v>
      </c>
      <c r="K427" s="16">
        <f t="shared" si="75"/>
        <v>8000</v>
      </c>
      <c r="L427" s="116">
        <f t="shared" si="76"/>
        <v>0.2222222222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83">
        <v>1.0</v>
      </c>
      <c r="B428" s="84" t="s">
        <v>18</v>
      </c>
      <c r="C428" s="85" t="s">
        <v>24</v>
      </c>
      <c r="D428" s="22">
        <v>33000.0</v>
      </c>
      <c r="E428" s="15">
        <f t="shared" si="73"/>
        <v>33000</v>
      </c>
      <c r="F428" s="2"/>
      <c r="G428" s="2"/>
      <c r="H428" s="2"/>
      <c r="I428" s="87">
        <v>28000.0</v>
      </c>
      <c r="J428" s="16">
        <f t="shared" si="74"/>
        <v>28000</v>
      </c>
      <c r="K428" s="16">
        <f t="shared" si="75"/>
        <v>5000</v>
      </c>
      <c r="L428" s="116">
        <f t="shared" si="76"/>
        <v>0.1515151515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83">
        <v>1.0</v>
      </c>
      <c r="B429" s="84" t="s">
        <v>29</v>
      </c>
      <c r="C429" s="85" t="s">
        <v>358</v>
      </c>
      <c r="D429" s="22">
        <v>75000.0</v>
      </c>
      <c r="E429" s="15">
        <f t="shared" si="73"/>
        <v>75000</v>
      </c>
      <c r="F429" s="2"/>
      <c r="G429" s="2"/>
      <c r="H429" s="2"/>
      <c r="I429" s="87">
        <v>62000.0</v>
      </c>
      <c r="J429" s="16">
        <f t="shared" si="74"/>
        <v>62000</v>
      </c>
      <c r="K429" s="16">
        <f t="shared" si="75"/>
        <v>13000</v>
      </c>
      <c r="L429" s="116">
        <f t="shared" si="76"/>
        <v>0.1733333333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83">
        <v>1.0</v>
      </c>
      <c r="B430" s="84" t="s">
        <v>50</v>
      </c>
      <c r="C430" s="85" t="s">
        <v>89</v>
      </c>
      <c r="D430" s="22">
        <v>6000.0</v>
      </c>
      <c r="E430" s="15">
        <f t="shared" si="73"/>
        <v>6000</v>
      </c>
      <c r="F430" s="2"/>
      <c r="G430" s="2"/>
      <c r="H430" s="2"/>
      <c r="I430" s="87">
        <v>4100.0</v>
      </c>
      <c r="J430" s="16">
        <f t="shared" si="74"/>
        <v>4100</v>
      </c>
      <c r="K430" s="16">
        <f t="shared" si="75"/>
        <v>1900</v>
      </c>
      <c r="L430" s="110">
        <f t="shared" si="76"/>
        <v>0.3166666667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83">
        <v>3.0</v>
      </c>
      <c r="B431" s="84" t="s">
        <v>50</v>
      </c>
      <c r="C431" s="85" t="s">
        <v>17</v>
      </c>
      <c r="D431" s="22">
        <v>6000.0</v>
      </c>
      <c r="E431" s="15">
        <f t="shared" si="73"/>
        <v>18000</v>
      </c>
      <c r="F431" s="2"/>
      <c r="G431" s="2"/>
      <c r="H431" s="2"/>
      <c r="I431" s="87">
        <v>5000.0</v>
      </c>
      <c r="J431" s="16">
        <f t="shared" si="74"/>
        <v>15000</v>
      </c>
      <c r="K431" s="16">
        <f t="shared" si="75"/>
        <v>3000</v>
      </c>
      <c r="L431" s="116">
        <f t="shared" si="76"/>
        <v>0.1666666667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3"/>
      <c r="B432" s="12"/>
      <c r="C432" s="14"/>
      <c r="D432" s="15"/>
      <c r="E432" s="16"/>
      <c r="F432" s="2"/>
      <c r="G432" s="2"/>
      <c r="H432" s="2"/>
      <c r="I432" s="16"/>
      <c r="J432" s="16"/>
      <c r="K432" s="16"/>
      <c r="L432" s="110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3"/>
      <c r="B433" s="12"/>
      <c r="C433" s="14"/>
      <c r="D433" s="15"/>
      <c r="E433" s="16">
        <f>SUM(E424:E432)</f>
        <v>228000</v>
      </c>
      <c r="F433" s="2"/>
      <c r="G433" s="2"/>
      <c r="H433" s="2"/>
      <c r="I433" s="16"/>
      <c r="J433" s="16"/>
      <c r="K433" s="16">
        <f>SUM(K424:K431)</f>
        <v>41290</v>
      </c>
      <c r="L433" s="116">
        <f>K433/E433</f>
        <v>0.1810964912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89" t="s">
        <v>115</v>
      </c>
      <c r="B435" s="24"/>
      <c r="C435" s="24"/>
      <c r="D435" s="81" t="s">
        <v>359</v>
      </c>
      <c r="E435" s="82">
        <v>46073.0</v>
      </c>
      <c r="F435" s="33" t="s">
        <v>13</v>
      </c>
      <c r="G435" s="25"/>
      <c r="H435" s="25"/>
      <c r="I435" s="16"/>
      <c r="J435" s="16"/>
      <c r="K435" s="16"/>
      <c r="L435" s="3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B436" s="25"/>
      <c r="C436" s="35"/>
      <c r="D436" s="25"/>
      <c r="E436" s="25"/>
      <c r="F436" s="25"/>
      <c r="G436" s="25"/>
      <c r="H436" s="25"/>
      <c r="I436" s="16"/>
      <c r="J436" s="16"/>
      <c r="K436" s="16"/>
      <c r="L436" s="34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5" t="s">
        <v>4</v>
      </c>
      <c r="B437" s="10" t="s">
        <v>5</v>
      </c>
      <c r="C437" s="11" t="s">
        <v>6</v>
      </c>
      <c r="D437" s="12" t="s">
        <v>7</v>
      </c>
      <c r="E437" s="10" t="s">
        <v>8</v>
      </c>
      <c r="F437" s="12"/>
      <c r="G437" s="25"/>
      <c r="H437" s="25"/>
      <c r="I437" s="12" t="s">
        <v>7</v>
      </c>
      <c r="J437" s="12" t="s">
        <v>8</v>
      </c>
      <c r="K437" s="12" t="s">
        <v>10</v>
      </c>
      <c r="L437" s="3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83">
        <v>0.5</v>
      </c>
      <c r="B438" s="84" t="s">
        <v>38</v>
      </c>
      <c r="C438" s="85" t="s">
        <v>45</v>
      </c>
      <c r="D438" s="22">
        <v>14000.0</v>
      </c>
      <c r="E438" s="15">
        <f t="shared" ref="E438:E460" si="77">A438*D438</f>
        <v>7000</v>
      </c>
      <c r="F438" s="16"/>
      <c r="G438" s="25"/>
      <c r="H438" s="37"/>
      <c r="I438" s="87">
        <v>10000.0</v>
      </c>
      <c r="J438" s="16">
        <f t="shared" ref="J438:J460" si="78">I438*A438</f>
        <v>5000</v>
      </c>
      <c r="K438" s="16">
        <f t="shared" ref="K438:K460" si="79">E438-J438</f>
        <v>2000</v>
      </c>
      <c r="L438" s="110">
        <f t="shared" ref="L438:L460" si="80">K438/E438</f>
        <v>0.2857142857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83">
        <v>0.5</v>
      </c>
      <c r="B439" s="84" t="s">
        <v>38</v>
      </c>
      <c r="C439" s="85" t="s">
        <v>287</v>
      </c>
      <c r="D439" s="22">
        <v>15000.0</v>
      </c>
      <c r="E439" s="15">
        <f t="shared" si="77"/>
        <v>7500</v>
      </c>
      <c r="F439" s="16"/>
      <c r="G439" s="25"/>
      <c r="H439" s="37"/>
      <c r="I439" s="87">
        <v>10000.0</v>
      </c>
      <c r="J439" s="16">
        <f t="shared" si="78"/>
        <v>5000</v>
      </c>
      <c r="K439" s="16">
        <f t="shared" si="79"/>
        <v>2500</v>
      </c>
      <c r="L439" s="110">
        <f t="shared" si="80"/>
        <v>0.3333333333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83">
        <v>0.5</v>
      </c>
      <c r="B440" s="84" t="s">
        <v>38</v>
      </c>
      <c r="C440" s="85" t="s">
        <v>47</v>
      </c>
      <c r="D440" s="22">
        <v>13000.0</v>
      </c>
      <c r="E440" s="15">
        <f t="shared" si="77"/>
        <v>6500</v>
      </c>
      <c r="F440" s="16"/>
      <c r="G440" s="25"/>
      <c r="H440" s="37"/>
      <c r="I440" s="87">
        <v>8000.0</v>
      </c>
      <c r="J440" s="16">
        <f t="shared" si="78"/>
        <v>4000</v>
      </c>
      <c r="K440" s="16">
        <f t="shared" si="79"/>
        <v>2500</v>
      </c>
      <c r="L440" s="110">
        <f t="shared" si="80"/>
        <v>0.3846153846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83">
        <v>2.0</v>
      </c>
      <c r="B441" s="84" t="s">
        <v>18</v>
      </c>
      <c r="C441" s="85" t="s">
        <v>103</v>
      </c>
      <c r="D441" s="22">
        <v>16000.0</v>
      </c>
      <c r="E441" s="15">
        <f t="shared" si="77"/>
        <v>32000</v>
      </c>
      <c r="F441" s="16"/>
      <c r="G441" s="25"/>
      <c r="H441" s="37"/>
      <c r="I441" s="87">
        <v>12000.0</v>
      </c>
      <c r="J441" s="16">
        <f t="shared" si="78"/>
        <v>24000</v>
      </c>
      <c r="K441" s="16">
        <f t="shared" si="79"/>
        <v>8000</v>
      </c>
      <c r="L441" s="110">
        <f t="shared" si="80"/>
        <v>0.25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83">
        <v>1.0</v>
      </c>
      <c r="B442" s="84" t="s">
        <v>18</v>
      </c>
      <c r="C442" s="85" t="s">
        <v>21</v>
      </c>
      <c r="D442" s="22">
        <v>58000.0</v>
      </c>
      <c r="E442" s="15">
        <f t="shared" si="77"/>
        <v>58000</v>
      </c>
      <c r="F442" s="16"/>
      <c r="G442" s="25"/>
      <c r="H442" s="37"/>
      <c r="I442" s="87">
        <v>48000.0</v>
      </c>
      <c r="J442" s="16">
        <f t="shared" si="78"/>
        <v>48000</v>
      </c>
      <c r="K442" s="16">
        <f t="shared" si="79"/>
        <v>10000</v>
      </c>
      <c r="L442" s="110">
        <f t="shared" si="80"/>
        <v>0.1724137931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83">
        <v>2.0</v>
      </c>
      <c r="B443" s="84" t="s">
        <v>33</v>
      </c>
      <c r="C443" s="85" t="s">
        <v>199</v>
      </c>
      <c r="D443" s="22">
        <v>21000.0</v>
      </c>
      <c r="E443" s="15">
        <f t="shared" si="77"/>
        <v>42000</v>
      </c>
      <c r="F443" s="16"/>
      <c r="G443" s="25"/>
      <c r="H443" s="37"/>
      <c r="I443" s="87">
        <v>16000.0</v>
      </c>
      <c r="J443" s="16">
        <f t="shared" si="78"/>
        <v>32000</v>
      </c>
      <c r="K443" s="16">
        <f t="shared" si="79"/>
        <v>10000</v>
      </c>
      <c r="L443" s="110">
        <f t="shared" si="80"/>
        <v>0.2380952381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83">
        <v>4.0</v>
      </c>
      <c r="B444" s="84" t="s">
        <v>5</v>
      </c>
      <c r="C444" s="85" t="s">
        <v>176</v>
      </c>
      <c r="D444" s="22">
        <v>1000.0</v>
      </c>
      <c r="E444" s="15">
        <f t="shared" si="77"/>
        <v>4000</v>
      </c>
      <c r="F444" s="16"/>
      <c r="G444" s="25"/>
      <c r="H444" s="37"/>
      <c r="I444" s="87">
        <v>560.0</v>
      </c>
      <c r="J444" s="16">
        <f t="shared" si="78"/>
        <v>2240</v>
      </c>
      <c r="K444" s="16">
        <f t="shared" si="79"/>
        <v>1760</v>
      </c>
      <c r="L444" s="115">
        <f t="shared" si="80"/>
        <v>0.44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83">
        <v>1.0</v>
      </c>
      <c r="B445" s="84" t="s">
        <v>5</v>
      </c>
      <c r="C445" s="85" t="s">
        <v>104</v>
      </c>
      <c r="D445" s="22">
        <v>2500.0</v>
      </c>
      <c r="E445" s="15">
        <f t="shared" si="77"/>
        <v>2500</v>
      </c>
      <c r="F445" s="16"/>
      <c r="G445" s="25"/>
      <c r="H445" s="37"/>
      <c r="I445" s="87">
        <v>1500.0</v>
      </c>
      <c r="J445" s="16">
        <f t="shared" si="78"/>
        <v>1500</v>
      </c>
      <c r="K445" s="16">
        <f t="shared" si="79"/>
        <v>1000</v>
      </c>
      <c r="L445" s="115">
        <f t="shared" si="80"/>
        <v>0.4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83">
        <v>6.0</v>
      </c>
      <c r="B446" s="84" t="s">
        <v>33</v>
      </c>
      <c r="C446" s="85" t="s">
        <v>360</v>
      </c>
      <c r="D446" s="22">
        <v>1600.0</v>
      </c>
      <c r="E446" s="15">
        <f t="shared" si="77"/>
        <v>9600</v>
      </c>
      <c r="F446" s="16"/>
      <c r="G446" s="25"/>
      <c r="H446" s="37"/>
      <c r="I446" s="87">
        <f>18000/17</f>
        <v>1058.823529</v>
      </c>
      <c r="J446" s="16">
        <f t="shared" si="78"/>
        <v>6352.941176</v>
      </c>
      <c r="K446" s="16">
        <f t="shared" si="79"/>
        <v>3247.058824</v>
      </c>
      <c r="L446" s="110">
        <f t="shared" si="80"/>
        <v>0.3382352941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83">
        <v>1.0</v>
      </c>
      <c r="B447" s="84" t="s">
        <v>33</v>
      </c>
      <c r="C447" s="85" t="s">
        <v>180</v>
      </c>
      <c r="D447" s="22">
        <v>1500.0</v>
      </c>
      <c r="E447" s="15">
        <f t="shared" si="77"/>
        <v>1500</v>
      </c>
      <c r="F447" s="16"/>
      <c r="G447" s="25"/>
      <c r="H447" s="37"/>
      <c r="I447" s="87">
        <f>10500/12</f>
        <v>875</v>
      </c>
      <c r="J447" s="16">
        <f t="shared" si="78"/>
        <v>875</v>
      </c>
      <c r="K447" s="16">
        <f t="shared" si="79"/>
        <v>625</v>
      </c>
      <c r="L447" s="110">
        <f t="shared" si="80"/>
        <v>0.4166666667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83">
        <v>3.0</v>
      </c>
      <c r="B448" s="84" t="s">
        <v>33</v>
      </c>
      <c r="C448" s="85" t="s">
        <v>24</v>
      </c>
      <c r="D448" s="22">
        <v>4500.0</v>
      </c>
      <c r="E448" s="15">
        <f t="shared" si="77"/>
        <v>13500</v>
      </c>
      <c r="F448" s="16"/>
      <c r="G448" s="25"/>
      <c r="H448" s="37"/>
      <c r="I448" s="87">
        <f>28000/8</f>
        <v>3500</v>
      </c>
      <c r="J448" s="16">
        <f t="shared" si="78"/>
        <v>10500</v>
      </c>
      <c r="K448" s="16">
        <f t="shared" si="79"/>
        <v>3000</v>
      </c>
      <c r="L448" s="110">
        <f t="shared" si="80"/>
        <v>0.2222222222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83">
        <v>1.0</v>
      </c>
      <c r="B449" s="84" t="s">
        <v>50</v>
      </c>
      <c r="C449" s="85" t="s">
        <v>12</v>
      </c>
      <c r="D449" s="22">
        <v>3000.0</v>
      </c>
      <c r="E449" s="15">
        <f t="shared" si="77"/>
        <v>3000</v>
      </c>
      <c r="F449" s="16"/>
      <c r="G449" s="25"/>
      <c r="H449" s="37"/>
      <c r="I449" s="87">
        <v>2000.0</v>
      </c>
      <c r="J449" s="16">
        <f t="shared" si="78"/>
        <v>2000</v>
      </c>
      <c r="K449" s="16">
        <f t="shared" si="79"/>
        <v>1000</v>
      </c>
      <c r="L449" s="115">
        <f t="shared" si="80"/>
        <v>0.3333333333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83">
        <v>1.0</v>
      </c>
      <c r="B450" s="84" t="s">
        <v>50</v>
      </c>
      <c r="C450" s="85" t="s">
        <v>14</v>
      </c>
      <c r="D450" s="22">
        <v>3000.0</v>
      </c>
      <c r="E450" s="15">
        <f t="shared" si="77"/>
        <v>3000</v>
      </c>
      <c r="F450" s="16"/>
      <c r="G450" s="25"/>
      <c r="H450" s="37"/>
      <c r="I450" s="87">
        <v>2000.0</v>
      </c>
      <c r="J450" s="16">
        <f t="shared" si="78"/>
        <v>2000</v>
      </c>
      <c r="K450" s="16">
        <f t="shared" si="79"/>
        <v>1000</v>
      </c>
      <c r="L450" s="115">
        <f t="shared" si="80"/>
        <v>0.3333333333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83">
        <v>3.0</v>
      </c>
      <c r="B451" s="84" t="s">
        <v>50</v>
      </c>
      <c r="C451" s="85" t="s">
        <v>16</v>
      </c>
      <c r="D451" s="22">
        <v>1000.0</v>
      </c>
      <c r="E451" s="15">
        <f t="shared" si="77"/>
        <v>3000</v>
      </c>
      <c r="F451" s="16"/>
      <c r="G451" s="25"/>
      <c r="H451" s="37"/>
      <c r="I451" s="87">
        <v>500.0</v>
      </c>
      <c r="J451" s="16">
        <f t="shared" si="78"/>
        <v>1500</v>
      </c>
      <c r="K451" s="16">
        <f t="shared" si="79"/>
        <v>1500</v>
      </c>
      <c r="L451" s="110">
        <f t="shared" si="80"/>
        <v>0.5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83">
        <v>1.0</v>
      </c>
      <c r="B452" s="84" t="s">
        <v>50</v>
      </c>
      <c r="C452" s="85" t="s">
        <v>17</v>
      </c>
      <c r="D452" s="22">
        <v>6500.0</v>
      </c>
      <c r="E452" s="15">
        <f t="shared" si="77"/>
        <v>6500</v>
      </c>
      <c r="F452" s="16"/>
      <c r="G452" s="25"/>
      <c r="H452" s="37"/>
      <c r="I452" s="87">
        <v>5000.0</v>
      </c>
      <c r="J452" s="16">
        <f t="shared" si="78"/>
        <v>5000</v>
      </c>
      <c r="K452" s="16">
        <f t="shared" si="79"/>
        <v>1500</v>
      </c>
      <c r="L452" s="110">
        <f t="shared" si="80"/>
        <v>0.2307692308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83">
        <v>1.0</v>
      </c>
      <c r="B453" s="84" t="s">
        <v>18</v>
      </c>
      <c r="C453" s="85" t="s">
        <v>65</v>
      </c>
      <c r="D453" s="22">
        <v>9000.0</v>
      </c>
      <c r="E453" s="15">
        <f t="shared" si="77"/>
        <v>9000</v>
      </c>
      <c r="F453" s="16"/>
      <c r="G453" s="25"/>
      <c r="H453" s="37"/>
      <c r="I453" s="87">
        <v>6000.0</v>
      </c>
      <c r="J453" s="16">
        <f t="shared" si="78"/>
        <v>6000</v>
      </c>
      <c r="K453" s="16">
        <f t="shared" si="79"/>
        <v>3000</v>
      </c>
      <c r="L453" s="110">
        <f t="shared" si="80"/>
        <v>0.3333333333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83">
        <v>1.0</v>
      </c>
      <c r="B454" s="84" t="s">
        <v>18</v>
      </c>
      <c r="C454" s="85" t="s">
        <v>113</v>
      </c>
      <c r="D454" s="22">
        <v>13000.0</v>
      </c>
      <c r="E454" s="15">
        <f t="shared" si="77"/>
        <v>13000</v>
      </c>
      <c r="F454" s="16"/>
      <c r="G454" s="25"/>
      <c r="H454" s="37"/>
      <c r="I454" s="87">
        <v>9000.0</v>
      </c>
      <c r="J454" s="16">
        <f t="shared" si="78"/>
        <v>9000</v>
      </c>
      <c r="K454" s="16">
        <f t="shared" si="79"/>
        <v>4000</v>
      </c>
      <c r="L454" s="110">
        <f t="shared" si="80"/>
        <v>0.3076923077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83">
        <v>0.5</v>
      </c>
      <c r="B455" s="84" t="s">
        <v>33</v>
      </c>
      <c r="C455" s="85" t="s">
        <v>361</v>
      </c>
      <c r="D455" s="22">
        <v>9000.0</v>
      </c>
      <c r="E455" s="15">
        <f t="shared" si="77"/>
        <v>4500</v>
      </c>
      <c r="F455" s="16"/>
      <c r="G455" s="25"/>
      <c r="H455" s="37"/>
      <c r="I455" s="87">
        <v>6000.0</v>
      </c>
      <c r="J455" s="16">
        <f t="shared" si="78"/>
        <v>3000</v>
      </c>
      <c r="K455" s="16">
        <f t="shared" si="79"/>
        <v>1500</v>
      </c>
      <c r="L455" s="115">
        <f t="shared" si="80"/>
        <v>0.3333333333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83">
        <v>1.0</v>
      </c>
      <c r="B456" s="84" t="s">
        <v>33</v>
      </c>
      <c r="C456" s="85" t="s">
        <v>86</v>
      </c>
      <c r="D456" s="22">
        <v>4000.0</v>
      </c>
      <c r="E456" s="15">
        <f t="shared" si="77"/>
        <v>4000</v>
      </c>
      <c r="F456" s="16"/>
      <c r="G456" s="25"/>
      <c r="H456" s="37"/>
      <c r="I456" s="87">
        <v>3000.0</v>
      </c>
      <c r="J456" s="16">
        <f t="shared" si="78"/>
        <v>3000</v>
      </c>
      <c r="K456" s="16">
        <f t="shared" si="79"/>
        <v>1000</v>
      </c>
      <c r="L456" s="110">
        <f t="shared" si="80"/>
        <v>0.25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83">
        <v>0.5</v>
      </c>
      <c r="B457" s="84" t="s">
        <v>18</v>
      </c>
      <c r="C457" s="85" t="s">
        <v>39</v>
      </c>
      <c r="D457" s="22">
        <v>18000.0</v>
      </c>
      <c r="E457" s="15">
        <f t="shared" si="77"/>
        <v>9000</v>
      </c>
      <c r="F457" s="16"/>
      <c r="G457" s="25"/>
      <c r="H457" s="37"/>
      <c r="I457" s="87">
        <v>14000.0</v>
      </c>
      <c r="J457" s="16">
        <f t="shared" si="78"/>
        <v>7000</v>
      </c>
      <c r="K457" s="16">
        <f t="shared" si="79"/>
        <v>2000</v>
      </c>
      <c r="L457" s="110">
        <f t="shared" si="80"/>
        <v>0.2222222222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83">
        <v>1.0</v>
      </c>
      <c r="B458" s="84" t="s">
        <v>18</v>
      </c>
      <c r="C458" s="85" t="s">
        <v>119</v>
      </c>
      <c r="D458" s="22">
        <v>35000.0</v>
      </c>
      <c r="E458" s="15">
        <f t="shared" si="77"/>
        <v>35000</v>
      </c>
      <c r="F458" s="16"/>
      <c r="G458" s="25"/>
      <c r="H458" s="37"/>
      <c r="I458" s="87">
        <v>20000.0</v>
      </c>
      <c r="J458" s="16">
        <f t="shared" si="78"/>
        <v>20000</v>
      </c>
      <c r="K458" s="16">
        <f t="shared" si="79"/>
        <v>15000</v>
      </c>
      <c r="L458" s="110">
        <f t="shared" si="80"/>
        <v>0.4285714286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83">
        <v>1.0</v>
      </c>
      <c r="B459" s="84" t="s">
        <v>50</v>
      </c>
      <c r="C459" s="85" t="s">
        <v>205</v>
      </c>
      <c r="D459" s="22">
        <v>3000.0</v>
      </c>
      <c r="E459" s="15">
        <f t="shared" si="77"/>
        <v>3000</v>
      </c>
      <c r="F459" s="16"/>
      <c r="G459" s="25"/>
      <c r="H459" s="37"/>
      <c r="I459" s="87">
        <v>2000.0</v>
      </c>
      <c r="J459" s="16">
        <f t="shared" si="78"/>
        <v>2000</v>
      </c>
      <c r="K459" s="16">
        <f t="shared" si="79"/>
        <v>1000</v>
      </c>
      <c r="L459" s="110">
        <f t="shared" si="80"/>
        <v>0.3333333333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83">
        <v>0.25</v>
      </c>
      <c r="B460" s="84" t="s">
        <v>33</v>
      </c>
      <c r="C460" s="85" t="s">
        <v>249</v>
      </c>
      <c r="D460" s="22">
        <v>11000.0</v>
      </c>
      <c r="E460" s="15">
        <f t="shared" si="77"/>
        <v>2750</v>
      </c>
      <c r="F460" s="16"/>
      <c r="G460" s="25"/>
      <c r="H460" s="37"/>
      <c r="I460" s="87">
        <v>8000.0</v>
      </c>
      <c r="J460" s="16">
        <f t="shared" si="78"/>
        <v>2000</v>
      </c>
      <c r="K460" s="16">
        <f t="shared" si="79"/>
        <v>750</v>
      </c>
      <c r="L460" s="110">
        <f t="shared" si="80"/>
        <v>0.2727272727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3"/>
      <c r="B461" s="12"/>
      <c r="C461" s="14"/>
      <c r="D461" s="15"/>
      <c r="E461" s="16"/>
      <c r="F461" s="16"/>
      <c r="H461" s="25"/>
      <c r="I461" s="16"/>
      <c r="J461" s="16"/>
      <c r="K461" s="16"/>
      <c r="L461" s="36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3"/>
      <c r="B462" s="12"/>
      <c r="C462" s="14"/>
      <c r="D462" s="15"/>
      <c r="E462" s="16">
        <f>SUM(E438:E461)</f>
        <v>279850</v>
      </c>
      <c r="F462" s="16"/>
      <c r="G462" s="25"/>
      <c r="H462" s="25"/>
      <c r="I462" s="16"/>
      <c r="J462" s="16"/>
      <c r="K462" s="16">
        <f>SUM(K438:K460)</f>
        <v>77882.05882</v>
      </c>
      <c r="L462" s="110">
        <f>K462/E462</f>
        <v>0.278299299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89" t="s">
        <v>108</v>
      </c>
      <c r="B465" s="24"/>
      <c r="C465" s="24"/>
      <c r="D465" s="81" t="s">
        <v>101</v>
      </c>
      <c r="E465" s="82">
        <v>46073.0</v>
      </c>
      <c r="F465" s="33" t="s">
        <v>13</v>
      </c>
      <c r="G465" s="25"/>
      <c r="H465" s="25"/>
      <c r="I465" s="16"/>
      <c r="J465" s="16"/>
      <c r="K465" s="16"/>
      <c r="L465" s="3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B466" s="25"/>
      <c r="C466" s="35"/>
      <c r="D466" s="25"/>
      <c r="E466" s="25"/>
      <c r="F466" s="25"/>
      <c r="G466" s="25"/>
      <c r="H466" s="25"/>
      <c r="I466" s="16"/>
      <c r="J466" s="16"/>
      <c r="K466" s="16"/>
      <c r="L466" s="3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5" t="s">
        <v>4</v>
      </c>
      <c r="B467" s="10" t="s">
        <v>5</v>
      </c>
      <c r="C467" s="11" t="s">
        <v>6</v>
      </c>
      <c r="D467" s="12" t="s">
        <v>7</v>
      </c>
      <c r="E467" s="10" t="s">
        <v>8</v>
      </c>
      <c r="F467" s="12"/>
      <c r="G467" s="25"/>
      <c r="H467" s="25"/>
      <c r="I467" s="12" t="s">
        <v>7</v>
      </c>
      <c r="J467" s="12" t="s">
        <v>8</v>
      </c>
      <c r="K467" s="12" t="s">
        <v>10</v>
      </c>
      <c r="L467" s="3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83">
        <v>0.5</v>
      </c>
      <c r="B468" s="84" t="s">
        <v>18</v>
      </c>
      <c r="C468" s="85" t="s">
        <v>21</v>
      </c>
      <c r="D468" s="22">
        <v>58000.0</v>
      </c>
      <c r="E468" s="15">
        <f t="shared" ref="E468:E478" si="81">A468*D468</f>
        <v>29000</v>
      </c>
      <c r="F468" s="16"/>
      <c r="G468" s="25"/>
      <c r="H468" s="37"/>
      <c r="I468" s="87">
        <v>48000.0</v>
      </c>
      <c r="J468" s="16">
        <f t="shared" ref="J468:J478" si="82">I468*A468</f>
        <v>24000</v>
      </c>
      <c r="K468" s="16">
        <f t="shared" ref="K468:K478" si="83">E468-J468</f>
        <v>5000</v>
      </c>
      <c r="L468" s="110">
        <f t="shared" ref="L468:L478" si="84">K468/E468</f>
        <v>0.1724137931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83">
        <v>1.0</v>
      </c>
      <c r="B469" s="84" t="s">
        <v>50</v>
      </c>
      <c r="C469" s="85" t="s">
        <v>104</v>
      </c>
      <c r="D469" s="22">
        <v>2500.0</v>
      </c>
      <c r="E469" s="15">
        <f t="shared" si="81"/>
        <v>2500</v>
      </c>
      <c r="F469" s="16"/>
      <c r="G469" s="25"/>
      <c r="H469" s="37"/>
      <c r="I469" s="87">
        <v>1500.0</v>
      </c>
      <c r="J469" s="16">
        <f t="shared" si="82"/>
        <v>1500</v>
      </c>
      <c r="K469" s="16">
        <f t="shared" si="83"/>
        <v>1000</v>
      </c>
      <c r="L469" s="110">
        <f t="shared" si="84"/>
        <v>0.4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83">
        <v>1.0</v>
      </c>
      <c r="B470" s="84" t="s">
        <v>50</v>
      </c>
      <c r="C470" s="85" t="s">
        <v>271</v>
      </c>
      <c r="D470" s="22">
        <v>3000.0</v>
      </c>
      <c r="E470" s="15">
        <f t="shared" si="81"/>
        <v>3000</v>
      </c>
      <c r="F470" s="16"/>
      <c r="G470" s="25"/>
      <c r="H470" s="37"/>
      <c r="I470" s="87">
        <v>2000.0</v>
      </c>
      <c r="J470" s="16">
        <f t="shared" si="82"/>
        <v>2000</v>
      </c>
      <c r="K470" s="16">
        <f t="shared" si="83"/>
        <v>1000</v>
      </c>
      <c r="L470" s="110">
        <f t="shared" si="84"/>
        <v>0.3333333333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83">
        <v>3.0</v>
      </c>
      <c r="B471" s="84" t="s">
        <v>33</v>
      </c>
      <c r="C471" s="85" t="s">
        <v>24</v>
      </c>
      <c r="D471" s="22">
        <v>4500.0</v>
      </c>
      <c r="E471" s="15">
        <f t="shared" si="81"/>
        <v>13500</v>
      </c>
      <c r="F471" s="16"/>
      <c r="G471" s="25"/>
      <c r="H471" s="37"/>
      <c r="I471" s="87">
        <f>28000/8</f>
        <v>3500</v>
      </c>
      <c r="J471" s="16">
        <f t="shared" si="82"/>
        <v>10500</v>
      </c>
      <c r="K471" s="16">
        <f t="shared" si="83"/>
        <v>3000</v>
      </c>
      <c r="L471" s="110">
        <f t="shared" si="84"/>
        <v>0.2222222222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83">
        <v>1.0</v>
      </c>
      <c r="B472" s="84" t="s">
        <v>50</v>
      </c>
      <c r="C472" s="85" t="s">
        <v>17</v>
      </c>
      <c r="D472" s="22">
        <v>6500.0</v>
      </c>
      <c r="E472" s="15">
        <f t="shared" si="81"/>
        <v>6500</v>
      </c>
      <c r="F472" s="16"/>
      <c r="G472" s="25"/>
      <c r="H472" s="37"/>
      <c r="I472" s="87">
        <v>5000.0</v>
      </c>
      <c r="J472" s="16">
        <f t="shared" si="82"/>
        <v>5000</v>
      </c>
      <c r="K472" s="16">
        <f t="shared" si="83"/>
        <v>1500</v>
      </c>
      <c r="L472" s="110">
        <f t="shared" si="84"/>
        <v>0.2307692308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83">
        <v>12.0</v>
      </c>
      <c r="B473" s="84" t="s">
        <v>5</v>
      </c>
      <c r="C473" s="85" t="s">
        <v>87</v>
      </c>
      <c r="D473" s="22">
        <v>1300.0</v>
      </c>
      <c r="E473" s="15">
        <f t="shared" si="81"/>
        <v>15600</v>
      </c>
      <c r="F473" s="16"/>
      <c r="G473" s="25"/>
      <c r="H473" s="37"/>
      <c r="I473" s="87">
        <f>62000/80</f>
        <v>775</v>
      </c>
      <c r="J473" s="16">
        <f t="shared" si="82"/>
        <v>9300</v>
      </c>
      <c r="K473" s="16">
        <f t="shared" si="83"/>
        <v>6300</v>
      </c>
      <c r="L473" s="110">
        <f t="shared" si="84"/>
        <v>0.4038461538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83">
        <v>1.0</v>
      </c>
      <c r="B474" s="84" t="s">
        <v>50</v>
      </c>
      <c r="C474" s="85" t="s">
        <v>171</v>
      </c>
      <c r="D474" s="22">
        <v>3000.0</v>
      </c>
      <c r="E474" s="15">
        <f t="shared" si="81"/>
        <v>3000</v>
      </c>
      <c r="F474" s="16"/>
      <c r="G474" s="25"/>
      <c r="H474" s="37"/>
      <c r="I474" s="87">
        <v>2000.0</v>
      </c>
      <c r="J474" s="16">
        <f t="shared" si="82"/>
        <v>2000</v>
      </c>
      <c r="K474" s="16">
        <f t="shared" si="83"/>
        <v>1000</v>
      </c>
      <c r="L474" s="110">
        <f t="shared" si="84"/>
        <v>0.3333333333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83">
        <v>1.0</v>
      </c>
      <c r="B475" s="84" t="s">
        <v>18</v>
      </c>
      <c r="C475" s="85" t="s">
        <v>65</v>
      </c>
      <c r="D475" s="22">
        <v>9000.0</v>
      </c>
      <c r="E475" s="15">
        <f t="shared" si="81"/>
        <v>9000</v>
      </c>
      <c r="F475" s="16"/>
      <c r="G475" s="25"/>
      <c r="H475" s="37"/>
      <c r="I475" s="87">
        <v>6000.0</v>
      </c>
      <c r="J475" s="16">
        <f t="shared" si="82"/>
        <v>6000</v>
      </c>
      <c r="K475" s="16">
        <f t="shared" si="83"/>
        <v>3000</v>
      </c>
      <c r="L475" s="110">
        <f t="shared" si="84"/>
        <v>0.3333333333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83">
        <v>0.5</v>
      </c>
      <c r="B476" s="84" t="s">
        <v>18</v>
      </c>
      <c r="C476" s="85" t="s">
        <v>113</v>
      </c>
      <c r="D476" s="22">
        <v>13000.0</v>
      </c>
      <c r="E476" s="15">
        <f t="shared" si="81"/>
        <v>6500</v>
      </c>
      <c r="F476" s="16"/>
      <c r="G476" s="25"/>
      <c r="H476" s="37"/>
      <c r="I476" s="87">
        <v>9000.0</v>
      </c>
      <c r="J476" s="16">
        <f t="shared" si="82"/>
        <v>4500</v>
      </c>
      <c r="K476" s="16">
        <f t="shared" si="83"/>
        <v>2000</v>
      </c>
      <c r="L476" s="115">
        <f t="shared" si="84"/>
        <v>0.3076923077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83">
        <v>2.0</v>
      </c>
      <c r="B477" s="84" t="s">
        <v>33</v>
      </c>
      <c r="C477" s="85" t="s">
        <v>56</v>
      </c>
      <c r="D477" s="22">
        <v>2400.0</v>
      </c>
      <c r="E477" s="15">
        <f t="shared" si="81"/>
        <v>4800</v>
      </c>
      <c r="F477" s="16"/>
      <c r="G477" s="25"/>
      <c r="H477" s="37"/>
      <c r="I477" s="87">
        <f>28000/17</f>
        <v>1647.058824</v>
      </c>
      <c r="J477" s="16">
        <f t="shared" si="82"/>
        <v>3294.117647</v>
      </c>
      <c r="K477" s="16">
        <f t="shared" si="83"/>
        <v>1505.882353</v>
      </c>
      <c r="L477" s="110">
        <f t="shared" si="84"/>
        <v>0.3137254902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83">
        <v>1.0</v>
      </c>
      <c r="B478" s="84" t="s">
        <v>50</v>
      </c>
      <c r="C478" s="85" t="s">
        <v>68</v>
      </c>
      <c r="D478" s="22">
        <v>3000.0</v>
      </c>
      <c r="E478" s="15">
        <f t="shared" si="81"/>
        <v>3000</v>
      </c>
      <c r="F478" s="16"/>
      <c r="G478" s="25"/>
      <c r="H478" s="37"/>
      <c r="I478" s="87">
        <v>1000.0</v>
      </c>
      <c r="J478" s="16">
        <f t="shared" si="82"/>
        <v>1000</v>
      </c>
      <c r="K478" s="16">
        <f t="shared" si="83"/>
        <v>2000</v>
      </c>
      <c r="L478" s="115">
        <f t="shared" si="84"/>
        <v>0.6666666667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3"/>
      <c r="B479" s="12"/>
      <c r="C479" s="14"/>
      <c r="D479" s="15"/>
      <c r="E479" s="16"/>
      <c r="F479" s="16"/>
      <c r="H479" s="25"/>
      <c r="I479" s="16"/>
      <c r="J479" s="16"/>
      <c r="K479" s="16"/>
      <c r="L479" s="36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3"/>
      <c r="B480" s="12"/>
      <c r="C480" s="14"/>
      <c r="D480" s="15"/>
      <c r="E480" s="16">
        <f>SUM(E468:E479)</f>
        <v>96400</v>
      </c>
      <c r="F480" s="16"/>
      <c r="G480" s="25"/>
      <c r="H480" s="25"/>
      <c r="I480" s="16"/>
      <c r="J480" s="16"/>
      <c r="K480" s="16">
        <f>SUM(K468:K478)</f>
        <v>27305.88235</v>
      </c>
      <c r="L480" s="110">
        <f>K480/E480</f>
        <v>0.283256041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89" t="s">
        <v>362</v>
      </c>
      <c r="B483" s="24"/>
      <c r="C483" s="24"/>
      <c r="D483" s="81" t="s">
        <v>44</v>
      </c>
      <c r="E483" s="82">
        <v>46073.0</v>
      </c>
      <c r="F483" s="33" t="s">
        <v>13</v>
      </c>
      <c r="G483" s="25"/>
      <c r="H483" s="25"/>
      <c r="I483" s="16"/>
      <c r="J483" s="16"/>
      <c r="K483" s="16"/>
      <c r="L483" s="34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B484" s="25"/>
      <c r="C484" s="35"/>
      <c r="D484" s="25"/>
      <c r="E484" s="25"/>
      <c r="F484" s="25"/>
      <c r="G484" s="25"/>
      <c r="H484" s="25"/>
      <c r="I484" s="16"/>
      <c r="J484" s="16"/>
      <c r="K484" s="16"/>
      <c r="L484" s="34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5" t="s">
        <v>4</v>
      </c>
      <c r="B485" s="10" t="s">
        <v>5</v>
      </c>
      <c r="C485" s="11" t="s">
        <v>6</v>
      </c>
      <c r="D485" s="12" t="s">
        <v>7</v>
      </c>
      <c r="E485" s="10" t="s">
        <v>8</v>
      </c>
      <c r="F485" s="12"/>
      <c r="G485" s="25"/>
      <c r="H485" s="25"/>
      <c r="I485" s="12" t="s">
        <v>7</v>
      </c>
      <c r="J485" s="12" t="s">
        <v>8</v>
      </c>
      <c r="K485" s="12" t="s">
        <v>10</v>
      </c>
      <c r="L485" s="34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83">
        <v>5.0</v>
      </c>
      <c r="B486" s="84" t="s">
        <v>33</v>
      </c>
      <c r="C486" s="85" t="s">
        <v>111</v>
      </c>
      <c r="D486" s="22">
        <v>1800.0</v>
      </c>
      <c r="E486" s="15">
        <f t="shared" ref="E486:E488" si="85">A486*D486</f>
        <v>9000</v>
      </c>
      <c r="F486" s="16"/>
      <c r="G486" s="25"/>
      <c r="H486" s="37"/>
      <c r="I486" s="87">
        <f>20000/15</f>
        <v>1333.333333</v>
      </c>
      <c r="J486" s="16">
        <f t="shared" ref="J486:J488" si="86">I486*A486</f>
        <v>6666.666667</v>
      </c>
      <c r="K486" s="16">
        <f t="shared" ref="K486:K488" si="87">E486-J486</f>
        <v>2333.333333</v>
      </c>
      <c r="L486" s="110">
        <f t="shared" ref="L486:L488" si="88">K486/E486</f>
        <v>0.2592592593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83">
        <v>0.5</v>
      </c>
      <c r="B487" s="84" t="s">
        <v>363</v>
      </c>
      <c r="C487" s="85" t="s">
        <v>102</v>
      </c>
      <c r="D487" s="22">
        <v>16000.0</v>
      </c>
      <c r="E487" s="15">
        <f t="shared" si="85"/>
        <v>8000</v>
      </c>
      <c r="F487" s="16"/>
      <c r="G487" s="25"/>
      <c r="H487" s="37"/>
      <c r="I487" s="87">
        <v>10000.0</v>
      </c>
      <c r="J487" s="16">
        <f t="shared" si="86"/>
        <v>5000</v>
      </c>
      <c r="K487" s="16">
        <f t="shared" si="87"/>
        <v>3000</v>
      </c>
      <c r="L487" s="110">
        <f t="shared" si="88"/>
        <v>0.375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83">
        <v>1.0</v>
      </c>
      <c r="B488" s="84" t="s">
        <v>18</v>
      </c>
      <c r="C488" s="85" t="s">
        <v>31</v>
      </c>
      <c r="D488" s="22">
        <v>34000.0</v>
      </c>
      <c r="E488" s="15">
        <f t="shared" si="85"/>
        <v>34000</v>
      </c>
      <c r="F488" s="16"/>
      <c r="G488" s="25"/>
      <c r="H488" s="37"/>
      <c r="I488" s="87">
        <v>15000.0</v>
      </c>
      <c r="J488" s="16">
        <f t="shared" si="86"/>
        <v>15000</v>
      </c>
      <c r="K488" s="16">
        <f t="shared" si="87"/>
        <v>19000</v>
      </c>
      <c r="L488" s="110">
        <f t="shared" si="88"/>
        <v>0.5588235294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3"/>
      <c r="B489" s="12"/>
      <c r="C489" s="14"/>
      <c r="D489" s="15"/>
      <c r="E489" s="16"/>
      <c r="F489" s="16"/>
      <c r="H489" s="25"/>
      <c r="I489" s="16"/>
      <c r="J489" s="16"/>
      <c r="K489" s="16"/>
      <c r="L489" s="36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3"/>
      <c r="B490" s="12"/>
      <c r="C490" s="14"/>
      <c r="D490" s="15"/>
      <c r="E490" s="16">
        <f>SUM(E486:E489)</f>
        <v>51000</v>
      </c>
      <c r="F490" s="16"/>
      <c r="G490" s="25"/>
      <c r="H490" s="25"/>
      <c r="I490" s="16"/>
      <c r="J490" s="16"/>
      <c r="K490" s="16">
        <f>SUM(K486:K488)</f>
        <v>24333.33333</v>
      </c>
      <c r="L490" s="110">
        <f>K490/E490</f>
        <v>0.477124183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89" t="s">
        <v>100</v>
      </c>
      <c r="B493" s="24"/>
      <c r="C493" s="24"/>
      <c r="D493" s="81" t="s">
        <v>291</v>
      </c>
      <c r="E493" s="82">
        <v>46073.0</v>
      </c>
      <c r="F493" s="33" t="s">
        <v>13</v>
      </c>
      <c r="G493" s="98" t="s">
        <v>13</v>
      </c>
      <c r="H493" s="25"/>
      <c r="I493" s="16"/>
      <c r="J493" s="16"/>
      <c r="K493" s="16"/>
      <c r="L493" s="3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B494" s="25"/>
      <c r="C494" s="35"/>
      <c r="D494" s="25"/>
      <c r="E494" s="25"/>
      <c r="F494" s="25"/>
      <c r="G494" s="25"/>
      <c r="H494" s="25"/>
      <c r="I494" s="16"/>
      <c r="J494" s="16"/>
      <c r="K494" s="16"/>
      <c r="L494" s="3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5" t="s">
        <v>4</v>
      </c>
      <c r="B495" s="10" t="s">
        <v>5</v>
      </c>
      <c r="C495" s="11" t="s">
        <v>6</v>
      </c>
      <c r="D495" s="12" t="s">
        <v>7</v>
      </c>
      <c r="E495" s="10" t="s">
        <v>8</v>
      </c>
      <c r="F495" s="12"/>
      <c r="G495" s="25"/>
      <c r="H495" s="25"/>
      <c r="I495" s="12" t="s">
        <v>7</v>
      </c>
      <c r="J495" s="12" t="s">
        <v>8</v>
      </c>
      <c r="K495" s="12" t="s">
        <v>10</v>
      </c>
      <c r="L495" s="1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83">
        <v>1.0</v>
      </c>
      <c r="B496" s="84" t="s">
        <v>18</v>
      </c>
      <c r="C496" s="85" t="s">
        <v>65</v>
      </c>
      <c r="D496" s="22">
        <v>10000.0</v>
      </c>
      <c r="E496" s="15">
        <f t="shared" ref="E496:E499" si="89">A496*D496</f>
        <v>10000</v>
      </c>
      <c r="F496" s="16"/>
      <c r="G496" s="25"/>
      <c r="H496" s="37"/>
      <c r="I496" s="22">
        <v>6000.0</v>
      </c>
      <c r="J496" s="16">
        <f t="shared" ref="J496:J499" si="90">I496*A496</f>
        <v>6000</v>
      </c>
      <c r="K496" s="16">
        <f t="shared" ref="K496:K499" si="91">E496-J496</f>
        <v>4000</v>
      </c>
      <c r="L496" s="110">
        <f t="shared" ref="L496:L499" si="92">IFERROR(K496/E496, 0)</f>
        <v>0.4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83">
        <v>1.0</v>
      </c>
      <c r="B497" s="84" t="s">
        <v>33</v>
      </c>
      <c r="C497" s="85" t="s">
        <v>48</v>
      </c>
      <c r="D497" s="22">
        <v>3500.0</v>
      </c>
      <c r="E497" s="15">
        <f t="shared" si="89"/>
        <v>3500</v>
      </c>
      <c r="F497" s="16"/>
      <c r="G497" s="25"/>
      <c r="H497" s="37"/>
      <c r="I497" s="22">
        <f>10000/8</f>
        <v>1250</v>
      </c>
      <c r="J497" s="16">
        <f t="shared" si="90"/>
        <v>1250</v>
      </c>
      <c r="K497" s="16">
        <f t="shared" si="91"/>
        <v>2250</v>
      </c>
      <c r="L497" s="110">
        <f t="shared" si="92"/>
        <v>0.6428571429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83">
        <v>1.0</v>
      </c>
      <c r="B498" s="84" t="s">
        <v>18</v>
      </c>
      <c r="C498" s="85" t="s">
        <v>23</v>
      </c>
      <c r="D498" s="22">
        <v>13000.0</v>
      </c>
      <c r="E498" s="15">
        <f t="shared" si="89"/>
        <v>13000</v>
      </c>
      <c r="F498" s="16"/>
      <c r="G498" s="25"/>
      <c r="H498" s="37"/>
      <c r="I498" s="22">
        <f>7000</f>
        <v>7000</v>
      </c>
      <c r="J498" s="16">
        <f t="shared" si="90"/>
        <v>7000</v>
      </c>
      <c r="K498" s="16">
        <f t="shared" si="91"/>
        <v>6000</v>
      </c>
      <c r="L498" s="110">
        <f t="shared" si="92"/>
        <v>0.4615384615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83">
        <v>3.0</v>
      </c>
      <c r="B499" s="84" t="s">
        <v>33</v>
      </c>
      <c r="C499" s="85" t="s">
        <v>19</v>
      </c>
      <c r="D499" s="22">
        <v>2500.0</v>
      </c>
      <c r="E499" s="15">
        <f t="shared" si="89"/>
        <v>7500</v>
      </c>
      <c r="F499" s="16"/>
      <c r="G499" s="25"/>
      <c r="H499" s="37"/>
      <c r="I499" s="87">
        <f>28000/15</f>
        <v>1866.666667</v>
      </c>
      <c r="J499" s="16">
        <f t="shared" si="90"/>
        <v>5600</v>
      </c>
      <c r="K499" s="16">
        <f t="shared" si="91"/>
        <v>1900</v>
      </c>
      <c r="L499" s="110">
        <f t="shared" si="92"/>
        <v>0.2533333333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83"/>
      <c r="B500" s="12"/>
      <c r="C500" s="14"/>
      <c r="D500" s="15"/>
      <c r="E500" s="16"/>
      <c r="F500" s="16"/>
      <c r="H500" s="25"/>
      <c r="I500" s="16"/>
      <c r="J500" s="16"/>
      <c r="K500" s="16"/>
      <c r="L500" s="1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3"/>
      <c r="B501" s="12"/>
      <c r="C501" s="14"/>
      <c r="D501" s="15"/>
      <c r="E501" s="16">
        <f>SUM(E496:E500)</f>
        <v>34000</v>
      </c>
      <c r="F501" s="16"/>
      <c r="G501" s="25"/>
      <c r="H501" s="25"/>
      <c r="I501" s="16"/>
      <c r="J501" s="16"/>
      <c r="K501" s="16">
        <f>SUM(K496:K499)</f>
        <v>14150</v>
      </c>
      <c r="L501" s="110">
        <f>IFERROR(K501/E501, 0)</f>
        <v>0.4161764706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89" t="s">
        <v>83</v>
      </c>
      <c r="B504" s="24"/>
      <c r="C504" s="24"/>
      <c r="D504" s="81" t="s">
        <v>296</v>
      </c>
      <c r="E504" s="82">
        <v>46073.0</v>
      </c>
      <c r="F504" s="33" t="s">
        <v>13</v>
      </c>
      <c r="G504" s="98" t="s">
        <v>13</v>
      </c>
      <c r="H504" s="25"/>
      <c r="I504" s="16"/>
      <c r="J504" s="16"/>
      <c r="K504" s="16"/>
      <c r="L504" s="3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B505" s="25"/>
      <c r="C505" s="35"/>
      <c r="D505" s="25"/>
      <c r="E505" s="25"/>
      <c r="F505" s="25"/>
      <c r="G505" s="25"/>
      <c r="H505" s="25"/>
      <c r="I505" s="16"/>
      <c r="J505" s="16"/>
      <c r="K505" s="16"/>
      <c r="L505" s="3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5" t="s">
        <v>4</v>
      </c>
      <c r="B506" s="10" t="s">
        <v>5</v>
      </c>
      <c r="C506" s="11" t="s">
        <v>6</v>
      </c>
      <c r="D506" s="12" t="s">
        <v>7</v>
      </c>
      <c r="E506" s="10" t="s">
        <v>8</v>
      </c>
      <c r="F506" s="12"/>
      <c r="G506" s="25"/>
      <c r="H506" s="25"/>
      <c r="I506" s="12" t="s">
        <v>7</v>
      </c>
      <c r="J506" s="12" t="s">
        <v>8</v>
      </c>
      <c r="K506" s="12" t="s">
        <v>10</v>
      </c>
      <c r="L506" s="1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83">
        <v>1.0</v>
      </c>
      <c r="B507" s="84" t="s">
        <v>18</v>
      </c>
      <c r="C507" s="85" t="s">
        <v>39</v>
      </c>
      <c r="D507" s="22">
        <v>18000.0</v>
      </c>
      <c r="E507" s="15">
        <f t="shared" ref="E507:E508" si="93">A507*D507</f>
        <v>18000</v>
      </c>
      <c r="F507" s="16"/>
      <c r="G507" s="25"/>
      <c r="H507" s="37"/>
      <c r="I507" s="22">
        <v>14000.0</v>
      </c>
      <c r="J507" s="16">
        <f t="shared" ref="J507:J508" si="94">I507*A507</f>
        <v>14000</v>
      </c>
      <c r="K507" s="16">
        <f t="shared" ref="K507:K508" si="95">E507-J507</f>
        <v>4000</v>
      </c>
      <c r="L507" s="110">
        <f t="shared" ref="L507:L508" si="96">IFERROR(K507/E507, 0)</f>
        <v>0.2222222222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83">
        <v>2.0</v>
      </c>
      <c r="B508" s="84" t="s">
        <v>33</v>
      </c>
      <c r="C508" s="85" t="s">
        <v>31</v>
      </c>
      <c r="D508" s="22">
        <v>2000.0</v>
      </c>
      <c r="E508" s="15">
        <f t="shared" si="93"/>
        <v>4000</v>
      </c>
      <c r="F508" s="16"/>
      <c r="G508" s="25"/>
      <c r="H508" s="37"/>
      <c r="I508" s="22">
        <f>15000/18</f>
        <v>833.3333333</v>
      </c>
      <c r="J508" s="16">
        <f t="shared" si="94"/>
        <v>1666.666667</v>
      </c>
      <c r="K508" s="16">
        <f t="shared" si="95"/>
        <v>2333.333333</v>
      </c>
      <c r="L508" s="110">
        <f t="shared" si="96"/>
        <v>0.5833333333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83"/>
      <c r="B509" s="12"/>
      <c r="C509" s="14"/>
      <c r="D509" s="15"/>
      <c r="E509" s="16"/>
      <c r="F509" s="16"/>
      <c r="H509" s="25"/>
      <c r="I509" s="16"/>
      <c r="J509" s="16"/>
      <c r="K509" s="16"/>
      <c r="L509" s="1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3"/>
      <c r="B510" s="12"/>
      <c r="C510" s="14"/>
      <c r="D510" s="15"/>
      <c r="E510" s="16">
        <f>SUM(E507:E509)</f>
        <v>22000</v>
      </c>
      <c r="F510" s="16"/>
      <c r="G510" s="25"/>
      <c r="H510" s="25"/>
      <c r="I510" s="16"/>
      <c r="J510" s="16"/>
      <c r="K510" s="16">
        <f>SUM(K507:K508)</f>
        <v>6333.333333</v>
      </c>
      <c r="L510" s="110">
        <f>IFERROR(K510/E510, 0)</f>
        <v>0.2878787879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30" t="s">
        <v>120</v>
      </c>
      <c r="B513" s="31">
        <f>E510+E501+E490+E480+E462+E433+F418+E397+E382+E360+F331+F303+F265+F234+F196+F155+F119+F71+F40</f>
        <v>4694453.75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30" t="s">
        <v>121</v>
      </c>
      <c r="B515" s="108">
        <f>K510+K501+K490+K480+K462+K433+K418+K397+K382+K360+K331+K303+K265+K234+K196+K155+K119+K71+K40</f>
        <v>1449129.46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9" t="s">
        <v>122</v>
      </c>
      <c r="B517" s="99">
        <f>E362+E399</f>
        <v>5826.4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0" t="s">
        <v>123</v>
      </c>
      <c r="B519" s="41">
        <f>B515/B513</f>
        <v>0.3086896873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2" t="s">
        <v>124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</sheetData>
  <mergeCells count="21">
    <mergeCell ref="A3:C3"/>
    <mergeCell ref="I3:K3"/>
    <mergeCell ref="A43:C43"/>
    <mergeCell ref="I43:K43"/>
    <mergeCell ref="A74:C74"/>
    <mergeCell ref="I74:K74"/>
    <mergeCell ref="I123:K123"/>
    <mergeCell ref="A268:C268"/>
    <mergeCell ref="I268:K268"/>
    <mergeCell ref="A306:C306"/>
    <mergeCell ref="I306:K306"/>
    <mergeCell ref="A402:C402"/>
    <mergeCell ref="I402:K402"/>
    <mergeCell ref="A521:B521"/>
    <mergeCell ref="A123:C123"/>
    <mergeCell ref="A158:C158"/>
    <mergeCell ref="I158:K158"/>
    <mergeCell ref="A199:C199"/>
    <mergeCell ref="I199:K199"/>
    <mergeCell ref="A237:C237"/>
    <mergeCell ref="I237:K237"/>
  </mergeCells>
  <conditionalFormatting sqref="L1:L422 K423:K433 L424 L426:L429 L431 L433:L1210">
    <cfRule type="cellIs" dxfId="0" priority="1" operator="lessThan">
      <formula>"20%"</formula>
    </cfRule>
  </conditionalFormatting>
  <conditionalFormatting sqref="L1:L422 K423:K433 L424 L426:L429 L431 L433:L1210">
    <cfRule type="cellIs" dxfId="1" priority="2" operator="between">
      <formula>"20.01%"</formula>
      <formula>"25%"</formula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9" t="s">
        <v>266</v>
      </c>
      <c r="B3" s="114" t="s">
        <v>343</v>
      </c>
      <c r="C3" s="24"/>
      <c r="D3" s="81" t="s">
        <v>81</v>
      </c>
      <c r="E3" s="81" t="s">
        <v>364</v>
      </c>
      <c r="F3" s="33" t="s">
        <v>13</v>
      </c>
      <c r="G3" s="98"/>
      <c r="H3" s="25"/>
      <c r="I3" s="16"/>
      <c r="J3" s="16"/>
      <c r="K3" s="16"/>
      <c r="L3" s="34"/>
      <c r="M3" s="2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B4" s="25"/>
      <c r="C4" s="35"/>
      <c r="D4" s="25"/>
      <c r="E4" s="25"/>
      <c r="F4" s="25"/>
      <c r="G4" s="25"/>
      <c r="H4" s="25"/>
      <c r="I4" s="16"/>
      <c r="J4" s="16"/>
      <c r="K4" s="16"/>
      <c r="L4" s="34"/>
      <c r="M4" s="2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5" t="s">
        <v>4</v>
      </c>
      <c r="B5" s="10" t="s">
        <v>5</v>
      </c>
      <c r="C5" s="11" t="s">
        <v>6</v>
      </c>
      <c r="D5" s="12" t="s">
        <v>7</v>
      </c>
      <c r="E5" s="10" t="s">
        <v>8</v>
      </c>
      <c r="F5" s="12"/>
      <c r="G5" s="25"/>
      <c r="H5" s="25"/>
      <c r="I5" s="12" t="s">
        <v>7</v>
      </c>
      <c r="J5" s="12" t="s">
        <v>8</v>
      </c>
      <c r="K5" s="12" t="s">
        <v>10</v>
      </c>
      <c r="L5" s="34"/>
      <c r="M5" s="2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1.0</v>
      </c>
      <c r="B6" s="84" t="s">
        <v>29</v>
      </c>
      <c r="C6" s="85" t="s">
        <v>72</v>
      </c>
      <c r="D6" s="22">
        <v>36000.0</v>
      </c>
      <c r="E6" s="15">
        <f t="shared" ref="E6:E18" si="1">A6*D6</f>
        <v>36000</v>
      </c>
      <c r="F6" s="16"/>
      <c r="G6" s="25"/>
      <c r="H6" s="37"/>
      <c r="I6" s="87">
        <v>27000.0</v>
      </c>
      <c r="J6" s="16">
        <f t="shared" ref="J6:J18" si="2">I6*A6</f>
        <v>27000</v>
      </c>
      <c r="K6" s="16">
        <f t="shared" ref="K6:K18" si="3">E6-J6</f>
        <v>9000</v>
      </c>
      <c r="L6" s="110">
        <f t="shared" ref="L6:L18" si="4">IFERROR(K6/E6, 0)</f>
        <v>0.25</v>
      </c>
      <c r="M6" s="2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3.0</v>
      </c>
      <c r="B7" s="84" t="s">
        <v>33</v>
      </c>
      <c r="C7" s="85" t="s">
        <v>86</v>
      </c>
      <c r="D7" s="22">
        <v>4000.0</v>
      </c>
      <c r="E7" s="15">
        <f t="shared" si="1"/>
        <v>12000</v>
      </c>
      <c r="F7" s="16"/>
      <c r="G7" s="25"/>
      <c r="H7" s="37"/>
      <c r="I7" s="87">
        <v>3000.0</v>
      </c>
      <c r="J7" s="16">
        <f t="shared" si="2"/>
        <v>9000</v>
      </c>
      <c r="K7" s="16">
        <f t="shared" si="3"/>
        <v>3000</v>
      </c>
      <c r="L7" s="110">
        <f t="shared" si="4"/>
        <v>0.25</v>
      </c>
      <c r="M7" s="2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2.0</v>
      </c>
      <c r="B8" s="84" t="s">
        <v>33</v>
      </c>
      <c r="C8" s="85" t="s">
        <v>67</v>
      </c>
      <c r="D8" s="22">
        <v>800.0</v>
      </c>
      <c r="E8" s="15">
        <f t="shared" si="1"/>
        <v>1600</v>
      </c>
      <c r="F8" s="16"/>
      <c r="G8" s="25"/>
      <c r="H8" s="37"/>
      <c r="I8" s="87">
        <f>8000/17</f>
        <v>470.5882353</v>
      </c>
      <c r="J8" s="16">
        <f t="shared" si="2"/>
        <v>941.1764706</v>
      </c>
      <c r="K8" s="16">
        <f t="shared" si="3"/>
        <v>658.8235294</v>
      </c>
      <c r="L8" s="110">
        <f t="shared" si="4"/>
        <v>0.4117647059</v>
      </c>
      <c r="M8" s="2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3.0</v>
      </c>
      <c r="B9" s="84" t="s">
        <v>33</v>
      </c>
      <c r="C9" s="85" t="s">
        <v>360</v>
      </c>
      <c r="D9" s="22">
        <v>1600.0</v>
      </c>
      <c r="E9" s="15">
        <f t="shared" si="1"/>
        <v>4800</v>
      </c>
      <c r="F9" s="16"/>
      <c r="G9" s="25"/>
      <c r="H9" s="37"/>
      <c r="I9" s="87">
        <f>18000/17</f>
        <v>1058.823529</v>
      </c>
      <c r="J9" s="16">
        <f t="shared" si="2"/>
        <v>3176.470588</v>
      </c>
      <c r="K9" s="16">
        <f t="shared" si="3"/>
        <v>1623.529412</v>
      </c>
      <c r="L9" s="110">
        <f t="shared" si="4"/>
        <v>0.3382352941</v>
      </c>
      <c r="M9" s="2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50</v>
      </c>
      <c r="C10" s="85" t="s">
        <v>171</v>
      </c>
      <c r="D10" s="22">
        <v>3000.0</v>
      </c>
      <c r="E10" s="15">
        <f t="shared" si="1"/>
        <v>3000</v>
      </c>
      <c r="F10" s="16"/>
      <c r="G10" s="25"/>
      <c r="H10" s="37"/>
      <c r="I10" s="87">
        <v>2000.0</v>
      </c>
      <c r="J10" s="16">
        <f t="shared" si="2"/>
        <v>2000</v>
      </c>
      <c r="K10" s="16">
        <f t="shared" si="3"/>
        <v>1000</v>
      </c>
      <c r="L10" s="110">
        <f t="shared" si="4"/>
        <v>0.3333333333</v>
      </c>
      <c r="M10" s="2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1.0</v>
      </c>
      <c r="B11" s="84" t="s">
        <v>208</v>
      </c>
      <c r="C11" s="85" t="s">
        <v>268</v>
      </c>
      <c r="D11" s="22">
        <v>5000.0</v>
      </c>
      <c r="E11" s="15">
        <f t="shared" si="1"/>
        <v>5000</v>
      </c>
      <c r="F11" s="16"/>
      <c r="G11" s="25"/>
      <c r="H11" s="37"/>
      <c r="I11" s="87">
        <v>4000.0</v>
      </c>
      <c r="J11" s="16">
        <f t="shared" si="2"/>
        <v>4000</v>
      </c>
      <c r="K11" s="16">
        <f t="shared" si="3"/>
        <v>1000</v>
      </c>
      <c r="L11" s="110">
        <f t="shared" si="4"/>
        <v>0.2</v>
      </c>
      <c r="M11" s="2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0.5</v>
      </c>
      <c r="B12" s="84" t="s">
        <v>33</v>
      </c>
      <c r="C12" s="85" t="s">
        <v>361</v>
      </c>
      <c r="D12" s="22">
        <v>11000.0</v>
      </c>
      <c r="E12" s="15">
        <f t="shared" si="1"/>
        <v>5500</v>
      </c>
      <c r="F12" s="16"/>
      <c r="G12" s="25"/>
      <c r="H12" s="37"/>
      <c r="I12" s="87">
        <v>8000.0</v>
      </c>
      <c r="J12" s="16">
        <f t="shared" si="2"/>
        <v>4000</v>
      </c>
      <c r="K12" s="16">
        <f t="shared" si="3"/>
        <v>1500</v>
      </c>
      <c r="L12" s="110">
        <f t="shared" si="4"/>
        <v>0.2727272727</v>
      </c>
      <c r="M12" s="2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0.5</v>
      </c>
      <c r="B13" s="84" t="s">
        <v>33</v>
      </c>
      <c r="C13" s="85" t="s">
        <v>178</v>
      </c>
      <c r="D13" s="22">
        <v>2300.0</v>
      </c>
      <c r="E13" s="15">
        <f t="shared" si="1"/>
        <v>1150</v>
      </c>
      <c r="F13" s="16"/>
      <c r="G13" s="25"/>
      <c r="H13" s="37"/>
      <c r="I13" s="87">
        <v>0.0</v>
      </c>
      <c r="J13" s="16">
        <f t="shared" si="2"/>
        <v>0</v>
      </c>
      <c r="K13" s="16">
        <f t="shared" si="3"/>
        <v>1150</v>
      </c>
      <c r="L13" s="110">
        <f t="shared" si="4"/>
        <v>1</v>
      </c>
      <c r="M13" s="2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1.0</v>
      </c>
      <c r="B14" s="84" t="s">
        <v>33</v>
      </c>
      <c r="C14" s="85" t="s">
        <v>184</v>
      </c>
      <c r="D14" s="22">
        <v>24500.0</v>
      </c>
      <c r="E14" s="15">
        <f t="shared" si="1"/>
        <v>24500</v>
      </c>
      <c r="F14" s="16"/>
      <c r="G14" s="25"/>
      <c r="H14" s="37"/>
      <c r="I14" s="87">
        <v>20000.0</v>
      </c>
      <c r="J14" s="16">
        <f t="shared" si="2"/>
        <v>20000</v>
      </c>
      <c r="K14" s="16">
        <f t="shared" si="3"/>
        <v>4500</v>
      </c>
      <c r="L14" s="110">
        <f t="shared" si="4"/>
        <v>0.1836734694</v>
      </c>
      <c r="M14" s="2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2.0</v>
      </c>
      <c r="B15" s="84" t="s">
        <v>33</v>
      </c>
      <c r="C15" s="85" t="s">
        <v>173</v>
      </c>
      <c r="D15" s="22">
        <v>1200.0</v>
      </c>
      <c r="E15" s="15">
        <f t="shared" si="1"/>
        <v>2400</v>
      </c>
      <c r="F15" s="16"/>
      <c r="G15" s="25"/>
      <c r="H15" s="37"/>
      <c r="I15" s="87">
        <f>12000/15</f>
        <v>800</v>
      </c>
      <c r="J15" s="15">
        <f t="shared" si="2"/>
        <v>1600</v>
      </c>
      <c r="K15" s="15">
        <f t="shared" si="3"/>
        <v>800</v>
      </c>
      <c r="L15" s="116">
        <f t="shared" si="4"/>
        <v>0.3333333333</v>
      </c>
      <c r="M15" s="2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0.5</v>
      </c>
      <c r="B16" s="84" t="s">
        <v>38</v>
      </c>
      <c r="C16" s="85" t="s">
        <v>180</v>
      </c>
      <c r="D16" s="22">
        <v>16000.0</v>
      </c>
      <c r="E16" s="15">
        <f t="shared" si="1"/>
        <v>8000</v>
      </c>
      <c r="F16" s="16"/>
      <c r="G16" s="25"/>
      <c r="H16" s="37"/>
      <c r="I16" s="87">
        <v>11000.0</v>
      </c>
      <c r="J16" s="15">
        <f t="shared" si="2"/>
        <v>5500</v>
      </c>
      <c r="K16" s="15">
        <f t="shared" si="3"/>
        <v>2500</v>
      </c>
      <c r="L16" s="116">
        <f t="shared" si="4"/>
        <v>0.3125</v>
      </c>
      <c r="M16" s="2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1.0</v>
      </c>
      <c r="B17" s="84" t="s">
        <v>38</v>
      </c>
      <c r="C17" s="85" t="s">
        <v>365</v>
      </c>
      <c r="D17" s="22">
        <v>3500.0</v>
      </c>
      <c r="E17" s="15">
        <f t="shared" si="1"/>
        <v>3500</v>
      </c>
      <c r="F17" s="16"/>
      <c r="G17" s="25"/>
      <c r="H17" s="37"/>
      <c r="I17" s="87">
        <v>2500.0</v>
      </c>
      <c r="J17" s="15">
        <f t="shared" si="2"/>
        <v>2500</v>
      </c>
      <c r="K17" s="15">
        <f t="shared" si="3"/>
        <v>1000</v>
      </c>
      <c r="L17" s="116">
        <f t="shared" si="4"/>
        <v>0.2857142857</v>
      </c>
      <c r="M17" s="2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3.0</v>
      </c>
      <c r="B18" s="84" t="s">
        <v>5</v>
      </c>
      <c r="C18" s="85" t="s">
        <v>176</v>
      </c>
      <c r="D18" s="22">
        <v>900.0</v>
      </c>
      <c r="E18" s="15">
        <f t="shared" si="1"/>
        <v>2700</v>
      </c>
      <c r="F18" s="16"/>
      <c r="G18" s="25"/>
      <c r="H18" s="37"/>
      <c r="I18" s="87">
        <v>2500.0</v>
      </c>
      <c r="J18" s="15">
        <f t="shared" si="2"/>
        <v>7500</v>
      </c>
      <c r="K18" s="15">
        <f t="shared" si="3"/>
        <v>-4800</v>
      </c>
      <c r="L18" s="116">
        <f t="shared" si="4"/>
        <v>-1.777777778</v>
      </c>
      <c r="M18" s="2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13"/>
      <c r="B19" s="12"/>
      <c r="C19" s="14"/>
      <c r="D19" s="15"/>
      <c r="E19" s="16"/>
      <c r="F19" s="16"/>
      <c r="H19" s="25"/>
      <c r="I19" s="16"/>
      <c r="J19" s="16"/>
      <c r="K19" s="16"/>
      <c r="L19" s="110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13"/>
      <c r="B20" s="12"/>
      <c r="C20" s="14"/>
      <c r="D20" s="15"/>
      <c r="E20" s="16">
        <f>SUM(E6:E19)</f>
        <v>110150</v>
      </c>
      <c r="F20" s="16"/>
      <c r="G20" s="25"/>
      <c r="H20" s="25"/>
      <c r="I20" s="16"/>
      <c r="J20" s="16"/>
      <c r="K20" s="16">
        <f>SUM(K6:K18)</f>
        <v>22932.35294</v>
      </c>
      <c r="L20" s="110">
        <f>IFERROR(K20/E20, 0)</f>
        <v>0.2081920376</v>
      </c>
      <c r="M20" s="2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/>
      <c r="R21" s="2"/>
      <c r="S21" s="3"/>
      <c r="T21" s="3"/>
      <c r="U21" s="3"/>
      <c r="V21" s="3"/>
      <c r="W21" s="3"/>
      <c r="X21" s="3"/>
      <c r="Y21" s="3"/>
      <c r="Z21" s="3"/>
    </row>
    <row r="22">
      <c r="A22" s="26" t="s">
        <v>60</v>
      </c>
      <c r="B22" s="27">
        <v>0.04</v>
      </c>
      <c r="C22" s="2"/>
      <c r="D22" s="3"/>
      <c r="E22" s="15">
        <f>E20*0.04</f>
        <v>4406</v>
      </c>
      <c r="F22" s="3"/>
      <c r="G22" s="2"/>
      <c r="H22" s="3"/>
      <c r="I22" s="3"/>
      <c r="J22" s="3"/>
      <c r="K22" s="3"/>
      <c r="L22" s="4"/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42</v>
      </c>
      <c r="B26" s="95" t="s">
        <v>66</v>
      </c>
      <c r="C26" s="5"/>
      <c r="D26" s="86"/>
      <c r="E26" s="86" t="s">
        <v>74</v>
      </c>
      <c r="F26" s="81" t="s">
        <v>364</v>
      </c>
      <c r="G26" s="86" t="s">
        <v>13</v>
      </c>
      <c r="H26" s="3"/>
      <c r="I26" s="8" t="s">
        <v>3</v>
      </c>
      <c r="L26" s="4"/>
      <c r="M26" s="2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1"/>
      <c r="B27" s="3"/>
      <c r="C27" s="9"/>
      <c r="D27" s="3"/>
      <c r="E27" s="3"/>
      <c r="F27" s="3"/>
      <c r="G27" s="3"/>
      <c r="H27" s="3"/>
      <c r="I27" s="3"/>
      <c r="J27" s="3"/>
      <c r="K27" s="3"/>
      <c r="L27" s="4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5" t="s">
        <v>4</v>
      </c>
      <c r="B28" s="10" t="s">
        <v>5</v>
      </c>
      <c r="C28" s="96" t="s">
        <v>6</v>
      </c>
      <c r="D28" s="10" t="s">
        <v>7</v>
      </c>
      <c r="E28" s="10" t="s">
        <v>8</v>
      </c>
      <c r="F28" s="10" t="s">
        <v>9</v>
      </c>
      <c r="G28" s="101"/>
      <c r="H28" s="101"/>
      <c r="I28" s="10" t="s">
        <v>260</v>
      </c>
      <c r="J28" s="10" t="s">
        <v>8</v>
      </c>
      <c r="K28" s="10" t="s">
        <v>10</v>
      </c>
      <c r="L28" s="102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91">
        <v>3.0</v>
      </c>
      <c r="B29" s="92" t="s">
        <v>38</v>
      </c>
      <c r="C29" s="93" t="s">
        <v>226</v>
      </c>
      <c r="D29" s="22">
        <v>13000.0</v>
      </c>
      <c r="E29" s="15">
        <f t="shared" ref="E29:E55" si="5">A29*D29</f>
        <v>39000</v>
      </c>
      <c r="F29" s="15">
        <f>E29*1.105</f>
        <v>43095</v>
      </c>
      <c r="G29" s="3"/>
      <c r="H29" s="3"/>
      <c r="I29" s="22">
        <v>11000.0</v>
      </c>
      <c r="J29" s="15">
        <f t="shared" ref="J29:J55" si="6">I29*A29</f>
        <v>33000</v>
      </c>
      <c r="K29" s="15">
        <f t="shared" ref="K29:K55" si="7">F29-J29</f>
        <v>10095</v>
      </c>
      <c r="L29" s="36">
        <f t="shared" ref="L29:L55" si="8">IFERROR(K29/E29, 0)</f>
        <v>0.2588461538</v>
      </c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91">
        <v>1.0</v>
      </c>
      <c r="B30" s="92" t="s">
        <v>18</v>
      </c>
      <c r="C30" s="93" t="s">
        <v>21</v>
      </c>
      <c r="D30" s="22">
        <v>52000.0</v>
      </c>
      <c r="E30" s="15">
        <f t="shared" si="5"/>
        <v>52000</v>
      </c>
      <c r="F30" s="15">
        <f>E30*1.21</f>
        <v>62920</v>
      </c>
      <c r="G30" s="3"/>
      <c r="H30" s="3"/>
      <c r="I30" s="22">
        <v>48000.0</v>
      </c>
      <c r="J30" s="15">
        <f t="shared" si="6"/>
        <v>48000</v>
      </c>
      <c r="K30" s="15">
        <f t="shared" si="7"/>
        <v>14920</v>
      </c>
      <c r="L30" s="36">
        <f t="shared" si="8"/>
        <v>0.2869230769</v>
      </c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91">
        <v>5.0</v>
      </c>
      <c r="B31" s="92" t="s">
        <v>18</v>
      </c>
      <c r="C31" s="93" t="s">
        <v>32</v>
      </c>
      <c r="D31" s="22">
        <v>24000.0</v>
      </c>
      <c r="E31" s="15">
        <f t="shared" si="5"/>
        <v>120000</v>
      </c>
      <c r="F31" s="15">
        <f t="shared" ref="F31:F52" si="9">E31*1.105</f>
        <v>132600</v>
      </c>
      <c r="G31" s="3"/>
      <c r="H31" s="3"/>
      <c r="I31" s="22">
        <v>20000.0</v>
      </c>
      <c r="J31" s="15">
        <f t="shared" si="6"/>
        <v>100000</v>
      </c>
      <c r="K31" s="15">
        <f t="shared" si="7"/>
        <v>32600</v>
      </c>
      <c r="L31" s="36">
        <f t="shared" si="8"/>
        <v>0.2716666667</v>
      </c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91">
        <v>0.65</v>
      </c>
      <c r="B32" s="92" t="s">
        <v>33</v>
      </c>
      <c r="C32" s="93" t="s">
        <v>113</v>
      </c>
      <c r="D32" s="22">
        <v>3500.0</v>
      </c>
      <c r="E32" s="15">
        <f t="shared" si="5"/>
        <v>2275</v>
      </c>
      <c r="F32" s="15">
        <f t="shared" si="9"/>
        <v>2513.875</v>
      </c>
      <c r="G32" s="3"/>
      <c r="H32" s="86" t="s">
        <v>274</v>
      </c>
      <c r="I32" s="22"/>
      <c r="J32" s="15">
        <f t="shared" si="6"/>
        <v>0</v>
      </c>
      <c r="K32" s="15">
        <f t="shared" si="7"/>
        <v>2513.875</v>
      </c>
      <c r="L32" s="36">
        <f t="shared" si="8"/>
        <v>1.105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91">
        <v>3.0</v>
      </c>
      <c r="B33" s="92" t="s">
        <v>33</v>
      </c>
      <c r="C33" s="93" t="s">
        <v>72</v>
      </c>
      <c r="D33" s="22">
        <v>2500.0</v>
      </c>
      <c r="E33" s="15">
        <f t="shared" si="5"/>
        <v>7500</v>
      </c>
      <c r="F33" s="15">
        <f t="shared" si="9"/>
        <v>8287.5</v>
      </c>
      <c r="G33" s="3"/>
      <c r="H33" s="3"/>
      <c r="I33" s="22">
        <f>27000/15</f>
        <v>1800</v>
      </c>
      <c r="J33" s="15">
        <f t="shared" si="6"/>
        <v>5400</v>
      </c>
      <c r="K33" s="15">
        <f t="shared" si="7"/>
        <v>2887.5</v>
      </c>
      <c r="L33" s="36">
        <f t="shared" si="8"/>
        <v>0.385</v>
      </c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91">
        <v>1.0</v>
      </c>
      <c r="B34" s="92" t="s">
        <v>38</v>
      </c>
      <c r="C34" s="93" t="s">
        <v>45</v>
      </c>
      <c r="D34" s="22">
        <v>12000.0</v>
      </c>
      <c r="E34" s="15">
        <f t="shared" si="5"/>
        <v>12000</v>
      </c>
      <c r="F34" s="15">
        <f t="shared" si="9"/>
        <v>13260</v>
      </c>
      <c r="G34" s="3"/>
      <c r="H34" s="3"/>
      <c r="I34" s="22">
        <v>8000.0</v>
      </c>
      <c r="J34" s="15">
        <f t="shared" si="6"/>
        <v>8000</v>
      </c>
      <c r="K34" s="15">
        <f t="shared" si="7"/>
        <v>5260</v>
      </c>
      <c r="L34" s="36">
        <f t="shared" si="8"/>
        <v>0.4383333333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91">
        <v>1.0</v>
      </c>
      <c r="B35" s="92" t="s">
        <v>38</v>
      </c>
      <c r="C35" s="93" t="s">
        <v>47</v>
      </c>
      <c r="D35" s="22">
        <v>12000.0</v>
      </c>
      <c r="E35" s="15">
        <f t="shared" si="5"/>
        <v>12000</v>
      </c>
      <c r="F35" s="15">
        <f t="shared" si="9"/>
        <v>13260</v>
      </c>
      <c r="G35" s="3"/>
      <c r="H35" s="3"/>
      <c r="I35" s="22">
        <v>8000.0</v>
      </c>
      <c r="J35" s="15">
        <f t="shared" si="6"/>
        <v>8000</v>
      </c>
      <c r="K35" s="15">
        <f t="shared" si="7"/>
        <v>5260</v>
      </c>
      <c r="L35" s="36">
        <f t="shared" si="8"/>
        <v>0.4383333333</v>
      </c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91">
        <v>5.0</v>
      </c>
      <c r="B36" s="92" t="s">
        <v>50</v>
      </c>
      <c r="C36" s="93" t="s">
        <v>69</v>
      </c>
      <c r="D36" s="22">
        <v>3000.0</v>
      </c>
      <c r="E36" s="15">
        <f t="shared" si="5"/>
        <v>15000</v>
      </c>
      <c r="F36" s="15">
        <f t="shared" si="9"/>
        <v>16575</v>
      </c>
      <c r="G36" s="3"/>
      <c r="H36" s="3"/>
      <c r="I36" s="22">
        <f>2500</f>
        <v>2500</v>
      </c>
      <c r="J36" s="15">
        <f t="shared" si="6"/>
        <v>12500</v>
      </c>
      <c r="K36" s="15">
        <f t="shared" si="7"/>
        <v>4075</v>
      </c>
      <c r="L36" s="36">
        <f t="shared" si="8"/>
        <v>0.2716666667</v>
      </c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91">
        <v>4.0</v>
      </c>
      <c r="B37" s="92" t="s">
        <v>33</v>
      </c>
      <c r="C37" s="93" t="s">
        <v>24</v>
      </c>
      <c r="D37" s="22">
        <v>4000.0</v>
      </c>
      <c r="E37" s="15">
        <f t="shared" si="5"/>
        <v>16000</v>
      </c>
      <c r="F37" s="15">
        <f t="shared" si="9"/>
        <v>17680</v>
      </c>
      <c r="G37" s="3"/>
      <c r="H37" s="3"/>
      <c r="I37" s="22">
        <f>20000/7</f>
        <v>2857.142857</v>
      </c>
      <c r="J37" s="15">
        <f t="shared" si="6"/>
        <v>11428.57143</v>
      </c>
      <c r="K37" s="15">
        <f t="shared" si="7"/>
        <v>6251.428571</v>
      </c>
      <c r="L37" s="36">
        <f t="shared" si="8"/>
        <v>0.3907142857</v>
      </c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91">
        <v>5.0</v>
      </c>
      <c r="B38" s="92" t="s">
        <v>33</v>
      </c>
      <c r="C38" s="93" t="s">
        <v>173</v>
      </c>
      <c r="D38" s="22">
        <v>1200.0</v>
      </c>
      <c r="E38" s="15">
        <f t="shared" si="5"/>
        <v>6000</v>
      </c>
      <c r="F38" s="15">
        <f t="shared" si="9"/>
        <v>6630</v>
      </c>
      <c r="G38" s="3"/>
      <c r="H38" s="3"/>
      <c r="I38" s="22">
        <f t="shared" ref="I38:I39" si="10">12000/15</f>
        <v>800</v>
      </c>
      <c r="J38" s="15">
        <f t="shared" si="6"/>
        <v>4000</v>
      </c>
      <c r="K38" s="15">
        <f t="shared" si="7"/>
        <v>2630</v>
      </c>
      <c r="L38" s="36">
        <f t="shared" si="8"/>
        <v>0.4383333333</v>
      </c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91">
        <v>5.0</v>
      </c>
      <c r="B39" s="92" t="s">
        <v>33</v>
      </c>
      <c r="C39" s="93" t="s">
        <v>192</v>
      </c>
      <c r="D39" s="22">
        <v>1200.0</v>
      </c>
      <c r="E39" s="15">
        <f t="shared" si="5"/>
        <v>6000</v>
      </c>
      <c r="F39" s="15">
        <f t="shared" si="9"/>
        <v>6630</v>
      </c>
      <c r="G39" s="3"/>
      <c r="H39" s="3"/>
      <c r="I39" s="22">
        <f t="shared" si="10"/>
        <v>800</v>
      </c>
      <c r="J39" s="15">
        <f t="shared" si="6"/>
        <v>4000</v>
      </c>
      <c r="K39" s="15">
        <f t="shared" si="7"/>
        <v>2630</v>
      </c>
      <c r="L39" s="36">
        <f t="shared" si="8"/>
        <v>0.4383333333</v>
      </c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91">
        <v>1.5</v>
      </c>
      <c r="B40" s="92" t="s">
        <v>18</v>
      </c>
      <c r="C40" s="93" t="s">
        <v>194</v>
      </c>
      <c r="D40" s="22">
        <v>11000.0</v>
      </c>
      <c r="E40" s="15">
        <f t="shared" si="5"/>
        <v>16500</v>
      </c>
      <c r="F40" s="15">
        <f t="shared" si="9"/>
        <v>18232.5</v>
      </c>
      <c r="G40" s="3"/>
      <c r="H40" s="3"/>
      <c r="I40" s="22">
        <v>9000.0</v>
      </c>
      <c r="J40" s="15">
        <f t="shared" si="6"/>
        <v>13500</v>
      </c>
      <c r="K40" s="15">
        <f t="shared" si="7"/>
        <v>4732.5</v>
      </c>
      <c r="L40" s="36">
        <f t="shared" si="8"/>
        <v>0.2868181818</v>
      </c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91">
        <v>1.0</v>
      </c>
      <c r="B41" s="92" t="s">
        <v>18</v>
      </c>
      <c r="C41" s="93" t="s">
        <v>178</v>
      </c>
      <c r="D41" s="22">
        <v>32000.0</v>
      </c>
      <c r="E41" s="15">
        <f t="shared" si="5"/>
        <v>32000</v>
      </c>
      <c r="F41" s="15">
        <f t="shared" si="9"/>
        <v>35360</v>
      </c>
      <c r="G41" s="3"/>
      <c r="H41" s="3"/>
      <c r="I41" s="22">
        <v>25000.0</v>
      </c>
      <c r="J41" s="15">
        <f t="shared" si="6"/>
        <v>25000</v>
      </c>
      <c r="K41" s="15">
        <f t="shared" si="7"/>
        <v>10360</v>
      </c>
      <c r="L41" s="36">
        <f t="shared" si="8"/>
        <v>0.32375</v>
      </c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91">
        <v>1.0</v>
      </c>
      <c r="B42" s="92" t="s">
        <v>50</v>
      </c>
      <c r="C42" s="93" t="s">
        <v>68</v>
      </c>
      <c r="D42" s="22">
        <v>4000.0</v>
      </c>
      <c r="E42" s="15">
        <f t="shared" si="5"/>
        <v>4000</v>
      </c>
      <c r="F42" s="15">
        <f t="shared" si="9"/>
        <v>4420</v>
      </c>
      <c r="G42" s="3"/>
      <c r="H42" s="3"/>
      <c r="I42" s="22">
        <v>2000.0</v>
      </c>
      <c r="J42" s="15">
        <f t="shared" si="6"/>
        <v>2000</v>
      </c>
      <c r="K42" s="15">
        <f t="shared" si="7"/>
        <v>2420</v>
      </c>
      <c r="L42" s="36">
        <f t="shared" si="8"/>
        <v>0.605</v>
      </c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91">
        <v>1.0</v>
      </c>
      <c r="B43" s="92" t="s">
        <v>50</v>
      </c>
      <c r="C43" s="93" t="s">
        <v>16</v>
      </c>
      <c r="D43" s="22">
        <v>1000.0</v>
      </c>
      <c r="E43" s="15">
        <f t="shared" si="5"/>
        <v>1000</v>
      </c>
      <c r="F43" s="15">
        <f t="shared" si="9"/>
        <v>1105</v>
      </c>
      <c r="G43" s="3"/>
      <c r="H43" s="3"/>
      <c r="I43" s="22">
        <f>8000/20</f>
        <v>400</v>
      </c>
      <c r="J43" s="15">
        <f t="shared" si="6"/>
        <v>400</v>
      </c>
      <c r="K43" s="15">
        <f t="shared" si="7"/>
        <v>705</v>
      </c>
      <c r="L43" s="36">
        <f t="shared" si="8"/>
        <v>0.705</v>
      </c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91">
        <v>1.0</v>
      </c>
      <c r="B44" s="92" t="s">
        <v>50</v>
      </c>
      <c r="C44" s="93" t="s">
        <v>17</v>
      </c>
      <c r="D44" s="22">
        <v>5500.0</v>
      </c>
      <c r="E44" s="15">
        <f t="shared" si="5"/>
        <v>5500</v>
      </c>
      <c r="F44" s="15">
        <f t="shared" si="9"/>
        <v>6077.5</v>
      </c>
      <c r="G44" s="3"/>
      <c r="H44" s="3"/>
      <c r="I44" s="22">
        <v>3400.0</v>
      </c>
      <c r="J44" s="15">
        <f t="shared" si="6"/>
        <v>3400</v>
      </c>
      <c r="K44" s="15">
        <f t="shared" si="7"/>
        <v>2677.5</v>
      </c>
      <c r="L44" s="36">
        <f t="shared" si="8"/>
        <v>0.4868181818</v>
      </c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91">
        <v>2.0</v>
      </c>
      <c r="B45" s="92" t="s">
        <v>50</v>
      </c>
      <c r="C45" s="93" t="s">
        <v>70</v>
      </c>
      <c r="D45" s="22">
        <v>1000.0</v>
      </c>
      <c r="E45" s="15">
        <f t="shared" si="5"/>
        <v>2000</v>
      </c>
      <c r="F45" s="15">
        <f t="shared" si="9"/>
        <v>2210</v>
      </c>
      <c r="G45" s="3"/>
      <c r="H45" s="3"/>
      <c r="I45" s="22">
        <v>800.0</v>
      </c>
      <c r="J45" s="15">
        <f t="shared" si="6"/>
        <v>1600</v>
      </c>
      <c r="K45" s="15">
        <f t="shared" si="7"/>
        <v>610</v>
      </c>
      <c r="L45" s="36">
        <f t="shared" si="8"/>
        <v>0.305</v>
      </c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91">
        <v>3.0</v>
      </c>
      <c r="B46" s="92" t="s">
        <v>33</v>
      </c>
      <c r="C46" s="93" t="s">
        <v>71</v>
      </c>
      <c r="D46" s="22">
        <v>1800.0</v>
      </c>
      <c r="E46" s="15">
        <f t="shared" si="5"/>
        <v>5400</v>
      </c>
      <c r="F46" s="15">
        <f t="shared" si="9"/>
        <v>5967</v>
      </c>
      <c r="G46" s="3"/>
      <c r="H46" s="3"/>
      <c r="I46" s="22">
        <f>8000/6</f>
        <v>1333.333333</v>
      </c>
      <c r="J46" s="15">
        <f t="shared" si="6"/>
        <v>4000</v>
      </c>
      <c r="K46" s="15">
        <f t="shared" si="7"/>
        <v>1967</v>
      </c>
      <c r="L46" s="36">
        <f t="shared" si="8"/>
        <v>0.3642592593</v>
      </c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91">
        <v>3.0</v>
      </c>
      <c r="B47" s="92" t="s">
        <v>5</v>
      </c>
      <c r="C47" s="93" t="s">
        <v>95</v>
      </c>
      <c r="D47" s="22">
        <v>2300.0</v>
      </c>
      <c r="E47" s="15">
        <f t="shared" si="5"/>
        <v>6900</v>
      </c>
      <c r="F47" s="15">
        <f t="shared" si="9"/>
        <v>7624.5</v>
      </c>
      <c r="G47" s="3"/>
      <c r="H47" s="3"/>
      <c r="I47" s="22">
        <f>13000/8</f>
        <v>1625</v>
      </c>
      <c r="J47" s="15">
        <f t="shared" si="6"/>
        <v>4875</v>
      </c>
      <c r="K47" s="15">
        <f t="shared" si="7"/>
        <v>2749.5</v>
      </c>
      <c r="L47" s="36">
        <f t="shared" si="8"/>
        <v>0.3984782609</v>
      </c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91">
        <v>3.0</v>
      </c>
      <c r="B48" s="92" t="s">
        <v>5</v>
      </c>
      <c r="C48" s="93" t="s">
        <v>289</v>
      </c>
      <c r="D48" s="22">
        <v>2000.0</v>
      </c>
      <c r="E48" s="15">
        <f t="shared" si="5"/>
        <v>6000</v>
      </c>
      <c r="F48" s="15">
        <f t="shared" si="9"/>
        <v>6630</v>
      </c>
      <c r="G48" s="3"/>
      <c r="H48" s="86" t="s">
        <v>274</v>
      </c>
      <c r="I48" s="22">
        <v>0.0</v>
      </c>
      <c r="J48" s="15">
        <f t="shared" si="6"/>
        <v>0</v>
      </c>
      <c r="K48" s="15">
        <f t="shared" si="7"/>
        <v>6630</v>
      </c>
      <c r="L48" s="36">
        <f t="shared" si="8"/>
        <v>1.105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91">
        <v>2.0</v>
      </c>
      <c r="B49" s="92" t="s">
        <v>33</v>
      </c>
      <c r="C49" s="93" t="s">
        <v>225</v>
      </c>
      <c r="D49" s="22">
        <v>4000.0</v>
      </c>
      <c r="E49" s="15">
        <f t="shared" si="5"/>
        <v>8000</v>
      </c>
      <c r="F49" s="15">
        <f t="shared" si="9"/>
        <v>8840</v>
      </c>
      <c r="G49" s="3"/>
      <c r="H49" s="3"/>
      <c r="I49" s="22">
        <f>22000/8</f>
        <v>2750</v>
      </c>
      <c r="J49" s="15">
        <f t="shared" si="6"/>
        <v>5500</v>
      </c>
      <c r="K49" s="15">
        <f t="shared" si="7"/>
        <v>3340</v>
      </c>
      <c r="L49" s="36">
        <f t="shared" si="8"/>
        <v>0.4175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91">
        <v>1.0</v>
      </c>
      <c r="B50" s="92" t="s">
        <v>29</v>
      </c>
      <c r="C50" s="93" t="s">
        <v>31</v>
      </c>
      <c r="D50" s="22">
        <v>32000.0</v>
      </c>
      <c r="E50" s="15">
        <f t="shared" si="5"/>
        <v>32000</v>
      </c>
      <c r="F50" s="15">
        <f t="shared" si="9"/>
        <v>35360</v>
      </c>
      <c r="G50" s="3"/>
      <c r="H50" s="3"/>
      <c r="I50" s="22">
        <v>22000.0</v>
      </c>
      <c r="J50" s="15">
        <f t="shared" si="6"/>
        <v>22000</v>
      </c>
      <c r="K50" s="15">
        <f t="shared" si="7"/>
        <v>13360</v>
      </c>
      <c r="L50" s="36">
        <f t="shared" si="8"/>
        <v>0.4175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83">
        <v>1.0</v>
      </c>
      <c r="B51" s="84" t="s">
        <v>29</v>
      </c>
      <c r="C51" s="85" t="s">
        <v>211</v>
      </c>
      <c r="D51" s="22">
        <v>70000.0</v>
      </c>
      <c r="E51" s="15">
        <f t="shared" si="5"/>
        <v>70000</v>
      </c>
      <c r="F51" s="15">
        <f t="shared" si="9"/>
        <v>77350</v>
      </c>
      <c r="G51" s="101"/>
      <c r="H51" s="101"/>
      <c r="I51" s="22">
        <v>65000.0</v>
      </c>
      <c r="J51" s="15">
        <f t="shared" si="6"/>
        <v>65000</v>
      </c>
      <c r="K51" s="15">
        <f t="shared" si="7"/>
        <v>12350</v>
      </c>
      <c r="L51" s="36">
        <f t="shared" si="8"/>
        <v>0.1764285714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83">
        <v>2.0</v>
      </c>
      <c r="B52" s="84" t="s">
        <v>33</v>
      </c>
      <c r="C52" s="85" t="s">
        <v>221</v>
      </c>
      <c r="D52" s="22">
        <v>4000.0</v>
      </c>
      <c r="E52" s="15">
        <f t="shared" si="5"/>
        <v>8000</v>
      </c>
      <c r="F52" s="15">
        <f t="shared" si="9"/>
        <v>8840</v>
      </c>
      <c r="G52" s="101"/>
      <c r="H52" s="101"/>
      <c r="I52" s="22">
        <v>4000.0</v>
      </c>
      <c r="J52" s="15">
        <f t="shared" si="6"/>
        <v>8000</v>
      </c>
      <c r="K52" s="15">
        <f t="shared" si="7"/>
        <v>840</v>
      </c>
      <c r="L52" s="36">
        <f t="shared" si="8"/>
        <v>0.105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83">
        <v>2.0</v>
      </c>
      <c r="B53" s="84" t="s">
        <v>33</v>
      </c>
      <c r="C53" s="85" t="s">
        <v>53</v>
      </c>
      <c r="D53" s="22">
        <v>9000.0</v>
      </c>
      <c r="E53" s="15">
        <f t="shared" si="5"/>
        <v>18000</v>
      </c>
      <c r="F53" s="15">
        <f>E53*1.21</f>
        <v>21780</v>
      </c>
      <c r="G53" s="101"/>
      <c r="H53" s="101"/>
      <c r="I53" s="22">
        <f>55000/8</f>
        <v>6875</v>
      </c>
      <c r="J53" s="15">
        <f t="shared" si="6"/>
        <v>13750</v>
      </c>
      <c r="K53" s="15">
        <f t="shared" si="7"/>
        <v>8030</v>
      </c>
      <c r="L53" s="36">
        <f t="shared" si="8"/>
        <v>0.4461111111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83">
        <v>2.0</v>
      </c>
      <c r="B54" s="84" t="s">
        <v>33</v>
      </c>
      <c r="C54" s="85" t="s">
        <v>57</v>
      </c>
      <c r="D54" s="22">
        <v>9000.0</v>
      </c>
      <c r="E54" s="15">
        <f t="shared" si="5"/>
        <v>18000</v>
      </c>
      <c r="F54" s="15">
        <f t="shared" ref="F54:F55" si="11">E54*1.105</f>
        <v>19890</v>
      </c>
      <c r="G54" s="101"/>
      <c r="H54" s="101"/>
      <c r="I54" s="22">
        <f>35000/4</f>
        <v>8750</v>
      </c>
      <c r="J54" s="15">
        <f t="shared" si="6"/>
        <v>17500</v>
      </c>
      <c r="K54" s="15">
        <f t="shared" si="7"/>
        <v>2390</v>
      </c>
      <c r="L54" s="36">
        <f t="shared" si="8"/>
        <v>0.1327777778</v>
      </c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83">
        <v>6.0</v>
      </c>
      <c r="B55" s="84" t="s">
        <v>50</v>
      </c>
      <c r="C55" s="85" t="s">
        <v>65</v>
      </c>
      <c r="D55" s="22">
        <v>300.0</v>
      </c>
      <c r="E55" s="15">
        <f t="shared" si="5"/>
        <v>1800</v>
      </c>
      <c r="F55" s="15">
        <f t="shared" si="11"/>
        <v>1989</v>
      </c>
      <c r="G55" s="101"/>
      <c r="H55" s="101"/>
      <c r="I55" s="22">
        <f>4000/24</f>
        <v>166.6666667</v>
      </c>
      <c r="J55" s="15">
        <f t="shared" si="6"/>
        <v>1000</v>
      </c>
      <c r="K55" s="15">
        <f t="shared" si="7"/>
        <v>989</v>
      </c>
      <c r="L55" s="36">
        <f t="shared" si="8"/>
        <v>0.5494444444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103"/>
      <c r="B56" s="101"/>
      <c r="C56" s="104"/>
      <c r="D56" s="101"/>
      <c r="E56" s="101"/>
      <c r="F56" s="101"/>
      <c r="G56" s="101"/>
      <c r="H56" s="101"/>
      <c r="I56" s="113">
        <v>0.0</v>
      </c>
      <c r="J56" s="101"/>
      <c r="K56" s="101"/>
      <c r="L56" s="36"/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103"/>
      <c r="B57" s="101"/>
      <c r="C57" s="104"/>
      <c r="D57" s="101"/>
      <c r="E57" s="15">
        <f t="shared" ref="E57:F57" si="12">SUM(E29:E55)</f>
        <v>522875</v>
      </c>
      <c r="F57" s="15">
        <f t="shared" si="12"/>
        <v>585126.875</v>
      </c>
      <c r="G57" s="101"/>
      <c r="H57" s="101"/>
      <c r="I57" s="101"/>
      <c r="J57" s="101"/>
      <c r="K57" s="15">
        <f>SUM(K29:K55)</f>
        <v>163273.3036</v>
      </c>
      <c r="L57" s="110">
        <f>IFERROR(K57/E57, 0)</f>
        <v>0.312260681</v>
      </c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13"/>
      <c r="B58" s="12"/>
      <c r="C58" s="14"/>
      <c r="D58" s="15"/>
      <c r="E58" s="16"/>
      <c r="F58" s="16"/>
      <c r="G58" s="25"/>
      <c r="H58" s="25"/>
      <c r="I58" s="16"/>
      <c r="J58" s="16"/>
      <c r="K58" s="16"/>
      <c r="L58" s="110"/>
      <c r="M58" s="2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26" t="s">
        <v>60</v>
      </c>
      <c r="B59" s="27">
        <v>0.04</v>
      </c>
      <c r="C59" s="2"/>
      <c r="D59" s="3"/>
      <c r="E59" s="15">
        <f>E57*0.04</f>
        <v>20915</v>
      </c>
      <c r="F59" s="3"/>
      <c r="G59" s="2"/>
      <c r="H59" s="3"/>
      <c r="I59" s="3"/>
      <c r="J59" s="3"/>
      <c r="K59" s="3"/>
      <c r="L59" s="4"/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 ht="15.75" customHeight="1">
      <c r="A61" s="5"/>
      <c r="B61" s="95"/>
      <c r="C61" s="5"/>
      <c r="D61" s="86"/>
      <c r="E61" s="86"/>
      <c r="F61" s="82"/>
      <c r="G61" s="6"/>
      <c r="H61" s="3"/>
      <c r="I61" s="8"/>
      <c r="J61" s="8"/>
      <c r="K61" s="8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 t="s">
        <v>42</v>
      </c>
      <c r="B62" s="95" t="s">
        <v>43</v>
      </c>
      <c r="C62" s="5"/>
      <c r="D62" s="86"/>
      <c r="E62" s="86" t="s">
        <v>337</v>
      </c>
      <c r="F62" s="81" t="s">
        <v>364</v>
      </c>
      <c r="G62" s="86" t="s">
        <v>13</v>
      </c>
      <c r="H62" s="3"/>
      <c r="I62" s="8" t="s">
        <v>3</v>
      </c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3"/>
      <c r="C63" s="9"/>
      <c r="D63" s="3"/>
      <c r="E63" s="3"/>
      <c r="F63" s="3"/>
      <c r="G63" s="3"/>
      <c r="H63" s="3"/>
      <c r="I63" s="3"/>
      <c r="J63" s="3"/>
      <c r="K63" s="3"/>
      <c r="L63" s="4"/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5" t="s">
        <v>4</v>
      </c>
      <c r="B64" s="10" t="s">
        <v>5</v>
      </c>
      <c r="C64" s="96" t="s">
        <v>6</v>
      </c>
      <c r="D64" s="10" t="s">
        <v>7</v>
      </c>
      <c r="E64" s="10" t="s">
        <v>8</v>
      </c>
      <c r="F64" s="10" t="s">
        <v>9</v>
      </c>
      <c r="G64" s="101"/>
      <c r="H64" s="101"/>
      <c r="I64" s="10" t="s">
        <v>260</v>
      </c>
      <c r="J64" s="10" t="s">
        <v>8</v>
      </c>
      <c r="K64" s="10" t="s">
        <v>10</v>
      </c>
      <c r="L64" s="102"/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>
      <c r="A65" s="91">
        <v>1.5</v>
      </c>
      <c r="B65" s="92" t="s">
        <v>38</v>
      </c>
      <c r="C65" s="93" t="s">
        <v>226</v>
      </c>
      <c r="D65" s="22">
        <v>13000.0</v>
      </c>
      <c r="E65" s="15">
        <f t="shared" ref="E65:E89" si="13">A65*D65</f>
        <v>19500</v>
      </c>
      <c r="F65" s="15">
        <f t="shared" ref="F65:F74" si="14">E65*1.105</f>
        <v>21547.5</v>
      </c>
      <c r="G65" s="3"/>
      <c r="H65" s="3"/>
      <c r="I65" s="22">
        <v>13333.0</v>
      </c>
      <c r="J65" s="15">
        <f t="shared" ref="J65:J89" si="15">I65*A65</f>
        <v>19999.5</v>
      </c>
      <c r="K65" s="15">
        <f t="shared" ref="K65:K89" si="16">F65-J65</f>
        <v>1548</v>
      </c>
      <c r="L65" s="36">
        <f t="shared" ref="L65:L89" si="17">IFERROR(K65/E65, 0)</f>
        <v>0.07938461538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>
      <c r="A66" s="91">
        <v>4.0</v>
      </c>
      <c r="B66" s="92" t="s">
        <v>33</v>
      </c>
      <c r="C66" s="93" t="s">
        <v>25</v>
      </c>
      <c r="D66" s="22">
        <v>3000.0</v>
      </c>
      <c r="E66" s="15">
        <f t="shared" si="13"/>
        <v>12000</v>
      </c>
      <c r="F66" s="15">
        <f t="shared" si="14"/>
        <v>13260</v>
      </c>
      <c r="G66" s="3"/>
      <c r="H66" s="3"/>
      <c r="I66" s="22">
        <f>12000/7</f>
        <v>1714.285714</v>
      </c>
      <c r="J66" s="15">
        <f t="shared" si="15"/>
        <v>6857.142857</v>
      </c>
      <c r="K66" s="15">
        <f t="shared" si="16"/>
        <v>6402.857143</v>
      </c>
      <c r="L66" s="36">
        <f t="shared" si="17"/>
        <v>0.5335714286</v>
      </c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>
      <c r="A67" s="91">
        <v>4.0</v>
      </c>
      <c r="B67" s="92" t="s">
        <v>33</v>
      </c>
      <c r="C67" s="93" t="s">
        <v>24</v>
      </c>
      <c r="D67" s="22">
        <v>4000.0</v>
      </c>
      <c r="E67" s="15">
        <f t="shared" si="13"/>
        <v>16000</v>
      </c>
      <c r="F67" s="15">
        <f t="shared" si="14"/>
        <v>17680</v>
      </c>
      <c r="G67" s="3"/>
      <c r="H67" s="3"/>
      <c r="I67" s="22">
        <f>20000/7</f>
        <v>2857.142857</v>
      </c>
      <c r="J67" s="15">
        <f t="shared" si="15"/>
        <v>11428.57143</v>
      </c>
      <c r="K67" s="15">
        <f t="shared" si="16"/>
        <v>6251.428571</v>
      </c>
      <c r="L67" s="36">
        <f t="shared" si="17"/>
        <v>0.3907142857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>
      <c r="A68" s="91">
        <v>2.0</v>
      </c>
      <c r="B68" s="92" t="s">
        <v>33</v>
      </c>
      <c r="C68" s="93" t="s">
        <v>173</v>
      </c>
      <c r="D68" s="22">
        <v>1200.0</v>
      </c>
      <c r="E68" s="15">
        <f t="shared" si="13"/>
        <v>2400</v>
      </c>
      <c r="F68" s="15">
        <f t="shared" si="14"/>
        <v>2652</v>
      </c>
      <c r="G68" s="3"/>
      <c r="H68" s="3"/>
      <c r="I68" s="22">
        <f t="shared" ref="I68:I69" si="18">12000/15</f>
        <v>800</v>
      </c>
      <c r="J68" s="15">
        <f t="shared" si="15"/>
        <v>1600</v>
      </c>
      <c r="K68" s="15">
        <f t="shared" si="16"/>
        <v>1052</v>
      </c>
      <c r="L68" s="36">
        <f t="shared" si="17"/>
        <v>0.4383333333</v>
      </c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>
      <c r="A69" s="91">
        <v>4.0</v>
      </c>
      <c r="B69" s="92" t="s">
        <v>33</v>
      </c>
      <c r="C69" s="93" t="s">
        <v>76</v>
      </c>
      <c r="D69" s="22">
        <v>1200.0</v>
      </c>
      <c r="E69" s="15">
        <f t="shared" si="13"/>
        <v>4800</v>
      </c>
      <c r="F69" s="15">
        <f t="shared" si="14"/>
        <v>5304</v>
      </c>
      <c r="G69" s="3"/>
      <c r="H69" s="3"/>
      <c r="I69" s="22">
        <f t="shared" si="18"/>
        <v>800</v>
      </c>
      <c r="J69" s="15">
        <f t="shared" si="15"/>
        <v>3200</v>
      </c>
      <c r="K69" s="15">
        <f t="shared" si="16"/>
        <v>2104</v>
      </c>
      <c r="L69" s="36">
        <f t="shared" si="17"/>
        <v>0.4383333333</v>
      </c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>
      <c r="A70" s="91">
        <v>1.0</v>
      </c>
      <c r="B70" s="92" t="s">
        <v>38</v>
      </c>
      <c r="C70" s="93" t="s">
        <v>67</v>
      </c>
      <c r="D70" s="22">
        <v>10000.0</v>
      </c>
      <c r="E70" s="15">
        <f t="shared" si="13"/>
        <v>10000</v>
      </c>
      <c r="F70" s="15">
        <f t="shared" si="14"/>
        <v>11050</v>
      </c>
      <c r="G70" s="3"/>
      <c r="H70" s="3"/>
      <c r="I70" s="22">
        <v>8000.0</v>
      </c>
      <c r="J70" s="15">
        <f t="shared" si="15"/>
        <v>8000</v>
      </c>
      <c r="K70" s="15">
        <f t="shared" si="16"/>
        <v>3050</v>
      </c>
      <c r="L70" s="36">
        <f t="shared" si="17"/>
        <v>0.305</v>
      </c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>
      <c r="A71" s="91">
        <v>1.0</v>
      </c>
      <c r="B71" s="92" t="s">
        <v>50</v>
      </c>
      <c r="C71" s="93" t="s">
        <v>69</v>
      </c>
      <c r="D71" s="22">
        <v>3000.0</v>
      </c>
      <c r="E71" s="15">
        <f t="shared" si="13"/>
        <v>3000</v>
      </c>
      <c r="F71" s="15">
        <f t="shared" si="14"/>
        <v>3315</v>
      </c>
      <c r="G71" s="3"/>
      <c r="H71" s="3"/>
      <c r="I71" s="22">
        <v>2500.0</v>
      </c>
      <c r="J71" s="15">
        <f t="shared" si="15"/>
        <v>2500</v>
      </c>
      <c r="K71" s="15">
        <f t="shared" si="16"/>
        <v>815</v>
      </c>
      <c r="L71" s="36">
        <f t="shared" si="17"/>
        <v>0.2716666667</v>
      </c>
      <c r="M71" s="1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>
      <c r="A72" s="91">
        <v>1.0</v>
      </c>
      <c r="B72" s="92" t="s">
        <v>38</v>
      </c>
      <c r="C72" s="93" t="s">
        <v>45</v>
      </c>
      <c r="D72" s="22">
        <v>12000.0</v>
      </c>
      <c r="E72" s="15">
        <f t="shared" si="13"/>
        <v>12000</v>
      </c>
      <c r="F72" s="15">
        <f t="shared" si="14"/>
        <v>13260</v>
      </c>
      <c r="G72" s="3"/>
      <c r="H72" s="3"/>
      <c r="I72" s="22">
        <v>8000.0</v>
      </c>
      <c r="J72" s="15">
        <f t="shared" si="15"/>
        <v>8000</v>
      </c>
      <c r="K72" s="15">
        <f t="shared" si="16"/>
        <v>5260</v>
      </c>
      <c r="L72" s="36">
        <f t="shared" si="17"/>
        <v>0.4383333333</v>
      </c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91">
        <v>3.0</v>
      </c>
      <c r="B73" s="92" t="s">
        <v>33</v>
      </c>
      <c r="C73" s="93" t="s">
        <v>48</v>
      </c>
      <c r="D73" s="22">
        <v>2800.0</v>
      </c>
      <c r="E73" s="15">
        <f t="shared" si="13"/>
        <v>8400</v>
      </c>
      <c r="F73" s="15">
        <f t="shared" si="14"/>
        <v>9282</v>
      </c>
      <c r="G73" s="3"/>
      <c r="H73" s="3"/>
      <c r="I73" s="22">
        <f>8000/7</f>
        <v>1142.857143</v>
      </c>
      <c r="J73" s="15">
        <f t="shared" si="15"/>
        <v>3428.571429</v>
      </c>
      <c r="K73" s="15">
        <f t="shared" si="16"/>
        <v>5853.428571</v>
      </c>
      <c r="L73" s="36">
        <f t="shared" si="17"/>
        <v>0.6968367347</v>
      </c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91">
        <v>4.0</v>
      </c>
      <c r="B74" s="92" t="s">
        <v>33</v>
      </c>
      <c r="C74" s="93" t="s">
        <v>178</v>
      </c>
      <c r="D74" s="22">
        <v>2500.0</v>
      </c>
      <c r="E74" s="15">
        <f t="shared" si="13"/>
        <v>10000</v>
      </c>
      <c r="F74" s="15">
        <f t="shared" si="14"/>
        <v>11050</v>
      </c>
      <c r="G74" s="3"/>
      <c r="H74" s="3"/>
      <c r="I74" s="22">
        <f>25000/15</f>
        <v>1666.666667</v>
      </c>
      <c r="J74" s="15">
        <f t="shared" si="15"/>
        <v>6666.666667</v>
      </c>
      <c r="K74" s="15">
        <f t="shared" si="16"/>
        <v>4383.333333</v>
      </c>
      <c r="L74" s="36">
        <f t="shared" si="17"/>
        <v>0.4383333333</v>
      </c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91">
        <v>1.0</v>
      </c>
      <c r="B75" s="92" t="s">
        <v>18</v>
      </c>
      <c r="C75" s="93" t="s">
        <v>21</v>
      </c>
      <c r="D75" s="22">
        <v>52000.0</v>
      </c>
      <c r="E75" s="15">
        <f t="shared" si="13"/>
        <v>52000</v>
      </c>
      <c r="F75" s="15">
        <f>E75*1.21</f>
        <v>62920</v>
      </c>
      <c r="G75" s="3"/>
      <c r="H75" s="3"/>
      <c r="I75" s="22">
        <v>48000.0</v>
      </c>
      <c r="J75" s="15">
        <f t="shared" si="15"/>
        <v>48000</v>
      </c>
      <c r="K75" s="15">
        <f t="shared" si="16"/>
        <v>14920</v>
      </c>
      <c r="L75" s="36">
        <f t="shared" si="17"/>
        <v>0.2869230769</v>
      </c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91">
        <v>1.0</v>
      </c>
      <c r="B76" s="92" t="s">
        <v>33</v>
      </c>
      <c r="C76" s="93" t="s">
        <v>70</v>
      </c>
      <c r="D76" s="22">
        <v>1200.0</v>
      </c>
      <c r="E76" s="15">
        <f t="shared" si="13"/>
        <v>1200</v>
      </c>
      <c r="F76" s="15">
        <f t="shared" ref="F76:F89" si="19">E76*1.105</f>
        <v>1326</v>
      </c>
      <c r="G76" s="3"/>
      <c r="H76" s="3"/>
      <c r="I76" s="22">
        <v>800.0</v>
      </c>
      <c r="J76" s="15">
        <f t="shared" si="15"/>
        <v>800</v>
      </c>
      <c r="K76" s="15">
        <f t="shared" si="16"/>
        <v>526</v>
      </c>
      <c r="L76" s="36">
        <f t="shared" si="17"/>
        <v>0.4383333333</v>
      </c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91">
        <v>1.0</v>
      </c>
      <c r="B77" s="92" t="s">
        <v>33</v>
      </c>
      <c r="C77" s="93" t="s">
        <v>72</v>
      </c>
      <c r="D77" s="22">
        <v>2500.0</v>
      </c>
      <c r="E77" s="15">
        <f t="shared" si="13"/>
        <v>2500</v>
      </c>
      <c r="F77" s="15">
        <f t="shared" si="19"/>
        <v>2762.5</v>
      </c>
      <c r="G77" s="3"/>
      <c r="H77" s="3"/>
      <c r="I77" s="22">
        <f>27000/15</f>
        <v>1800</v>
      </c>
      <c r="J77" s="15">
        <f t="shared" si="15"/>
        <v>1800</v>
      </c>
      <c r="K77" s="15">
        <f t="shared" si="16"/>
        <v>962.5</v>
      </c>
      <c r="L77" s="36">
        <f t="shared" si="17"/>
        <v>0.385</v>
      </c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91">
        <v>1.0</v>
      </c>
      <c r="B78" s="92" t="s">
        <v>33</v>
      </c>
      <c r="C78" s="93" t="s">
        <v>111</v>
      </c>
      <c r="D78" s="22">
        <v>2500.0</v>
      </c>
      <c r="E78" s="15">
        <f t="shared" si="13"/>
        <v>2500</v>
      </c>
      <c r="F78" s="15">
        <f t="shared" si="19"/>
        <v>2762.5</v>
      </c>
      <c r="G78" s="3"/>
      <c r="H78" s="3"/>
      <c r="I78" s="22">
        <f>20000/15</f>
        <v>1333.333333</v>
      </c>
      <c r="J78" s="15">
        <f t="shared" si="15"/>
        <v>1333.333333</v>
      </c>
      <c r="K78" s="15">
        <f t="shared" si="16"/>
        <v>1429.166667</v>
      </c>
      <c r="L78" s="36">
        <f t="shared" si="17"/>
        <v>0.5716666667</v>
      </c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91">
        <v>1.0</v>
      </c>
      <c r="B79" s="92" t="s">
        <v>50</v>
      </c>
      <c r="C79" s="93" t="s">
        <v>17</v>
      </c>
      <c r="D79" s="22">
        <v>5500.0</v>
      </c>
      <c r="E79" s="15">
        <f t="shared" si="13"/>
        <v>5500</v>
      </c>
      <c r="F79" s="15">
        <f t="shared" si="19"/>
        <v>6077.5</v>
      </c>
      <c r="G79" s="3"/>
      <c r="H79" s="3"/>
      <c r="I79" s="22">
        <v>3400.0</v>
      </c>
      <c r="J79" s="15">
        <f t="shared" si="15"/>
        <v>3400</v>
      </c>
      <c r="K79" s="15">
        <f t="shared" si="16"/>
        <v>2677.5</v>
      </c>
      <c r="L79" s="36">
        <f t="shared" si="17"/>
        <v>0.4868181818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91">
        <v>3.0</v>
      </c>
      <c r="B80" s="92" t="s">
        <v>33</v>
      </c>
      <c r="C80" s="93" t="s">
        <v>53</v>
      </c>
      <c r="D80" s="22">
        <v>9000.0</v>
      </c>
      <c r="E80" s="15">
        <f t="shared" si="13"/>
        <v>27000</v>
      </c>
      <c r="F80" s="15">
        <f t="shared" si="19"/>
        <v>29835</v>
      </c>
      <c r="G80" s="3"/>
      <c r="H80" s="3"/>
      <c r="I80" s="22">
        <f>55000/8</f>
        <v>6875</v>
      </c>
      <c r="J80" s="15">
        <f t="shared" si="15"/>
        <v>20625</v>
      </c>
      <c r="K80" s="15">
        <f t="shared" si="16"/>
        <v>9210</v>
      </c>
      <c r="L80" s="36">
        <f t="shared" si="17"/>
        <v>0.3411111111</v>
      </c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91">
        <v>8.0</v>
      </c>
      <c r="B81" s="92" t="s">
        <v>33</v>
      </c>
      <c r="C81" s="93" t="s">
        <v>39</v>
      </c>
      <c r="D81" s="22">
        <v>1700.0</v>
      </c>
      <c r="E81" s="15">
        <f t="shared" si="13"/>
        <v>13600</v>
      </c>
      <c r="F81" s="15">
        <f t="shared" si="19"/>
        <v>15028</v>
      </c>
      <c r="G81" s="3"/>
      <c r="H81" s="3"/>
      <c r="I81" s="22">
        <f>20000/15</f>
        <v>1333.333333</v>
      </c>
      <c r="J81" s="15">
        <f t="shared" si="15"/>
        <v>10666.66667</v>
      </c>
      <c r="K81" s="15">
        <f t="shared" si="16"/>
        <v>4361.333333</v>
      </c>
      <c r="L81" s="36">
        <f t="shared" si="17"/>
        <v>0.3206862745</v>
      </c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1.0</v>
      </c>
      <c r="B82" s="84" t="s">
        <v>29</v>
      </c>
      <c r="C82" s="85" t="s">
        <v>31</v>
      </c>
      <c r="D82" s="22">
        <v>32000.0</v>
      </c>
      <c r="E82" s="15">
        <f t="shared" si="13"/>
        <v>32000</v>
      </c>
      <c r="F82" s="15">
        <f t="shared" si="19"/>
        <v>35360</v>
      </c>
      <c r="G82" s="101"/>
      <c r="H82" s="101"/>
      <c r="I82" s="22">
        <v>22000.0</v>
      </c>
      <c r="J82" s="15">
        <f t="shared" si="15"/>
        <v>22000</v>
      </c>
      <c r="K82" s="15">
        <f t="shared" si="16"/>
        <v>13360</v>
      </c>
      <c r="L82" s="36">
        <f t="shared" si="17"/>
        <v>0.4175</v>
      </c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>
        <v>2.0</v>
      </c>
      <c r="B83" s="84" t="s">
        <v>33</v>
      </c>
      <c r="C83" s="85" t="s">
        <v>57</v>
      </c>
      <c r="D83" s="22">
        <v>9000.0</v>
      </c>
      <c r="E83" s="15">
        <f t="shared" si="13"/>
        <v>18000</v>
      </c>
      <c r="F83" s="15">
        <f t="shared" si="19"/>
        <v>19890</v>
      </c>
      <c r="G83" s="101"/>
      <c r="H83" s="101"/>
      <c r="I83" s="22">
        <f>35000/4</f>
        <v>8750</v>
      </c>
      <c r="J83" s="15">
        <f t="shared" si="15"/>
        <v>17500</v>
      </c>
      <c r="K83" s="15">
        <f t="shared" si="16"/>
        <v>2390</v>
      </c>
      <c r="L83" s="36">
        <f t="shared" si="17"/>
        <v>0.1327777778</v>
      </c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83">
        <v>1.7</v>
      </c>
      <c r="B84" s="84" t="s">
        <v>33</v>
      </c>
      <c r="C84" s="85" t="s">
        <v>71</v>
      </c>
      <c r="D84" s="22">
        <v>1800.0</v>
      </c>
      <c r="E84" s="15">
        <f t="shared" si="13"/>
        <v>3060</v>
      </c>
      <c r="F84" s="15">
        <f t="shared" si="19"/>
        <v>3381.3</v>
      </c>
      <c r="G84" s="101"/>
      <c r="H84" s="101"/>
      <c r="I84" s="22">
        <f>8000/6</f>
        <v>1333.333333</v>
      </c>
      <c r="J84" s="15">
        <f t="shared" si="15"/>
        <v>2266.666667</v>
      </c>
      <c r="K84" s="15">
        <f t="shared" si="16"/>
        <v>1114.633333</v>
      </c>
      <c r="L84" s="36">
        <f t="shared" si="17"/>
        <v>0.3642592593</v>
      </c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2.0</v>
      </c>
      <c r="B85" s="84" t="s">
        <v>33</v>
      </c>
      <c r="C85" s="85" t="s">
        <v>47</v>
      </c>
      <c r="D85" s="22">
        <v>1400.0</v>
      </c>
      <c r="E85" s="15">
        <f t="shared" si="13"/>
        <v>2800</v>
      </c>
      <c r="F85" s="15">
        <f t="shared" si="19"/>
        <v>3094</v>
      </c>
      <c r="G85" s="101"/>
      <c r="H85" s="101"/>
      <c r="I85" s="22">
        <f>8000/8</f>
        <v>1000</v>
      </c>
      <c r="J85" s="15">
        <f t="shared" si="15"/>
        <v>2000</v>
      </c>
      <c r="K85" s="15">
        <f t="shared" si="16"/>
        <v>1094</v>
      </c>
      <c r="L85" s="36">
        <f t="shared" si="17"/>
        <v>0.3907142857</v>
      </c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83">
        <v>2.0</v>
      </c>
      <c r="B86" s="84" t="s">
        <v>33</v>
      </c>
      <c r="C86" s="85" t="s">
        <v>211</v>
      </c>
      <c r="D86" s="22">
        <v>4500.0</v>
      </c>
      <c r="E86" s="15">
        <f t="shared" si="13"/>
        <v>9000</v>
      </c>
      <c r="F86" s="15">
        <f t="shared" si="19"/>
        <v>9945</v>
      </c>
      <c r="G86" s="101"/>
      <c r="H86" s="101"/>
      <c r="I86" s="22">
        <f>65000/18</f>
        <v>3611.111111</v>
      </c>
      <c r="J86" s="15">
        <f t="shared" si="15"/>
        <v>7222.222222</v>
      </c>
      <c r="K86" s="15">
        <f t="shared" si="16"/>
        <v>2722.777778</v>
      </c>
      <c r="L86" s="36">
        <f t="shared" si="17"/>
        <v>0.3025308642</v>
      </c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83">
        <v>3.0</v>
      </c>
      <c r="B87" s="84" t="s">
        <v>50</v>
      </c>
      <c r="C87" s="93" t="s">
        <v>65</v>
      </c>
      <c r="D87" s="22">
        <v>300.0</v>
      </c>
      <c r="E87" s="15">
        <f t="shared" si="13"/>
        <v>900</v>
      </c>
      <c r="F87" s="15">
        <f t="shared" si="19"/>
        <v>994.5</v>
      </c>
      <c r="G87" s="101"/>
      <c r="H87" s="101"/>
      <c r="I87" s="22">
        <f>4000/24</f>
        <v>166.6666667</v>
      </c>
      <c r="J87" s="15">
        <f t="shared" si="15"/>
        <v>500</v>
      </c>
      <c r="K87" s="15">
        <f t="shared" si="16"/>
        <v>494.5</v>
      </c>
      <c r="L87" s="36">
        <f t="shared" si="17"/>
        <v>0.5494444444</v>
      </c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83">
        <v>2.0</v>
      </c>
      <c r="B88" s="84" t="s">
        <v>33</v>
      </c>
      <c r="C88" s="85" t="s">
        <v>56</v>
      </c>
      <c r="D88" s="22">
        <v>2300.0</v>
      </c>
      <c r="E88" s="15">
        <f t="shared" si="13"/>
        <v>4600</v>
      </c>
      <c r="F88" s="15">
        <f t="shared" si="19"/>
        <v>5083</v>
      </c>
      <c r="G88" s="101"/>
      <c r="H88" s="101"/>
      <c r="I88" s="101">
        <f>23000/18</f>
        <v>1277.777778</v>
      </c>
      <c r="J88" s="15">
        <f t="shared" si="15"/>
        <v>2555.555556</v>
      </c>
      <c r="K88" s="15">
        <f t="shared" si="16"/>
        <v>2527.444444</v>
      </c>
      <c r="L88" s="36">
        <f t="shared" si="17"/>
        <v>0.5494444444</v>
      </c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83">
        <v>1.0</v>
      </c>
      <c r="B89" s="84" t="s">
        <v>33</v>
      </c>
      <c r="C89" s="85" t="s">
        <v>221</v>
      </c>
      <c r="D89" s="22">
        <v>4000.0</v>
      </c>
      <c r="E89" s="15">
        <f t="shared" si="13"/>
        <v>4000</v>
      </c>
      <c r="F89" s="15">
        <f t="shared" si="19"/>
        <v>4420</v>
      </c>
      <c r="G89" s="101"/>
      <c r="H89" s="101"/>
      <c r="I89" s="113">
        <v>4000.0</v>
      </c>
      <c r="J89" s="15">
        <f t="shared" si="15"/>
        <v>4000</v>
      </c>
      <c r="K89" s="15">
        <f t="shared" si="16"/>
        <v>420</v>
      </c>
      <c r="L89" s="36">
        <f t="shared" si="17"/>
        <v>0.105</v>
      </c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103"/>
      <c r="B90" s="101"/>
      <c r="C90" s="104"/>
      <c r="D90" s="101"/>
      <c r="E90" s="101"/>
      <c r="F90" s="101"/>
      <c r="G90" s="101"/>
      <c r="H90" s="101"/>
      <c r="I90" s="101"/>
      <c r="J90" s="101"/>
      <c r="K90" s="101"/>
      <c r="L90" s="36"/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03"/>
      <c r="B91" s="101"/>
      <c r="C91" s="104"/>
      <c r="D91" s="101"/>
      <c r="E91" s="15">
        <f t="shared" ref="E91:F91" si="20">SUM(E65:E89)</f>
        <v>276760</v>
      </c>
      <c r="F91" s="15">
        <f t="shared" si="20"/>
        <v>311279.8</v>
      </c>
      <c r="G91" s="101"/>
      <c r="H91" s="101"/>
      <c r="I91" s="101"/>
      <c r="J91" s="101"/>
      <c r="K91" s="15">
        <f>SUM(K65:K89)</f>
        <v>94929.90317</v>
      </c>
      <c r="L91" s="110">
        <f>IFERROR(K91/E91, 0)</f>
        <v>0.3430044196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 ht="15.75" customHeight="1">
      <c r="A93" s="26" t="s">
        <v>60</v>
      </c>
      <c r="B93" s="27">
        <v>0.04</v>
      </c>
      <c r="C93" s="2"/>
      <c r="D93" s="3"/>
      <c r="E93" s="15">
        <f>E91*0.04</f>
        <v>11070.4</v>
      </c>
      <c r="F93" s="3"/>
      <c r="G93" s="2"/>
      <c r="H93" s="3"/>
      <c r="I93" s="3"/>
      <c r="J93" s="3"/>
      <c r="K93" s="3"/>
      <c r="L93" s="4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9"/>
      <c r="B94" s="24"/>
      <c r="C94" s="24"/>
      <c r="D94" s="81"/>
      <c r="E94" s="82"/>
      <c r="F94" s="33"/>
      <c r="G94" s="25"/>
      <c r="H94" s="25"/>
      <c r="I94" s="16"/>
      <c r="J94" s="16"/>
      <c r="K94" s="16"/>
      <c r="L94" s="34"/>
      <c r="M94" s="2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9" t="s">
        <v>366</v>
      </c>
      <c r="B97" s="24"/>
      <c r="C97" s="24"/>
      <c r="D97" s="81" t="s">
        <v>44</v>
      </c>
      <c r="E97" s="82">
        <v>46076.0</v>
      </c>
      <c r="F97" s="122" t="s">
        <v>2</v>
      </c>
      <c r="G97" s="25"/>
      <c r="H97" s="25"/>
      <c r="I97" s="16"/>
      <c r="J97" s="16"/>
      <c r="K97" s="16"/>
      <c r="L97" s="3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B98" s="25"/>
      <c r="C98" s="35"/>
      <c r="D98" s="25"/>
      <c r="E98" s="25"/>
      <c r="F98" s="25"/>
      <c r="G98" s="25"/>
      <c r="H98" s="25"/>
      <c r="I98" s="16"/>
      <c r="J98" s="16"/>
      <c r="K98" s="16"/>
      <c r="L98" s="3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 t="s">
        <v>4</v>
      </c>
      <c r="B99" s="10" t="s">
        <v>5</v>
      </c>
      <c r="C99" s="11" t="s">
        <v>6</v>
      </c>
      <c r="D99" s="12" t="s">
        <v>7</v>
      </c>
      <c r="E99" s="10" t="s">
        <v>8</v>
      </c>
      <c r="F99" s="12"/>
      <c r="G99" s="25"/>
      <c r="H99" s="25"/>
      <c r="I99" s="12" t="s">
        <v>7</v>
      </c>
      <c r="J99" s="12" t="s">
        <v>8</v>
      </c>
      <c r="K99" s="12" t="s">
        <v>10</v>
      </c>
      <c r="L99" s="3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3">
        <v>1.0</v>
      </c>
      <c r="B100" s="84" t="s">
        <v>18</v>
      </c>
      <c r="C100" s="85" t="s">
        <v>95</v>
      </c>
      <c r="D100" s="22">
        <v>18000.0</v>
      </c>
      <c r="E100" s="15">
        <f t="shared" ref="E100:E116" si="21">A100*D100</f>
        <v>18000</v>
      </c>
      <c r="F100" s="16"/>
      <c r="G100" s="25"/>
      <c r="H100" s="37"/>
      <c r="I100" s="87">
        <v>16000.0</v>
      </c>
      <c r="J100" s="16">
        <f t="shared" ref="J100:J116" si="22">I100*A100</f>
        <v>16000</v>
      </c>
      <c r="K100" s="16">
        <f t="shared" ref="K100:K116" si="23">E100-J100</f>
        <v>2000</v>
      </c>
      <c r="L100" s="110">
        <f t="shared" ref="L100:L116" si="24">K100/E100</f>
        <v>0.1111111111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3">
        <v>1.0</v>
      </c>
      <c r="B101" s="84" t="s">
        <v>50</v>
      </c>
      <c r="C101" s="85" t="s">
        <v>68</v>
      </c>
      <c r="D101" s="22">
        <v>3500.0</v>
      </c>
      <c r="E101" s="15">
        <f t="shared" si="21"/>
        <v>3500</v>
      </c>
      <c r="F101" s="16"/>
      <c r="G101" s="25"/>
      <c r="H101" s="37"/>
      <c r="I101" s="87">
        <v>2000.0</v>
      </c>
      <c r="J101" s="16">
        <f t="shared" si="22"/>
        <v>2000</v>
      </c>
      <c r="K101" s="16">
        <f t="shared" si="23"/>
        <v>1500</v>
      </c>
      <c r="L101" s="110">
        <f t="shared" si="24"/>
        <v>0.4285714286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3">
        <v>1.0</v>
      </c>
      <c r="B102" s="84" t="s">
        <v>5</v>
      </c>
      <c r="C102" s="85" t="s">
        <v>71</v>
      </c>
      <c r="D102" s="22">
        <v>1800.0</v>
      </c>
      <c r="E102" s="15">
        <f t="shared" si="21"/>
        <v>1800</v>
      </c>
      <c r="F102" s="16"/>
      <c r="G102" s="25"/>
      <c r="H102" s="37"/>
      <c r="I102" s="87">
        <f>8000/6</f>
        <v>1333.333333</v>
      </c>
      <c r="J102" s="16">
        <f t="shared" si="22"/>
        <v>1333.333333</v>
      </c>
      <c r="K102" s="16">
        <f t="shared" si="23"/>
        <v>466.6666667</v>
      </c>
      <c r="L102" s="110">
        <f t="shared" si="24"/>
        <v>0.2592592593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3">
        <v>1.0</v>
      </c>
      <c r="B103" s="84" t="s">
        <v>5</v>
      </c>
      <c r="C103" s="85" t="s">
        <v>367</v>
      </c>
      <c r="D103" s="22">
        <v>1800.0</v>
      </c>
      <c r="E103" s="15">
        <f t="shared" si="21"/>
        <v>1800</v>
      </c>
      <c r="F103" s="16"/>
      <c r="G103" s="25"/>
      <c r="H103" s="37"/>
      <c r="I103" s="87">
        <v>1333.33</v>
      </c>
      <c r="J103" s="16">
        <f t="shared" si="22"/>
        <v>1333.33</v>
      </c>
      <c r="K103" s="16">
        <f t="shared" si="23"/>
        <v>466.67</v>
      </c>
      <c r="L103" s="110">
        <f t="shared" si="24"/>
        <v>0.2592611111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3">
        <v>1.0</v>
      </c>
      <c r="B104" s="84" t="s">
        <v>50</v>
      </c>
      <c r="C104" s="85" t="s">
        <v>17</v>
      </c>
      <c r="D104" s="22">
        <v>5500.0</v>
      </c>
      <c r="E104" s="15">
        <f t="shared" si="21"/>
        <v>5500</v>
      </c>
      <c r="F104" s="16"/>
      <c r="G104" s="25"/>
      <c r="H104" s="37"/>
      <c r="I104" s="87">
        <v>3400.0</v>
      </c>
      <c r="J104" s="16">
        <f t="shared" si="22"/>
        <v>3400</v>
      </c>
      <c r="K104" s="16">
        <f t="shared" si="23"/>
        <v>2100</v>
      </c>
      <c r="L104" s="110">
        <f t="shared" si="24"/>
        <v>0.3818181818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3">
        <v>2.0</v>
      </c>
      <c r="B105" s="84" t="s">
        <v>38</v>
      </c>
      <c r="C105" s="85" t="s">
        <v>226</v>
      </c>
      <c r="D105" s="22">
        <v>15000.0</v>
      </c>
      <c r="E105" s="15">
        <f t="shared" si="21"/>
        <v>30000</v>
      </c>
      <c r="F105" s="16"/>
      <c r="G105" s="25"/>
      <c r="H105" s="37"/>
      <c r="I105" s="87">
        <v>11000.0</v>
      </c>
      <c r="J105" s="16">
        <f t="shared" si="22"/>
        <v>22000</v>
      </c>
      <c r="K105" s="16">
        <f t="shared" si="23"/>
        <v>8000</v>
      </c>
      <c r="L105" s="110">
        <f t="shared" si="24"/>
        <v>0.2666666667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3">
        <v>1.0</v>
      </c>
      <c r="B106" s="84" t="s">
        <v>38</v>
      </c>
      <c r="C106" s="85" t="s">
        <v>67</v>
      </c>
      <c r="D106" s="22">
        <v>12000.0</v>
      </c>
      <c r="E106" s="15">
        <f t="shared" si="21"/>
        <v>12000</v>
      </c>
      <c r="F106" s="16"/>
      <c r="G106" s="25"/>
      <c r="H106" s="37"/>
      <c r="I106" s="87">
        <v>8000.0</v>
      </c>
      <c r="J106" s="16">
        <f t="shared" si="22"/>
        <v>8000</v>
      </c>
      <c r="K106" s="16">
        <f t="shared" si="23"/>
        <v>4000</v>
      </c>
      <c r="L106" s="115">
        <f t="shared" si="24"/>
        <v>0.3333333333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3">
        <v>1.0</v>
      </c>
      <c r="B107" s="84" t="s">
        <v>18</v>
      </c>
      <c r="C107" s="85" t="s">
        <v>368</v>
      </c>
      <c r="D107" s="22">
        <v>30000.0</v>
      </c>
      <c r="E107" s="15">
        <f t="shared" si="21"/>
        <v>30000</v>
      </c>
      <c r="F107" s="16"/>
      <c r="G107" s="25"/>
      <c r="H107" s="37"/>
      <c r="I107" s="87">
        <v>20000.0</v>
      </c>
      <c r="J107" s="16">
        <f t="shared" si="22"/>
        <v>20000</v>
      </c>
      <c r="K107" s="16">
        <f t="shared" si="23"/>
        <v>10000</v>
      </c>
      <c r="L107" s="115">
        <f t="shared" si="24"/>
        <v>0.3333333333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3">
        <v>2.0</v>
      </c>
      <c r="B108" s="84" t="s">
        <v>50</v>
      </c>
      <c r="C108" s="85" t="s">
        <v>16</v>
      </c>
      <c r="D108" s="22">
        <v>1000.0</v>
      </c>
      <c r="E108" s="15">
        <f t="shared" si="21"/>
        <v>2000</v>
      </c>
      <c r="F108" s="16"/>
      <c r="G108" s="25"/>
      <c r="H108" s="37"/>
      <c r="I108" s="87">
        <f>8000/24</f>
        <v>333.3333333</v>
      </c>
      <c r="J108" s="16">
        <f t="shared" si="22"/>
        <v>666.6666667</v>
      </c>
      <c r="K108" s="16">
        <f t="shared" si="23"/>
        <v>1333.333333</v>
      </c>
      <c r="L108" s="110">
        <f t="shared" si="24"/>
        <v>0.6666666667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3">
        <v>1.0</v>
      </c>
      <c r="B109" s="84" t="s">
        <v>29</v>
      </c>
      <c r="C109" s="85" t="s">
        <v>31</v>
      </c>
      <c r="D109" s="22">
        <v>34000.0</v>
      </c>
      <c r="E109" s="15">
        <f t="shared" si="21"/>
        <v>34000</v>
      </c>
      <c r="F109" s="16"/>
      <c r="G109" s="25"/>
      <c r="H109" s="37"/>
      <c r="I109" s="87">
        <v>22000.0</v>
      </c>
      <c r="J109" s="16">
        <f t="shared" si="22"/>
        <v>22000</v>
      </c>
      <c r="K109" s="16">
        <f t="shared" si="23"/>
        <v>12000</v>
      </c>
      <c r="L109" s="110">
        <f t="shared" si="24"/>
        <v>0.3529411765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3">
        <v>1.0</v>
      </c>
      <c r="B110" s="84" t="s">
        <v>33</v>
      </c>
      <c r="C110" s="85" t="s">
        <v>53</v>
      </c>
      <c r="D110" s="22">
        <v>9500.0</v>
      </c>
      <c r="E110" s="15">
        <f t="shared" si="21"/>
        <v>9500</v>
      </c>
      <c r="F110" s="16"/>
      <c r="G110" s="25"/>
      <c r="H110" s="37"/>
      <c r="I110" s="87">
        <f>55000/8</f>
        <v>6875</v>
      </c>
      <c r="J110" s="16">
        <f t="shared" si="22"/>
        <v>6875</v>
      </c>
      <c r="K110" s="16">
        <f t="shared" si="23"/>
        <v>2625</v>
      </c>
      <c r="L110" s="110">
        <f t="shared" si="24"/>
        <v>0.2763157895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3">
        <v>1.0</v>
      </c>
      <c r="B111" s="84" t="s">
        <v>38</v>
      </c>
      <c r="C111" s="85" t="s">
        <v>47</v>
      </c>
      <c r="D111" s="22">
        <v>12000.0</v>
      </c>
      <c r="E111" s="15">
        <f t="shared" si="21"/>
        <v>12000</v>
      </c>
      <c r="F111" s="16"/>
      <c r="G111" s="25"/>
      <c r="H111" s="37"/>
      <c r="I111" s="87">
        <v>8000.0</v>
      </c>
      <c r="J111" s="16">
        <f t="shared" si="22"/>
        <v>8000</v>
      </c>
      <c r="K111" s="16">
        <f t="shared" si="23"/>
        <v>4000</v>
      </c>
      <c r="L111" s="115">
        <f t="shared" si="24"/>
        <v>0.3333333333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3">
        <v>1.0</v>
      </c>
      <c r="B112" s="84" t="s">
        <v>38</v>
      </c>
      <c r="C112" s="85" t="s">
        <v>45</v>
      </c>
      <c r="D112" s="22">
        <v>12000.0</v>
      </c>
      <c r="E112" s="15">
        <f t="shared" si="21"/>
        <v>12000</v>
      </c>
      <c r="F112" s="16"/>
      <c r="G112" s="25"/>
      <c r="H112" s="37"/>
      <c r="I112" s="87">
        <v>8000.0</v>
      </c>
      <c r="J112" s="16">
        <f t="shared" si="22"/>
        <v>8000</v>
      </c>
      <c r="K112" s="16">
        <f t="shared" si="23"/>
        <v>4000</v>
      </c>
      <c r="L112" s="115">
        <f t="shared" si="24"/>
        <v>0.3333333333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3">
        <v>1.0</v>
      </c>
      <c r="B113" s="84" t="s">
        <v>38</v>
      </c>
      <c r="C113" s="85" t="s">
        <v>365</v>
      </c>
      <c r="D113" s="22">
        <v>3000.0</v>
      </c>
      <c r="E113" s="15">
        <f t="shared" si="21"/>
        <v>3000</v>
      </c>
      <c r="F113" s="16"/>
      <c r="G113" s="25"/>
      <c r="H113" s="37"/>
      <c r="I113" s="87">
        <v>2000.0</v>
      </c>
      <c r="J113" s="16">
        <f t="shared" si="22"/>
        <v>2000</v>
      </c>
      <c r="K113" s="16">
        <f t="shared" si="23"/>
        <v>1000</v>
      </c>
      <c r="L113" s="110">
        <f t="shared" si="24"/>
        <v>0.3333333333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3">
        <v>1.0</v>
      </c>
      <c r="B114" s="84" t="s">
        <v>208</v>
      </c>
      <c r="C114" s="85" t="s">
        <v>199</v>
      </c>
      <c r="D114" s="22">
        <v>4500.0</v>
      </c>
      <c r="E114" s="15">
        <f t="shared" si="21"/>
        <v>4500</v>
      </c>
      <c r="F114" s="16"/>
      <c r="G114" s="25"/>
      <c r="H114" s="37"/>
      <c r="I114" s="87">
        <v>4000.0</v>
      </c>
      <c r="J114" s="16">
        <f t="shared" si="22"/>
        <v>4000</v>
      </c>
      <c r="K114" s="16">
        <f t="shared" si="23"/>
        <v>500</v>
      </c>
      <c r="L114" s="110">
        <f t="shared" si="24"/>
        <v>0.1111111111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3">
        <v>4.0</v>
      </c>
      <c r="B115" s="84" t="s">
        <v>50</v>
      </c>
      <c r="C115" s="85" t="s">
        <v>14</v>
      </c>
      <c r="D115" s="22">
        <v>3000.0</v>
      </c>
      <c r="E115" s="15">
        <f t="shared" si="21"/>
        <v>12000</v>
      </c>
      <c r="F115" s="16"/>
      <c r="G115" s="25"/>
      <c r="H115" s="37"/>
      <c r="I115" s="87">
        <v>2000.0</v>
      </c>
      <c r="J115" s="16">
        <f t="shared" si="22"/>
        <v>8000</v>
      </c>
      <c r="K115" s="16">
        <f t="shared" si="23"/>
        <v>4000</v>
      </c>
      <c r="L115" s="110">
        <f t="shared" si="24"/>
        <v>0.3333333333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3">
        <v>4.0</v>
      </c>
      <c r="B116" s="84" t="s">
        <v>50</v>
      </c>
      <c r="C116" s="85" t="s">
        <v>12</v>
      </c>
      <c r="D116" s="22">
        <v>3000.0</v>
      </c>
      <c r="E116" s="15">
        <f t="shared" si="21"/>
        <v>12000</v>
      </c>
      <c r="F116" s="16"/>
      <c r="G116" s="25"/>
      <c r="H116" s="37"/>
      <c r="I116" s="87">
        <v>2000.0</v>
      </c>
      <c r="J116" s="16">
        <f t="shared" si="22"/>
        <v>8000</v>
      </c>
      <c r="K116" s="16">
        <f t="shared" si="23"/>
        <v>4000</v>
      </c>
      <c r="L116" s="110">
        <f t="shared" si="24"/>
        <v>0.3333333333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3"/>
      <c r="B117" s="12"/>
      <c r="C117" s="14"/>
      <c r="D117" s="15"/>
      <c r="E117" s="16"/>
      <c r="F117" s="16"/>
      <c r="H117" s="25"/>
      <c r="I117" s="16"/>
      <c r="J117" s="16"/>
      <c r="K117" s="16"/>
      <c r="L117" s="36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3"/>
      <c r="B118" s="12"/>
      <c r="C118" s="14"/>
      <c r="D118" s="15"/>
      <c r="E118" s="16">
        <f>SUM(E100:E117)</f>
        <v>203600</v>
      </c>
      <c r="F118" s="16"/>
      <c r="G118" s="25"/>
      <c r="H118" s="25"/>
      <c r="I118" s="16"/>
      <c r="J118" s="16"/>
      <c r="K118" s="16">
        <f>SUM(K100:K116)</f>
        <v>61991.67</v>
      </c>
      <c r="L118" s="110">
        <f>K118/E118</f>
        <v>0.3044777505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6" t="s">
        <v>60</v>
      </c>
      <c r="B120" s="27">
        <v>0.04</v>
      </c>
      <c r="C120" s="2"/>
      <c r="D120" s="3"/>
      <c r="E120" s="15">
        <f>E118*0.04</f>
        <v>8144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5" t="s">
        <v>369</v>
      </c>
      <c r="E122" s="86" t="s">
        <v>44</v>
      </c>
      <c r="F122" s="82">
        <v>46076.0</v>
      </c>
      <c r="G122" s="6"/>
      <c r="H122" s="3"/>
      <c r="I122" s="8" t="s">
        <v>3</v>
      </c>
      <c r="L122" s="4"/>
      <c r="M122" s="2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 ht="15.75" customHeight="1">
      <c r="A123" s="1"/>
      <c r="B123" s="3"/>
      <c r="C123" s="9"/>
      <c r="D123" s="3"/>
      <c r="E123" s="3"/>
      <c r="F123" s="3"/>
      <c r="G123" s="3"/>
      <c r="H123" s="3"/>
      <c r="I123" s="3"/>
      <c r="J123" s="3"/>
      <c r="K123" s="3"/>
      <c r="L123" s="4"/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 ht="15.75" customHeight="1">
      <c r="A124" s="5" t="s">
        <v>4</v>
      </c>
      <c r="B124" s="10" t="s">
        <v>5</v>
      </c>
      <c r="C124" s="96" t="s">
        <v>6</v>
      </c>
      <c r="D124" s="10" t="s">
        <v>7</v>
      </c>
      <c r="E124" s="10" t="s">
        <v>8</v>
      </c>
      <c r="F124" s="10" t="s">
        <v>9</v>
      </c>
      <c r="G124" s="101"/>
      <c r="H124" s="101"/>
      <c r="I124" s="10" t="s">
        <v>260</v>
      </c>
      <c r="J124" s="10" t="s">
        <v>8</v>
      </c>
      <c r="K124" s="10" t="s">
        <v>10</v>
      </c>
      <c r="L124" s="102"/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3">
        <v>5.0</v>
      </c>
      <c r="B125" s="84" t="s">
        <v>33</v>
      </c>
      <c r="C125" s="85" t="s">
        <v>64</v>
      </c>
      <c r="D125" s="22">
        <v>2300.0</v>
      </c>
      <c r="E125" s="15">
        <f t="shared" ref="E125:E152" si="25">A125*D125</f>
        <v>11500</v>
      </c>
      <c r="F125" s="15">
        <f t="shared" ref="F125:F151" si="26">E125*1.105</f>
        <v>12707.5</v>
      </c>
      <c r="G125" s="101"/>
      <c r="H125" s="101"/>
      <c r="I125" s="22">
        <f>20000/15</f>
        <v>1333.333333</v>
      </c>
      <c r="J125" s="15">
        <f t="shared" ref="J125:J152" si="27">I125*A125</f>
        <v>6666.666667</v>
      </c>
      <c r="K125" s="15">
        <f t="shared" ref="K125:K152" si="28">F125-J125</f>
        <v>6040.833333</v>
      </c>
      <c r="L125" s="110">
        <f t="shared" ref="L125:L152" si="29">IFERROR(K125/E125, 0)</f>
        <v>0.5252898551</v>
      </c>
      <c r="M125" s="1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3">
        <v>1.5</v>
      </c>
      <c r="B126" s="84" t="s">
        <v>33</v>
      </c>
      <c r="C126" s="85" t="s">
        <v>233</v>
      </c>
      <c r="D126" s="22">
        <v>2800.0</v>
      </c>
      <c r="E126" s="15">
        <f t="shared" si="25"/>
        <v>4200</v>
      </c>
      <c r="F126" s="15">
        <f t="shared" si="26"/>
        <v>4641</v>
      </c>
      <c r="G126" s="101"/>
      <c r="H126" s="101"/>
      <c r="I126" s="87">
        <f>8000/7</f>
        <v>1142.857143</v>
      </c>
      <c r="J126" s="15">
        <f t="shared" si="27"/>
        <v>1714.285714</v>
      </c>
      <c r="K126" s="15">
        <f t="shared" si="28"/>
        <v>2926.714286</v>
      </c>
      <c r="L126" s="110">
        <f t="shared" si="29"/>
        <v>0.6968367347</v>
      </c>
      <c r="M126" s="1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>
        <v>5.0</v>
      </c>
      <c r="B127" s="84" t="s">
        <v>50</v>
      </c>
      <c r="C127" s="85" t="s">
        <v>65</v>
      </c>
      <c r="D127" s="22">
        <v>500.0</v>
      </c>
      <c r="E127" s="15">
        <f t="shared" si="25"/>
        <v>2500</v>
      </c>
      <c r="F127" s="15">
        <f t="shared" si="26"/>
        <v>2762.5</v>
      </c>
      <c r="G127" s="101"/>
      <c r="H127" s="101"/>
      <c r="I127" s="22">
        <f>4000/24</f>
        <v>166.6666667</v>
      </c>
      <c r="J127" s="15">
        <f t="shared" si="27"/>
        <v>833.3333333</v>
      </c>
      <c r="K127" s="15">
        <f t="shared" si="28"/>
        <v>1929.166667</v>
      </c>
      <c r="L127" s="110">
        <f t="shared" si="29"/>
        <v>0.7716666667</v>
      </c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>
        <v>4.0</v>
      </c>
      <c r="B128" s="84" t="s">
        <v>33</v>
      </c>
      <c r="C128" s="85" t="s">
        <v>24</v>
      </c>
      <c r="D128" s="22">
        <v>4000.0</v>
      </c>
      <c r="E128" s="15">
        <f t="shared" si="25"/>
        <v>16000</v>
      </c>
      <c r="F128" s="15">
        <f t="shared" si="26"/>
        <v>17680</v>
      </c>
      <c r="G128" s="101"/>
      <c r="H128" s="101"/>
      <c r="I128" s="22">
        <f>20000/7</f>
        <v>2857.142857</v>
      </c>
      <c r="J128" s="15">
        <f t="shared" si="27"/>
        <v>11428.57143</v>
      </c>
      <c r="K128" s="15">
        <f t="shared" si="28"/>
        <v>6251.428571</v>
      </c>
      <c r="L128" s="110">
        <f t="shared" si="29"/>
        <v>0.3907142857</v>
      </c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83">
        <v>1.0</v>
      </c>
      <c r="B129" s="84" t="s">
        <v>33</v>
      </c>
      <c r="C129" s="85" t="s">
        <v>25</v>
      </c>
      <c r="D129" s="22">
        <v>3100.0</v>
      </c>
      <c r="E129" s="15">
        <f t="shared" si="25"/>
        <v>3100</v>
      </c>
      <c r="F129" s="15">
        <f t="shared" si="26"/>
        <v>3425.5</v>
      </c>
      <c r="G129" s="101"/>
      <c r="H129" s="101"/>
      <c r="I129" s="22">
        <f>12000/7</f>
        <v>1714.285714</v>
      </c>
      <c r="J129" s="15">
        <f t="shared" si="27"/>
        <v>1714.285714</v>
      </c>
      <c r="K129" s="15">
        <f t="shared" si="28"/>
        <v>1711.214286</v>
      </c>
      <c r="L129" s="110">
        <f t="shared" si="29"/>
        <v>0.5520046083</v>
      </c>
      <c r="M129" s="1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83">
        <v>1.0</v>
      </c>
      <c r="B130" s="84" t="s">
        <v>33</v>
      </c>
      <c r="C130" s="85" t="s">
        <v>26</v>
      </c>
      <c r="D130" s="22">
        <v>4000.0</v>
      </c>
      <c r="E130" s="15">
        <f t="shared" si="25"/>
        <v>4000</v>
      </c>
      <c r="F130" s="15">
        <f t="shared" si="26"/>
        <v>4420</v>
      </c>
      <c r="G130" s="101"/>
      <c r="H130" s="101"/>
      <c r="I130" s="22">
        <f>22000/7</f>
        <v>3142.857143</v>
      </c>
      <c r="J130" s="15">
        <f t="shared" si="27"/>
        <v>3142.857143</v>
      </c>
      <c r="K130" s="15">
        <f t="shared" si="28"/>
        <v>1277.142857</v>
      </c>
      <c r="L130" s="110">
        <f t="shared" si="29"/>
        <v>0.3192857143</v>
      </c>
      <c r="M130" s="1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83">
        <v>4.0</v>
      </c>
      <c r="B131" s="84" t="s">
        <v>33</v>
      </c>
      <c r="C131" s="85" t="s">
        <v>174</v>
      </c>
      <c r="D131" s="22">
        <v>1600.0</v>
      </c>
      <c r="E131" s="15">
        <f t="shared" si="25"/>
        <v>6400</v>
      </c>
      <c r="F131" s="15">
        <f t="shared" si="26"/>
        <v>7072</v>
      </c>
      <c r="G131" s="101"/>
      <c r="H131" s="113"/>
      <c r="I131" s="22">
        <f>18000/17</f>
        <v>1058.823529</v>
      </c>
      <c r="J131" s="15">
        <f t="shared" si="27"/>
        <v>4235.294118</v>
      </c>
      <c r="K131" s="15">
        <f t="shared" si="28"/>
        <v>2836.705882</v>
      </c>
      <c r="L131" s="110">
        <f t="shared" si="29"/>
        <v>0.4432352941</v>
      </c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83">
        <v>4.0</v>
      </c>
      <c r="B132" s="84" t="s">
        <v>33</v>
      </c>
      <c r="C132" s="85" t="s">
        <v>67</v>
      </c>
      <c r="D132" s="22">
        <v>800.0</v>
      </c>
      <c r="E132" s="15">
        <f t="shared" si="25"/>
        <v>3200</v>
      </c>
      <c r="F132" s="15">
        <f t="shared" si="26"/>
        <v>3536</v>
      </c>
      <c r="G132" s="101"/>
      <c r="H132" s="101"/>
      <c r="I132" s="22">
        <f>8000/17</f>
        <v>470.5882353</v>
      </c>
      <c r="J132" s="15">
        <f t="shared" si="27"/>
        <v>1882.352941</v>
      </c>
      <c r="K132" s="15">
        <f t="shared" si="28"/>
        <v>1653.647059</v>
      </c>
      <c r="L132" s="110">
        <f t="shared" si="29"/>
        <v>0.5167647059</v>
      </c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83">
        <v>2.0</v>
      </c>
      <c r="B133" s="84" t="s">
        <v>38</v>
      </c>
      <c r="C133" s="85" t="s">
        <v>179</v>
      </c>
      <c r="D133" s="22">
        <v>21000.0</v>
      </c>
      <c r="E133" s="15">
        <f t="shared" si="25"/>
        <v>42000</v>
      </c>
      <c r="F133" s="15">
        <f t="shared" si="26"/>
        <v>46410</v>
      </c>
      <c r="G133" s="101"/>
      <c r="H133" s="101"/>
      <c r="I133" s="22">
        <v>18000.0</v>
      </c>
      <c r="J133" s="15">
        <f t="shared" si="27"/>
        <v>36000</v>
      </c>
      <c r="K133" s="15">
        <f t="shared" si="28"/>
        <v>10410</v>
      </c>
      <c r="L133" s="110">
        <f t="shared" si="29"/>
        <v>0.2478571429</v>
      </c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83">
        <v>1.0</v>
      </c>
      <c r="B134" s="84" t="s">
        <v>50</v>
      </c>
      <c r="C134" s="85" t="s">
        <v>308</v>
      </c>
      <c r="D134" s="22">
        <v>2000.0</v>
      </c>
      <c r="E134" s="15">
        <f t="shared" si="25"/>
        <v>2000</v>
      </c>
      <c r="F134" s="15">
        <f t="shared" si="26"/>
        <v>2210</v>
      </c>
      <c r="G134" s="101"/>
      <c r="H134" s="101"/>
      <c r="I134" s="22">
        <v>1000.0</v>
      </c>
      <c r="J134" s="15">
        <f t="shared" si="27"/>
        <v>1000</v>
      </c>
      <c r="K134" s="15">
        <f t="shared" si="28"/>
        <v>1210</v>
      </c>
      <c r="L134" s="110">
        <f t="shared" si="29"/>
        <v>0.605</v>
      </c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3">
        <v>0.5</v>
      </c>
      <c r="B135" s="84" t="s">
        <v>33</v>
      </c>
      <c r="C135" s="85" t="s">
        <v>20</v>
      </c>
      <c r="D135" s="22">
        <v>3500.0</v>
      </c>
      <c r="E135" s="15">
        <f t="shared" si="25"/>
        <v>1750</v>
      </c>
      <c r="F135" s="15">
        <f t="shared" si="26"/>
        <v>1933.75</v>
      </c>
      <c r="G135" s="101"/>
      <c r="H135" s="101"/>
      <c r="I135" s="22">
        <f>19000/8</f>
        <v>2375</v>
      </c>
      <c r="J135" s="15">
        <f t="shared" si="27"/>
        <v>1187.5</v>
      </c>
      <c r="K135" s="15">
        <f t="shared" si="28"/>
        <v>746.25</v>
      </c>
      <c r="L135" s="110">
        <f t="shared" si="29"/>
        <v>0.4264285714</v>
      </c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83">
        <v>2.0</v>
      </c>
      <c r="B136" s="84" t="s">
        <v>5</v>
      </c>
      <c r="C136" s="85" t="s">
        <v>87</v>
      </c>
      <c r="D136" s="22">
        <v>1300.0</v>
      </c>
      <c r="E136" s="15">
        <f t="shared" si="25"/>
        <v>2600</v>
      </c>
      <c r="F136" s="15">
        <f t="shared" si="26"/>
        <v>2873</v>
      </c>
      <c r="G136" s="101"/>
      <c r="H136" s="101"/>
      <c r="I136" s="22">
        <f>62000/80</f>
        <v>775</v>
      </c>
      <c r="J136" s="15">
        <f t="shared" si="27"/>
        <v>1550</v>
      </c>
      <c r="K136" s="15">
        <f t="shared" si="28"/>
        <v>1323</v>
      </c>
      <c r="L136" s="110">
        <f t="shared" si="29"/>
        <v>0.5088461538</v>
      </c>
      <c r="M136" s="1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83">
        <v>1.0</v>
      </c>
      <c r="B137" s="84" t="s">
        <v>50</v>
      </c>
      <c r="C137" s="85" t="s">
        <v>171</v>
      </c>
      <c r="D137" s="22">
        <v>3000.0</v>
      </c>
      <c r="E137" s="15">
        <f t="shared" si="25"/>
        <v>3000</v>
      </c>
      <c r="F137" s="15">
        <f t="shared" si="26"/>
        <v>3315</v>
      </c>
      <c r="G137" s="101"/>
      <c r="H137" s="101"/>
      <c r="I137" s="22">
        <v>2000.0</v>
      </c>
      <c r="J137" s="15">
        <f t="shared" si="27"/>
        <v>2000</v>
      </c>
      <c r="K137" s="15">
        <f t="shared" si="28"/>
        <v>1315</v>
      </c>
      <c r="L137" s="110">
        <f t="shared" si="29"/>
        <v>0.4383333333</v>
      </c>
      <c r="M137" s="1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83">
        <v>1.2</v>
      </c>
      <c r="B138" s="84" t="s">
        <v>33</v>
      </c>
      <c r="C138" s="85" t="s">
        <v>98</v>
      </c>
      <c r="D138" s="22">
        <v>1800.0</v>
      </c>
      <c r="E138" s="15">
        <f t="shared" si="25"/>
        <v>2160</v>
      </c>
      <c r="F138" s="15">
        <f t="shared" si="26"/>
        <v>2386.8</v>
      </c>
      <c r="G138" s="101"/>
      <c r="H138" s="101"/>
      <c r="I138" s="87">
        <f>8000/12</f>
        <v>666.6666667</v>
      </c>
      <c r="J138" s="15">
        <f t="shared" si="27"/>
        <v>800</v>
      </c>
      <c r="K138" s="15">
        <f t="shared" si="28"/>
        <v>1586.8</v>
      </c>
      <c r="L138" s="110">
        <f t="shared" si="29"/>
        <v>0.7346296296</v>
      </c>
      <c r="M138" s="1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83">
        <v>2.0</v>
      </c>
      <c r="B139" s="84" t="s">
        <v>50</v>
      </c>
      <c r="C139" s="85" t="s">
        <v>103</v>
      </c>
      <c r="D139" s="22">
        <v>1600.0</v>
      </c>
      <c r="E139" s="15">
        <f t="shared" si="25"/>
        <v>3200</v>
      </c>
      <c r="F139" s="15">
        <f t="shared" si="26"/>
        <v>3536</v>
      </c>
      <c r="G139" s="101"/>
      <c r="H139" s="113" t="s">
        <v>274</v>
      </c>
      <c r="I139" s="22">
        <v>0.0</v>
      </c>
      <c r="J139" s="15">
        <f t="shared" si="27"/>
        <v>0</v>
      </c>
      <c r="K139" s="15">
        <f t="shared" si="28"/>
        <v>3536</v>
      </c>
      <c r="L139" s="110">
        <f t="shared" si="29"/>
        <v>1.105</v>
      </c>
      <c r="M139" s="1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83">
        <v>3.0</v>
      </c>
      <c r="B140" s="84" t="s">
        <v>5</v>
      </c>
      <c r="C140" s="85" t="s">
        <v>176</v>
      </c>
      <c r="D140" s="22">
        <v>900.0</v>
      </c>
      <c r="E140" s="15">
        <f t="shared" si="25"/>
        <v>2700</v>
      </c>
      <c r="F140" s="15">
        <f t="shared" si="26"/>
        <v>2983.5</v>
      </c>
      <c r="G140" s="101"/>
      <c r="H140" s="101"/>
      <c r="I140" s="22">
        <f>23000/50</f>
        <v>460</v>
      </c>
      <c r="J140" s="15">
        <f t="shared" si="27"/>
        <v>1380</v>
      </c>
      <c r="K140" s="15">
        <f t="shared" si="28"/>
        <v>1603.5</v>
      </c>
      <c r="L140" s="110">
        <f t="shared" si="29"/>
        <v>0.5938888889</v>
      </c>
      <c r="M140" s="1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83">
        <v>1.0</v>
      </c>
      <c r="B141" s="84" t="s">
        <v>50</v>
      </c>
      <c r="C141" s="85" t="s">
        <v>69</v>
      </c>
      <c r="D141" s="22">
        <v>2000.0</v>
      </c>
      <c r="E141" s="15">
        <f t="shared" si="25"/>
        <v>2000</v>
      </c>
      <c r="F141" s="15">
        <f t="shared" si="26"/>
        <v>2210</v>
      </c>
      <c r="G141" s="101"/>
      <c r="H141" s="113"/>
      <c r="I141" s="22">
        <v>2500.0</v>
      </c>
      <c r="J141" s="15">
        <f t="shared" si="27"/>
        <v>2500</v>
      </c>
      <c r="K141" s="15">
        <f t="shared" si="28"/>
        <v>-290</v>
      </c>
      <c r="L141" s="110">
        <f t="shared" si="29"/>
        <v>-0.145</v>
      </c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83">
        <v>0.25</v>
      </c>
      <c r="B142" s="84" t="s">
        <v>50</v>
      </c>
      <c r="C142" s="85" t="s">
        <v>68</v>
      </c>
      <c r="D142" s="22">
        <v>4000.0</v>
      </c>
      <c r="E142" s="15">
        <f t="shared" si="25"/>
        <v>1000</v>
      </c>
      <c r="F142" s="15">
        <f t="shared" si="26"/>
        <v>1105</v>
      </c>
      <c r="G142" s="101"/>
      <c r="H142" s="101"/>
      <c r="I142" s="22">
        <v>2000.0</v>
      </c>
      <c r="J142" s="15">
        <f t="shared" si="27"/>
        <v>500</v>
      </c>
      <c r="K142" s="15">
        <f t="shared" si="28"/>
        <v>605</v>
      </c>
      <c r="L142" s="110">
        <f t="shared" si="29"/>
        <v>0.605</v>
      </c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>
      <c r="A143" s="83">
        <v>1.0</v>
      </c>
      <c r="B143" s="84" t="s">
        <v>38</v>
      </c>
      <c r="C143" s="85" t="s">
        <v>47</v>
      </c>
      <c r="D143" s="22">
        <v>13000.0</v>
      </c>
      <c r="E143" s="15">
        <f t="shared" si="25"/>
        <v>13000</v>
      </c>
      <c r="F143" s="15">
        <f t="shared" si="26"/>
        <v>14365</v>
      </c>
      <c r="G143" s="101"/>
      <c r="H143" s="101"/>
      <c r="I143" s="22">
        <v>8000.0</v>
      </c>
      <c r="J143" s="15">
        <f t="shared" si="27"/>
        <v>8000</v>
      </c>
      <c r="K143" s="15">
        <f t="shared" si="28"/>
        <v>6365</v>
      </c>
      <c r="L143" s="110">
        <f t="shared" si="29"/>
        <v>0.4896153846</v>
      </c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83">
        <v>0.5</v>
      </c>
      <c r="B144" s="84" t="s">
        <v>50</v>
      </c>
      <c r="C144" s="85" t="s">
        <v>236</v>
      </c>
      <c r="D144" s="22">
        <v>5000.0</v>
      </c>
      <c r="E144" s="15">
        <f t="shared" si="25"/>
        <v>2500</v>
      </c>
      <c r="F144" s="15">
        <f t="shared" si="26"/>
        <v>2762.5</v>
      </c>
      <c r="G144" s="101"/>
      <c r="H144" s="101"/>
      <c r="I144" s="87">
        <v>3400.0</v>
      </c>
      <c r="J144" s="15">
        <f t="shared" si="27"/>
        <v>1700</v>
      </c>
      <c r="K144" s="15">
        <f t="shared" si="28"/>
        <v>1062.5</v>
      </c>
      <c r="L144" s="110">
        <f t="shared" si="29"/>
        <v>0.425</v>
      </c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83">
        <v>1.0</v>
      </c>
      <c r="B145" s="84" t="s">
        <v>38</v>
      </c>
      <c r="C145" s="85" t="s">
        <v>180</v>
      </c>
      <c r="D145" s="22">
        <v>16000.0</v>
      </c>
      <c r="E145" s="15">
        <f t="shared" si="25"/>
        <v>16000</v>
      </c>
      <c r="F145" s="15">
        <f t="shared" si="26"/>
        <v>17680</v>
      </c>
      <c r="G145" s="101"/>
      <c r="H145" s="101"/>
      <c r="I145" s="22">
        <v>11000.0</v>
      </c>
      <c r="J145" s="15">
        <f t="shared" si="27"/>
        <v>11000</v>
      </c>
      <c r="K145" s="15">
        <f t="shared" si="28"/>
        <v>6680</v>
      </c>
      <c r="L145" s="110">
        <f t="shared" si="29"/>
        <v>0.4175</v>
      </c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83">
        <v>2.0</v>
      </c>
      <c r="B146" s="84" t="s">
        <v>33</v>
      </c>
      <c r="C146" s="85" t="s">
        <v>279</v>
      </c>
      <c r="D146" s="22">
        <v>4000.0</v>
      </c>
      <c r="E146" s="15">
        <f t="shared" si="25"/>
        <v>8000</v>
      </c>
      <c r="F146" s="15">
        <f t="shared" si="26"/>
        <v>8840</v>
      </c>
      <c r="G146" s="101"/>
      <c r="H146" s="101"/>
      <c r="I146" s="22">
        <v>4000.0</v>
      </c>
      <c r="J146" s="15">
        <f t="shared" si="27"/>
        <v>8000</v>
      </c>
      <c r="K146" s="15">
        <f t="shared" si="28"/>
        <v>840</v>
      </c>
      <c r="L146" s="110">
        <f t="shared" si="29"/>
        <v>0.105</v>
      </c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83">
        <v>1.0</v>
      </c>
      <c r="B147" s="84" t="s">
        <v>38</v>
      </c>
      <c r="C147" s="85" t="s">
        <v>45</v>
      </c>
      <c r="D147" s="22">
        <v>13000.0</v>
      </c>
      <c r="E147" s="15">
        <f t="shared" si="25"/>
        <v>13000</v>
      </c>
      <c r="F147" s="15">
        <f t="shared" si="26"/>
        <v>14365</v>
      </c>
      <c r="G147" s="101"/>
      <c r="H147" s="101"/>
      <c r="I147" s="22">
        <v>8000.0</v>
      </c>
      <c r="J147" s="15">
        <f t="shared" si="27"/>
        <v>8000</v>
      </c>
      <c r="K147" s="15">
        <f t="shared" si="28"/>
        <v>6365</v>
      </c>
      <c r="L147" s="110">
        <f t="shared" si="29"/>
        <v>0.4896153846</v>
      </c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83">
        <v>1.0</v>
      </c>
      <c r="B148" s="84" t="s">
        <v>18</v>
      </c>
      <c r="C148" s="85" t="s">
        <v>54</v>
      </c>
      <c r="D148" s="22">
        <v>24000.0</v>
      </c>
      <c r="E148" s="15">
        <f t="shared" si="25"/>
        <v>24000</v>
      </c>
      <c r="F148" s="15">
        <f t="shared" si="26"/>
        <v>26520</v>
      </c>
      <c r="G148" s="101"/>
      <c r="H148" s="113"/>
      <c r="I148" s="22">
        <v>20000.0</v>
      </c>
      <c r="J148" s="15">
        <f t="shared" si="27"/>
        <v>20000</v>
      </c>
      <c r="K148" s="15">
        <f t="shared" si="28"/>
        <v>6520</v>
      </c>
      <c r="L148" s="110">
        <f t="shared" si="29"/>
        <v>0.2716666667</v>
      </c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83">
        <v>5.0</v>
      </c>
      <c r="B149" s="84" t="s">
        <v>33</v>
      </c>
      <c r="C149" s="85" t="s">
        <v>232</v>
      </c>
      <c r="D149" s="22">
        <v>4000.0</v>
      </c>
      <c r="E149" s="15">
        <f t="shared" si="25"/>
        <v>20000</v>
      </c>
      <c r="F149" s="15">
        <f t="shared" si="26"/>
        <v>22100</v>
      </c>
      <c r="G149" s="101"/>
      <c r="H149" s="113"/>
      <c r="I149" s="22">
        <f>50000/18</f>
        <v>2777.777778</v>
      </c>
      <c r="J149" s="15">
        <f t="shared" si="27"/>
        <v>13888.88889</v>
      </c>
      <c r="K149" s="15">
        <f t="shared" si="28"/>
        <v>8211.111111</v>
      </c>
      <c r="L149" s="110">
        <f t="shared" si="29"/>
        <v>0.4105555556</v>
      </c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83">
        <v>2.0</v>
      </c>
      <c r="B150" s="84" t="s">
        <v>33</v>
      </c>
      <c r="C150" s="85" t="s">
        <v>78</v>
      </c>
      <c r="D150" s="22">
        <v>4500.0</v>
      </c>
      <c r="E150" s="15">
        <f t="shared" si="25"/>
        <v>9000</v>
      </c>
      <c r="F150" s="15">
        <f t="shared" si="26"/>
        <v>9945</v>
      </c>
      <c r="G150" s="101"/>
      <c r="H150" s="113"/>
      <c r="I150" s="22">
        <f>65000/18</f>
        <v>3611.111111</v>
      </c>
      <c r="J150" s="15">
        <f t="shared" si="27"/>
        <v>7222.222222</v>
      </c>
      <c r="K150" s="15">
        <f t="shared" si="28"/>
        <v>2722.777778</v>
      </c>
      <c r="L150" s="110">
        <f t="shared" si="29"/>
        <v>0.3025308642</v>
      </c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83">
        <v>2.0</v>
      </c>
      <c r="B151" s="84" t="s">
        <v>33</v>
      </c>
      <c r="C151" s="85" t="s">
        <v>55</v>
      </c>
      <c r="D151" s="22">
        <v>2800.0</v>
      </c>
      <c r="E151" s="15">
        <f t="shared" si="25"/>
        <v>5600</v>
      </c>
      <c r="F151" s="15">
        <f t="shared" si="26"/>
        <v>6188</v>
      </c>
      <c r="G151" s="101"/>
      <c r="H151" s="113"/>
      <c r="I151" s="22">
        <f>22000/18</f>
        <v>1222.222222</v>
      </c>
      <c r="J151" s="15">
        <f t="shared" si="27"/>
        <v>2444.444444</v>
      </c>
      <c r="K151" s="15">
        <f t="shared" si="28"/>
        <v>3743.555556</v>
      </c>
      <c r="L151" s="110">
        <f t="shared" si="29"/>
        <v>0.6684920635</v>
      </c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83">
        <v>0.5</v>
      </c>
      <c r="B152" s="84" t="s">
        <v>18</v>
      </c>
      <c r="C152" s="85" t="s">
        <v>277</v>
      </c>
      <c r="D152" s="22">
        <v>52000.0</v>
      </c>
      <c r="E152" s="15">
        <f t="shared" si="25"/>
        <v>26000</v>
      </c>
      <c r="F152" s="15">
        <f>E152*1.21</f>
        <v>31460</v>
      </c>
      <c r="G152" s="101"/>
      <c r="H152" s="113"/>
      <c r="I152" s="22">
        <v>52000.0</v>
      </c>
      <c r="J152" s="15">
        <f t="shared" si="27"/>
        <v>26000</v>
      </c>
      <c r="K152" s="15">
        <f t="shared" si="28"/>
        <v>5460</v>
      </c>
      <c r="L152" s="110">
        <f t="shared" si="29"/>
        <v>0.21</v>
      </c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103"/>
      <c r="B153" s="101"/>
      <c r="C153" s="104"/>
      <c r="D153" s="101"/>
      <c r="E153" s="101"/>
      <c r="F153" s="101"/>
      <c r="G153" s="101"/>
      <c r="H153" s="101"/>
      <c r="I153" s="101"/>
      <c r="J153" s="101"/>
      <c r="K153" s="101"/>
      <c r="L153" s="105"/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103"/>
      <c r="B154" s="101"/>
      <c r="C154" s="104"/>
      <c r="D154" s="101"/>
      <c r="E154" s="15">
        <f t="shared" ref="E154:F154" si="30">SUM(E125:E152)</f>
        <v>250410</v>
      </c>
      <c r="F154" s="15">
        <f t="shared" si="30"/>
        <v>279433.05</v>
      </c>
      <c r="G154" s="101"/>
      <c r="H154" s="101"/>
      <c r="I154" s="101"/>
      <c r="J154" s="101"/>
      <c r="K154" s="15">
        <f>SUM(K125:K152)</f>
        <v>94642.34739</v>
      </c>
      <c r="L154" s="110">
        <f>IFERROR(K154/E154, 0)</f>
        <v>0.3779495523</v>
      </c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9" t="s">
        <v>80</v>
      </c>
      <c r="B158" s="24"/>
      <c r="C158" s="24"/>
      <c r="D158" s="81" t="s">
        <v>101</v>
      </c>
      <c r="E158" s="82">
        <v>46076.0</v>
      </c>
      <c r="F158" s="33" t="s">
        <v>13</v>
      </c>
      <c r="G158" s="25"/>
      <c r="H158" s="25"/>
      <c r="I158" s="16"/>
      <c r="J158" s="16"/>
      <c r="K158" s="16"/>
      <c r="L158" s="36"/>
      <c r="M158" s="2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B159" s="25"/>
      <c r="C159" s="35"/>
      <c r="D159" s="25"/>
      <c r="E159" s="25"/>
      <c r="F159" s="25"/>
      <c r="G159" s="25"/>
      <c r="H159" s="25"/>
      <c r="I159" s="16"/>
      <c r="J159" s="16"/>
      <c r="K159" s="16"/>
      <c r="L159" s="36"/>
      <c r="M159" s="2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5" t="s">
        <v>4</v>
      </c>
      <c r="B160" s="10" t="s">
        <v>5</v>
      </c>
      <c r="C160" s="11" t="s">
        <v>6</v>
      </c>
      <c r="D160" s="12" t="s">
        <v>7</v>
      </c>
      <c r="E160" s="10" t="s">
        <v>8</v>
      </c>
      <c r="F160" s="12"/>
      <c r="G160" s="25"/>
      <c r="H160" s="25"/>
      <c r="I160" s="12" t="s">
        <v>7</v>
      </c>
      <c r="J160" s="12" t="s">
        <v>8</v>
      </c>
      <c r="K160" s="12" t="s">
        <v>10</v>
      </c>
      <c r="L160" s="36"/>
      <c r="M160" s="2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83">
        <v>1.0</v>
      </c>
      <c r="B161" s="84" t="s">
        <v>38</v>
      </c>
      <c r="C161" s="85" t="s">
        <v>45</v>
      </c>
      <c r="D161" s="22">
        <v>13000.0</v>
      </c>
      <c r="E161" s="15">
        <f t="shared" ref="E161:E175" si="31">A161*D161</f>
        <v>13000</v>
      </c>
      <c r="F161" s="16"/>
      <c r="G161" s="25"/>
      <c r="H161" s="37"/>
      <c r="I161" s="87">
        <v>8000.0</v>
      </c>
      <c r="J161" s="16">
        <f t="shared" ref="J161:J175" si="32">I161*A161</f>
        <v>8000</v>
      </c>
      <c r="K161" s="16">
        <f t="shared" ref="K161:K175" si="33">E161-J161</f>
        <v>5000</v>
      </c>
      <c r="L161" s="36">
        <f t="shared" ref="L161:L175" si="34">K161/E161</f>
        <v>0.3846153846</v>
      </c>
      <c r="M161" s="2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83">
        <v>1.0</v>
      </c>
      <c r="B162" s="84" t="s">
        <v>38</v>
      </c>
      <c r="C162" s="85" t="s">
        <v>179</v>
      </c>
      <c r="D162" s="22">
        <v>22000.0</v>
      </c>
      <c r="E162" s="15">
        <f t="shared" si="31"/>
        <v>22000</v>
      </c>
      <c r="F162" s="16"/>
      <c r="G162" s="25"/>
      <c r="H162" s="37"/>
      <c r="I162" s="87">
        <v>18000.0</v>
      </c>
      <c r="J162" s="16">
        <f t="shared" si="32"/>
        <v>18000</v>
      </c>
      <c r="K162" s="16">
        <f t="shared" si="33"/>
        <v>4000</v>
      </c>
      <c r="L162" s="111">
        <f t="shared" si="34"/>
        <v>0.1818181818</v>
      </c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83">
        <v>1.0</v>
      </c>
      <c r="B163" s="84" t="s">
        <v>38</v>
      </c>
      <c r="C163" s="85" t="s">
        <v>67</v>
      </c>
      <c r="D163" s="22">
        <v>12000.0</v>
      </c>
      <c r="E163" s="15">
        <f t="shared" si="31"/>
        <v>12000</v>
      </c>
      <c r="F163" s="16"/>
      <c r="G163" s="25"/>
      <c r="H163" s="37"/>
      <c r="I163" s="87">
        <v>8000.0</v>
      </c>
      <c r="J163" s="16">
        <f t="shared" si="32"/>
        <v>8000</v>
      </c>
      <c r="K163" s="16">
        <f t="shared" si="33"/>
        <v>4000</v>
      </c>
      <c r="L163" s="36">
        <f t="shared" si="34"/>
        <v>0.3333333333</v>
      </c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83">
        <v>1.0</v>
      </c>
      <c r="B164" s="84" t="s">
        <v>38</v>
      </c>
      <c r="C164" s="85" t="s">
        <v>47</v>
      </c>
      <c r="D164" s="22">
        <v>12000.0</v>
      </c>
      <c r="E164" s="15">
        <f t="shared" si="31"/>
        <v>12000</v>
      </c>
      <c r="F164" s="16"/>
      <c r="G164" s="25"/>
      <c r="H164" s="37"/>
      <c r="I164" s="87">
        <v>8000.0</v>
      </c>
      <c r="J164" s="16">
        <f t="shared" si="32"/>
        <v>8000</v>
      </c>
      <c r="K164" s="16">
        <f t="shared" si="33"/>
        <v>4000</v>
      </c>
      <c r="L164" s="36">
        <f t="shared" si="34"/>
        <v>0.3333333333</v>
      </c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83">
        <v>2.0</v>
      </c>
      <c r="B165" s="84" t="s">
        <v>33</v>
      </c>
      <c r="C165" s="85" t="s">
        <v>23</v>
      </c>
      <c r="D165" s="22">
        <v>1800.0</v>
      </c>
      <c r="E165" s="15">
        <f t="shared" si="31"/>
        <v>3600</v>
      </c>
      <c r="F165" s="16"/>
      <c r="G165" s="25"/>
      <c r="H165" s="37"/>
      <c r="I165" s="87">
        <f>7000/7</f>
        <v>1000</v>
      </c>
      <c r="J165" s="16">
        <f t="shared" si="32"/>
        <v>2000</v>
      </c>
      <c r="K165" s="16">
        <f t="shared" si="33"/>
        <v>1600</v>
      </c>
      <c r="L165" s="36">
        <f t="shared" si="34"/>
        <v>0.4444444444</v>
      </c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83">
        <v>2.0</v>
      </c>
      <c r="B166" s="84" t="s">
        <v>33</v>
      </c>
      <c r="C166" s="85" t="s">
        <v>72</v>
      </c>
      <c r="D166" s="22">
        <v>2800.0</v>
      </c>
      <c r="E166" s="15">
        <f t="shared" si="31"/>
        <v>5600</v>
      </c>
      <c r="F166" s="16"/>
      <c r="G166" s="25"/>
      <c r="H166" s="37"/>
      <c r="I166" s="22">
        <f>27000/15</f>
        <v>1800</v>
      </c>
      <c r="J166" s="16">
        <f t="shared" si="32"/>
        <v>3600</v>
      </c>
      <c r="K166" s="16">
        <f t="shared" si="33"/>
        <v>2000</v>
      </c>
      <c r="L166" s="36">
        <f t="shared" si="34"/>
        <v>0.3571428571</v>
      </c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83">
        <v>4.0</v>
      </c>
      <c r="B167" s="84" t="s">
        <v>33</v>
      </c>
      <c r="C167" s="85" t="s">
        <v>19</v>
      </c>
      <c r="D167" s="22">
        <v>2400.0</v>
      </c>
      <c r="E167" s="15">
        <f t="shared" si="31"/>
        <v>9600</v>
      </c>
      <c r="F167" s="16"/>
      <c r="G167" s="25"/>
      <c r="H167" s="37"/>
      <c r="I167" s="87">
        <f>25000/15</f>
        <v>1666.666667</v>
      </c>
      <c r="J167" s="16">
        <f t="shared" si="32"/>
        <v>6666.666667</v>
      </c>
      <c r="K167" s="16">
        <f t="shared" si="33"/>
        <v>2933.333333</v>
      </c>
      <c r="L167" s="36">
        <f t="shared" si="34"/>
        <v>0.3055555556</v>
      </c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83">
        <v>3.0</v>
      </c>
      <c r="B168" s="84" t="s">
        <v>33</v>
      </c>
      <c r="C168" s="85" t="s">
        <v>192</v>
      </c>
      <c r="D168" s="22">
        <v>1200.0</v>
      </c>
      <c r="E168" s="15">
        <f t="shared" si="31"/>
        <v>3600</v>
      </c>
      <c r="F168" s="16"/>
      <c r="G168" s="25"/>
      <c r="H168" s="98"/>
      <c r="I168" s="87">
        <f>12000/15</f>
        <v>800</v>
      </c>
      <c r="J168" s="16">
        <f t="shared" si="32"/>
        <v>2400</v>
      </c>
      <c r="K168" s="16">
        <f t="shared" si="33"/>
        <v>1200</v>
      </c>
      <c r="L168" s="36">
        <f t="shared" si="34"/>
        <v>0.3333333333</v>
      </c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83">
        <v>2.0</v>
      </c>
      <c r="B169" s="84" t="s">
        <v>33</v>
      </c>
      <c r="C169" s="85" t="s">
        <v>22</v>
      </c>
      <c r="D169" s="22">
        <v>1200.0</v>
      </c>
      <c r="E169" s="15">
        <f t="shared" si="31"/>
        <v>2400</v>
      </c>
      <c r="F169" s="16"/>
      <c r="G169" s="25"/>
      <c r="H169" s="37"/>
      <c r="I169" s="87">
        <v>800.0</v>
      </c>
      <c r="J169" s="16">
        <f t="shared" si="32"/>
        <v>1600</v>
      </c>
      <c r="K169" s="16">
        <f t="shared" si="33"/>
        <v>800</v>
      </c>
      <c r="L169" s="36">
        <f t="shared" si="34"/>
        <v>0.3333333333</v>
      </c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83">
        <v>3.0</v>
      </c>
      <c r="B170" s="84" t="s">
        <v>33</v>
      </c>
      <c r="C170" s="85" t="s">
        <v>24</v>
      </c>
      <c r="D170" s="22">
        <v>4000.0</v>
      </c>
      <c r="E170" s="15">
        <f t="shared" si="31"/>
        <v>12000</v>
      </c>
      <c r="F170" s="16"/>
      <c r="G170" s="25"/>
      <c r="H170" s="37"/>
      <c r="I170" s="87">
        <f>20000/7</f>
        <v>2857.142857</v>
      </c>
      <c r="J170" s="16">
        <f t="shared" si="32"/>
        <v>8571.428571</v>
      </c>
      <c r="K170" s="16">
        <f t="shared" si="33"/>
        <v>3428.571429</v>
      </c>
      <c r="L170" s="36">
        <f t="shared" si="34"/>
        <v>0.2857142857</v>
      </c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83">
        <v>5.0</v>
      </c>
      <c r="B171" s="84" t="s">
        <v>33</v>
      </c>
      <c r="C171" s="85" t="s">
        <v>180</v>
      </c>
      <c r="D171" s="22">
        <v>1500.0</v>
      </c>
      <c r="E171" s="15">
        <f t="shared" si="31"/>
        <v>7500</v>
      </c>
      <c r="F171" s="16"/>
      <c r="G171" s="25"/>
      <c r="H171" s="37"/>
      <c r="I171" s="87">
        <f>11000/12</f>
        <v>916.6666667</v>
      </c>
      <c r="J171" s="16">
        <f t="shared" si="32"/>
        <v>4583.333333</v>
      </c>
      <c r="K171" s="16">
        <f t="shared" si="33"/>
        <v>2916.666667</v>
      </c>
      <c r="L171" s="36">
        <f t="shared" si="34"/>
        <v>0.3888888889</v>
      </c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83">
        <v>0.5</v>
      </c>
      <c r="B172" s="84" t="s">
        <v>33</v>
      </c>
      <c r="C172" s="85" t="s">
        <v>20</v>
      </c>
      <c r="D172" s="22">
        <v>3000.0</v>
      </c>
      <c r="E172" s="15">
        <f t="shared" si="31"/>
        <v>1500</v>
      </c>
      <c r="F172" s="16"/>
      <c r="G172" s="25"/>
      <c r="H172" s="37"/>
      <c r="I172" s="87">
        <f>19000/8</f>
        <v>2375</v>
      </c>
      <c r="J172" s="16">
        <f t="shared" si="32"/>
        <v>1187.5</v>
      </c>
      <c r="K172" s="16">
        <f t="shared" si="33"/>
        <v>312.5</v>
      </c>
      <c r="L172" s="36">
        <f t="shared" si="34"/>
        <v>0.2083333333</v>
      </c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83">
        <v>2.0</v>
      </c>
      <c r="B173" s="84" t="s">
        <v>50</v>
      </c>
      <c r="C173" s="85" t="s">
        <v>65</v>
      </c>
      <c r="D173" s="22">
        <v>500.0</v>
      </c>
      <c r="E173" s="15">
        <f t="shared" si="31"/>
        <v>1000</v>
      </c>
      <c r="F173" s="16"/>
      <c r="G173" s="25"/>
      <c r="H173" s="37"/>
      <c r="I173" s="87">
        <f>4000/24</f>
        <v>166.6666667</v>
      </c>
      <c r="J173" s="16">
        <f t="shared" si="32"/>
        <v>333.3333333</v>
      </c>
      <c r="K173" s="16">
        <f t="shared" si="33"/>
        <v>666.6666667</v>
      </c>
      <c r="L173" s="36">
        <f t="shared" si="34"/>
        <v>0.6666666667</v>
      </c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83">
        <v>0.5</v>
      </c>
      <c r="B174" s="84" t="s">
        <v>33</v>
      </c>
      <c r="C174" s="85" t="s">
        <v>263</v>
      </c>
      <c r="D174" s="22">
        <v>2800.0</v>
      </c>
      <c r="E174" s="15">
        <f t="shared" si="31"/>
        <v>1400</v>
      </c>
      <c r="F174" s="16"/>
      <c r="G174" s="25"/>
      <c r="H174" s="37"/>
      <c r="I174" s="87">
        <v>2000.0</v>
      </c>
      <c r="J174" s="16">
        <f t="shared" si="32"/>
        <v>1000</v>
      </c>
      <c r="K174" s="16">
        <f t="shared" si="33"/>
        <v>400</v>
      </c>
      <c r="L174" s="111">
        <f t="shared" si="34"/>
        <v>0.2857142857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83">
        <v>1.0</v>
      </c>
      <c r="B175" s="84" t="s">
        <v>50</v>
      </c>
      <c r="C175" s="85" t="s">
        <v>16</v>
      </c>
      <c r="D175" s="22">
        <v>1000.0</v>
      </c>
      <c r="E175" s="15">
        <f t="shared" si="31"/>
        <v>1000</v>
      </c>
      <c r="F175" s="16"/>
      <c r="G175" s="25"/>
      <c r="H175" s="37"/>
      <c r="I175" s="87">
        <f>8000/20</f>
        <v>400</v>
      </c>
      <c r="J175" s="16">
        <f t="shared" si="32"/>
        <v>400</v>
      </c>
      <c r="K175" s="16">
        <f t="shared" si="33"/>
        <v>600</v>
      </c>
      <c r="L175" s="36">
        <f t="shared" si="34"/>
        <v>0.6</v>
      </c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13"/>
      <c r="B176" s="12"/>
      <c r="C176" s="14"/>
      <c r="D176" s="15"/>
      <c r="E176" s="16"/>
      <c r="F176" s="16"/>
      <c r="H176" s="25"/>
      <c r="I176" s="16"/>
      <c r="J176" s="16"/>
      <c r="K176" s="16"/>
      <c r="L176" s="36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13"/>
      <c r="B177" s="12"/>
      <c r="C177" s="14"/>
      <c r="D177" s="15"/>
      <c r="E177" s="16">
        <f>SUM(E161:E176)</f>
        <v>108200</v>
      </c>
      <c r="F177" s="16"/>
      <c r="G177" s="25"/>
      <c r="H177" s="25"/>
      <c r="I177" s="16"/>
      <c r="J177" s="16"/>
      <c r="K177" s="16">
        <f>SUM(K161:K175)</f>
        <v>33857.7381</v>
      </c>
      <c r="L177" s="110">
        <f>K177/E177</f>
        <v>0.312918097</v>
      </c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8" t="s">
        <v>0</v>
      </c>
      <c r="D181" s="22"/>
      <c r="E181" s="86" t="s">
        <v>370</v>
      </c>
      <c r="F181" s="82">
        <v>46076.0</v>
      </c>
      <c r="G181" s="6"/>
      <c r="H181" s="3"/>
      <c r="I181" s="8" t="s">
        <v>3</v>
      </c>
      <c r="L181" s="4"/>
      <c r="M181" s="1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103"/>
      <c r="B182" s="101"/>
      <c r="C182" s="104"/>
      <c r="D182" s="101"/>
      <c r="E182" s="101"/>
      <c r="F182" s="101"/>
      <c r="G182" s="101"/>
      <c r="H182" s="101"/>
      <c r="I182" s="101"/>
      <c r="J182" s="101"/>
      <c r="K182" s="101"/>
      <c r="L182" s="4"/>
      <c r="M182" s="1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5" t="s">
        <v>4</v>
      </c>
      <c r="B183" s="10" t="s">
        <v>5</v>
      </c>
      <c r="C183" s="96" t="s">
        <v>6</v>
      </c>
      <c r="D183" s="10" t="s">
        <v>7</v>
      </c>
      <c r="E183" s="10" t="s">
        <v>8</v>
      </c>
      <c r="F183" s="10" t="s">
        <v>9</v>
      </c>
      <c r="G183" s="101"/>
      <c r="H183" s="101"/>
      <c r="I183" s="10" t="s">
        <v>260</v>
      </c>
      <c r="J183" s="10" t="s">
        <v>8</v>
      </c>
      <c r="K183" s="10" t="s">
        <v>10</v>
      </c>
      <c r="L183" s="4"/>
      <c r="M183" s="1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83">
        <v>2.0</v>
      </c>
      <c r="B184" s="84" t="s">
        <v>18</v>
      </c>
      <c r="C184" s="85" t="s">
        <v>48</v>
      </c>
      <c r="D184" s="22">
        <v>12000.0</v>
      </c>
      <c r="E184" s="15">
        <f t="shared" ref="E184:E206" si="35">A184*D184</f>
        <v>24000</v>
      </c>
      <c r="F184" s="22">
        <f t="shared" ref="F184:F206" si="36">E184*1.105</f>
        <v>26520</v>
      </c>
      <c r="G184" s="101"/>
      <c r="H184" s="101"/>
      <c r="I184" s="22">
        <v>4500.0</v>
      </c>
      <c r="J184" s="15">
        <f t="shared" ref="J184:J206" si="37">I184*A184</f>
        <v>9000</v>
      </c>
      <c r="K184" s="15">
        <f t="shared" ref="K184:K206" si="38">F184-J184</f>
        <v>17520</v>
      </c>
      <c r="L184" s="110">
        <f t="shared" ref="L184:L206" si="39">IFERROR(K184/E184, 0)</f>
        <v>0.73</v>
      </c>
      <c r="M184" s="1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83">
        <v>1.0</v>
      </c>
      <c r="B185" s="84" t="s">
        <v>18</v>
      </c>
      <c r="C185" s="85" t="s">
        <v>195</v>
      </c>
      <c r="D185" s="22">
        <v>10000.0</v>
      </c>
      <c r="E185" s="15">
        <f t="shared" si="35"/>
        <v>10000</v>
      </c>
      <c r="F185" s="22">
        <f t="shared" si="36"/>
        <v>11050</v>
      </c>
      <c r="G185" s="101"/>
      <c r="H185" s="101"/>
      <c r="I185" s="22">
        <v>9000.0</v>
      </c>
      <c r="J185" s="15">
        <f t="shared" si="37"/>
        <v>9000</v>
      </c>
      <c r="K185" s="15">
        <f t="shared" si="38"/>
        <v>2050</v>
      </c>
      <c r="L185" s="110">
        <f t="shared" si="39"/>
        <v>0.205</v>
      </c>
      <c r="M185" s="1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83">
        <v>10.0</v>
      </c>
      <c r="B186" s="84" t="s">
        <v>348</v>
      </c>
      <c r="C186" s="85" t="s">
        <v>65</v>
      </c>
      <c r="D186" s="22">
        <f>7500/2</f>
        <v>3750</v>
      </c>
      <c r="E186" s="15">
        <f t="shared" si="35"/>
        <v>37500</v>
      </c>
      <c r="F186" s="22">
        <f t="shared" si="36"/>
        <v>41437.5</v>
      </c>
      <c r="G186" s="101"/>
      <c r="H186" s="101"/>
      <c r="I186" s="22">
        <f>4000/2</f>
        <v>2000</v>
      </c>
      <c r="J186" s="15">
        <f t="shared" si="37"/>
        <v>20000</v>
      </c>
      <c r="K186" s="15">
        <f t="shared" si="38"/>
        <v>21437.5</v>
      </c>
      <c r="L186" s="110">
        <f t="shared" si="39"/>
        <v>0.5716666667</v>
      </c>
      <c r="M186" s="1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83">
        <v>3.0</v>
      </c>
      <c r="B187" s="84" t="s">
        <v>18</v>
      </c>
      <c r="C187" s="85" t="s">
        <v>19</v>
      </c>
      <c r="D187" s="22">
        <v>36000.0</v>
      </c>
      <c r="E187" s="15">
        <f t="shared" si="35"/>
        <v>108000</v>
      </c>
      <c r="F187" s="22">
        <f t="shared" si="36"/>
        <v>119340</v>
      </c>
      <c r="G187" s="101"/>
      <c r="H187" s="113"/>
      <c r="I187" s="22">
        <v>25000.0</v>
      </c>
      <c r="J187" s="15">
        <f t="shared" si="37"/>
        <v>75000</v>
      </c>
      <c r="K187" s="15">
        <f t="shared" si="38"/>
        <v>44340</v>
      </c>
      <c r="L187" s="110">
        <f t="shared" si="39"/>
        <v>0.4105555556</v>
      </c>
      <c r="M187" s="1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83">
        <v>1.0</v>
      </c>
      <c r="B188" s="84" t="s">
        <v>18</v>
      </c>
      <c r="C188" s="85" t="s">
        <v>20</v>
      </c>
      <c r="D188" s="22">
        <v>26000.0</v>
      </c>
      <c r="E188" s="15">
        <f t="shared" si="35"/>
        <v>26000</v>
      </c>
      <c r="F188" s="22">
        <f t="shared" si="36"/>
        <v>28730</v>
      </c>
      <c r="G188" s="101"/>
      <c r="H188" s="101"/>
      <c r="I188" s="22">
        <v>19000.0</v>
      </c>
      <c r="J188" s="15">
        <f t="shared" si="37"/>
        <v>19000</v>
      </c>
      <c r="K188" s="15">
        <f t="shared" si="38"/>
        <v>9730</v>
      </c>
      <c r="L188" s="110">
        <f t="shared" si="39"/>
        <v>0.3742307692</v>
      </c>
      <c r="M188" s="1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83">
        <v>10.0</v>
      </c>
      <c r="B189" s="84" t="s">
        <v>50</v>
      </c>
      <c r="C189" s="85" t="s">
        <v>16</v>
      </c>
      <c r="D189" s="22">
        <v>1000.0</v>
      </c>
      <c r="E189" s="15">
        <f t="shared" si="35"/>
        <v>10000</v>
      </c>
      <c r="F189" s="22">
        <f t="shared" si="36"/>
        <v>11050</v>
      </c>
      <c r="G189" s="101"/>
      <c r="H189" s="101"/>
      <c r="I189" s="22">
        <f>8000/20</f>
        <v>400</v>
      </c>
      <c r="J189" s="15">
        <f t="shared" si="37"/>
        <v>4000</v>
      </c>
      <c r="K189" s="15">
        <f t="shared" si="38"/>
        <v>7050</v>
      </c>
      <c r="L189" s="110">
        <f t="shared" si="39"/>
        <v>0.705</v>
      </c>
      <c r="M189" s="1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83">
        <v>2.0</v>
      </c>
      <c r="B190" s="84" t="s">
        <v>18</v>
      </c>
      <c r="C190" s="85" t="s">
        <v>192</v>
      </c>
      <c r="D190" s="22">
        <v>14000.0</v>
      </c>
      <c r="E190" s="15">
        <f t="shared" si="35"/>
        <v>28000</v>
      </c>
      <c r="F190" s="22">
        <f t="shared" si="36"/>
        <v>30940</v>
      </c>
      <c r="G190" s="101"/>
      <c r="H190" s="101"/>
      <c r="I190" s="22">
        <v>6000.0</v>
      </c>
      <c r="J190" s="15">
        <f t="shared" si="37"/>
        <v>12000</v>
      </c>
      <c r="K190" s="15">
        <f t="shared" si="38"/>
        <v>18940</v>
      </c>
      <c r="L190" s="110">
        <f t="shared" si="39"/>
        <v>0.6764285714</v>
      </c>
      <c r="M190" s="1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83">
        <v>3.0</v>
      </c>
      <c r="B191" s="84" t="s">
        <v>29</v>
      </c>
      <c r="C191" s="85" t="s">
        <v>30</v>
      </c>
      <c r="D191" s="22">
        <v>63000.0</v>
      </c>
      <c r="E191" s="15">
        <f t="shared" si="35"/>
        <v>189000</v>
      </c>
      <c r="F191" s="22">
        <f t="shared" si="36"/>
        <v>208845</v>
      </c>
      <c r="G191" s="101"/>
      <c r="H191" s="101"/>
      <c r="I191" s="22">
        <v>20000.0</v>
      </c>
      <c r="J191" s="15">
        <f t="shared" si="37"/>
        <v>60000</v>
      </c>
      <c r="K191" s="15">
        <f t="shared" si="38"/>
        <v>148845</v>
      </c>
      <c r="L191" s="110">
        <f t="shared" si="39"/>
        <v>0.7875396825</v>
      </c>
      <c r="M191" s="1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>
      <c r="A192" s="83">
        <v>4.0</v>
      </c>
      <c r="B192" s="84" t="s">
        <v>18</v>
      </c>
      <c r="C192" s="85" t="s">
        <v>213</v>
      </c>
      <c r="D192" s="22">
        <v>32000.0</v>
      </c>
      <c r="E192" s="15">
        <f t="shared" si="35"/>
        <v>128000</v>
      </c>
      <c r="F192" s="22">
        <f t="shared" si="36"/>
        <v>141440</v>
      </c>
      <c r="G192" s="101"/>
      <c r="H192" s="101"/>
      <c r="I192" s="22">
        <f>105000/4</f>
        <v>26250</v>
      </c>
      <c r="J192" s="15">
        <f t="shared" si="37"/>
        <v>105000</v>
      </c>
      <c r="K192" s="15">
        <f t="shared" si="38"/>
        <v>36440</v>
      </c>
      <c r="L192" s="115">
        <f t="shared" si="39"/>
        <v>0.2846875</v>
      </c>
      <c r="M192" s="1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83">
        <v>3.0</v>
      </c>
      <c r="B193" s="84" t="s">
        <v>29</v>
      </c>
      <c r="C193" s="85" t="s">
        <v>55</v>
      </c>
      <c r="D193" s="22">
        <v>35000.0</v>
      </c>
      <c r="E193" s="15">
        <f t="shared" si="35"/>
        <v>105000</v>
      </c>
      <c r="F193" s="22">
        <f t="shared" si="36"/>
        <v>116025</v>
      </c>
      <c r="G193" s="101"/>
      <c r="H193" s="101"/>
      <c r="I193" s="22">
        <v>22000.0</v>
      </c>
      <c r="J193" s="15">
        <f t="shared" si="37"/>
        <v>66000</v>
      </c>
      <c r="K193" s="15">
        <f t="shared" si="38"/>
        <v>50025</v>
      </c>
      <c r="L193" s="110">
        <f t="shared" si="39"/>
        <v>0.4764285714</v>
      </c>
      <c r="M193" s="1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>
      <c r="A194" s="83">
        <v>3.0</v>
      </c>
      <c r="B194" s="84" t="s">
        <v>18</v>
      </c>
      <c r="C194" s="85" t="s">
        <v>201</v>
      </c>
      <c r="D194" s="22">
        <v>38000.0</v>
      </c>
      <c r="E194" s="15">
        <f t="shared" si="35"/>
        <v>114000</v>
      </c>
      <c r="F194" s="22">
        <f t="shared" si="36"/>
        <v>125970</v>
      </c>
      <c r="G194" s="101"/>
      <c r="H194" s="101"/>
      <c r="I194" s="22">
        <v>30000.0</v>
      </c>
      <c r="J194" s="15">
        <f t="shared" si="37"/>
        <v>90000</v>
      </c>
      <c r="K194" s="15">
        <f t="shared" si="38"/>
        <v>35970</v>
      </c>
      <c r="L194" s="110">
        <f t="shared" si="39"/>
        <v>0.3155263158</v>
      </c>
      <c r="M194" s="1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>
      <c r="A195" s="83">
        <v>4.0</v>
      </c>
      <c r="B195" s="84" t="s">
        <v>18</v>
      </c>
      <c r="C195" s="85" t="s">
        <v>214</v>
      </c>
      <c r="D195" s="22">
        <v>38000.0</v>
      </c>
      <c r="E195" s="15">
        <f t="shared" si="35"/>
        <v>152000</v>
      </c>
      <c r="F195" s="22">
        <f t="shared" si="36"/>
        <v>167960</v>
      </c>
      <c r="G195" s="101"/>
      <c r="H195" s="101"/>
      <c r="I195" s="22">
        <v>30000.0</v>
      </c>
      <c r="J195" s="15">
        <f t="shared" si="37"/>
        <v>120000</v>
      </c>
      <c r="K195" s="15">
        <f t="shared" si="38"/>
        <v>47960</v>
      </c>
      <c r="L195" s="110">
        <f t="shared" si="39"/>
        <v>0.3155263158</v>
      </c>
      <c r="M195" s="1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83">
        <v>2.0</v>
      </c>
      <c r="B196" s="84" t="s">
        <v>18</v>
      </c>
      <c r="C196" s="85" t="s">
        <v>39</v>
      </c>
      <c r="D196" s="22">
        <v>25000.0</v>
      </c>
      <c r="E196" s="15">
        <f t="shared" si="35"/>
        <v>50000</v>
      </c>
      <c r="F196" s="22">
        <f t="shared" si="36"/>
        <v>55250</v>
      </c>
      <c r="G196" s="101"/>
      <c r="H196" s="101"/>
      <c r="I196" s="22">
        <v>20000.0</v>
      </c>
      <c r="J196" s="15">
        <f t="shared" si="37"/>
        <v>40000</v>
      </c>
      <c r="K196" s="15">
        <f t="shared" si="38"/>
        <v>15250</v>
      </c>
      <c r="L196" s="110">
        <f t="shared" si="39"/>
        <v>0.305</v>
      </c>
      <c r="M196" s="1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83">
        <v>2.0</v>
      </c>
      <c r="B197" s="84" t="s">
        <v>18</v>
      </c>
      <c r="C197" s="85" t="s">
        <v>216</v>
      </c>
      <c r="D197" s="22">
        <v>22000.0</v>
      </c>
      <c r="E197" s="15">
        <f t="shared" si="35"/>
        <v>44000</v>
      </c>
      <c r="F197" s="22">
        <f t="shared" si="36"/>
        <v>48620</v>
      </c>
      <c r="G197" s="101"/>
      <c r="H197" s="101"/>
      <c r="I197" s="22">
        <v>12000.0</v>
      </c>
      <c r="J197" s="15">
        <f t="shared" si="37"/>
        <v>24000</v>
      </c>
      <c r="K197" s="15">
        <f t="shared" si="38"/>
        <v>24620</v>
      </c>
      <c r="L197" s="110">
        <f t="shared" si="39"/>
        <v>0.5595454545</v>
      </c>
      <c r="M197" s="1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>
      <c r="A198" s="83">
        <v>26.7</v>
      </c>
      <c r="B198" s="84" t="s">
        <v>33</v>
      </c>
      <c r="C198" s="85" t="s">
        <v>34</v>
      </c>
      <c r="D198" s="22">
        <v>1000.0</v>
      </c>
      <c r="E198" s="15">
        <f t="shared" si="35"/>
        <v>26700</v>
      </c>
      <c r="F198" s="22">
        <f t="shared" si="36"/>
        <v>29503.5</v>
      </c>
      <c r="G198" s="101"/>
      <c r="H198" s="101"/>
      <c r="I198" s="22">
        <v>600.0</v>
      </c>
      <c r="J198" s="15">
        <f t="shared" si="37"/>
        <v>16020</v>
      </c>
      <c r="K198" s="15">
        <f t="shared" si="38"/>
        <v>13483.5</v>
      </c>
      <c r="L198" s="110">
        <f t="shared" si="39"/>
        <v>0.505</v>
      </c>
      <c r="M198" s="1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>
      <c r="A199" s="83">
        <v>1.0</v>
      </c>
      <c r="B199" s="84" t="s">
        <v>18</v>
      </c>
      <c r="C199" s="85" t="s">
        <v>72</v>
      </c>
      <c r="D199" s="22">
        <v>35000.0</v>
      </c>
      <c r="E199" s="15">
        <f t="shared" si="35"/>
        <v>35000</v>
      </c>
      <c r="F199" s="22">
        <f t="shared" si="36"/>
        <v>38675</v>
      </c>
      <c r="G199" s="101"/>
      <c r="H199" s="113"/>
      <c r="I199" s="22">
        <v>27000.0</v>
      </c>
      <c r="J199" s="15">
        <f t="shared" si="37"/>
        <v>27000</v>
      </c>
      <c r="K199" s="15">
        <f t="shared" si="38"/>
        <v>11675</v>
      </c>
      <c r="L199" s="110">
        <f t="shared" si="39"/>
        <v>0.3335714286</v>
      </c>
      <c r="M199" s="1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83">
        <v>1.0</v>
      </c>
      <c r="B200" s="84" t="s">
        <v>18</v>
      </c>
      <c r="C200" s="85" t="s">
        <v>213</v>
      </c>
      <c r="D200" s="22">
        <v>32000.0</v>
      </c>
      <c r="E200" s="15">
        <f t="shared" si="35"/>
        <v>32000</v>
      </c>
      <c r="F200" s="22">
        <f t="shared" si="36"/>
        <v>35360</v>
      </c>
      <c r="G200" s="113" t="s">
        <v>38</v>
      </c>
      <c r="H200" s="101"/>
      <c r="I200" s="22"/>
      <c r="J200" s="15">
        <f t="shared" si="37"/>
        <v>0</v>
      </c>
      <c r="K200" s="15">
        <f t="shared" si="38"/>
        <v>35360</v>
      </c>
      <c r="L200" s="110">
        <f t="shared" si="39"/>
        <v>1.105</v>
      </c>
      <c r="M200" s="1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>
      <c r="A201" s="83">
        <v>1.0</v>
      </c>
      <c r="B201" s="84" t="s">
        <v>18</v>
      </c>
      <c r="C201" s="85" t="s">
        <v>19</v>
      </c>
      <c r="D201" s="22">
        <v>36000.0</v>
      </c>
      <c r="E201" s="15">
        <f t="shared" si="35"/>
        <v>36000</v>
      </c>
      <c r="F201" s="22">
        <f t="shared" si="36"/>
        <v>39780</v>
      </c>
      <c r="G201" s="113" t="s">
        <v>38</v>
      </c>
      <c r="H201" s="101"/>
      <c r="I201" s="22"/>
      <c r="J201" s="15">
        <f t="shared" si="37"/>
        <v>0</v>
      </c>
      <c r="K201" s="15">
        <f t="shared" si="38"/>
        <v>39780</v>
      </c>
      <c r="L201" s="110">
        <f t="shared" si="39"/>
        <v>1.105</v>
      </c>
      <c r="M201" s="1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83">
        <v>1.0</v>
      </c>
      <c r="B202" s="84" t="s">
        <v>288</v>
      </c>
      <c r="C202" s="85" t="s">
        <v>20</v>
      </c>
      <c r="D202" s="22">
        <v>26000.0</v>
      </c>
      <c r="E202" s="15">
        <f t="shared" si="35"/>
        <v>26000</v>
      </c>
      <c r="F202" s="22">
        <f t="shared" si="36"/>
        <v>28730</v>
      </c>
      <c r="G202" s="113" t="s">
        <v>38</v>
      </c>
      <c r="H202" s="101"/>
      <c r="I202" s="22"/>
      <c r="J202" s="15">
        <f t="shared" si="37"/>
        <v>0</v>
      </c>
      <c r="K202" s="15">
        <f t="shared" si="38"/>
        <v>28730</v>
      </c>
      <c r="L202" s="110">
        <f t="shared" si="39"/>
        <v>1.105</v>
      </c>
      <c r="M202" s="1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83">
        <v>1.0</v>
      </c>
      <c r="B203" s="84" t="s">
        <v>18</v>
      </c>
      <c r="C203" s="85" t="s">
        <v>30</v>
      </c>
      <c r="D203" s="22">
        <v>63000.0</v>
      </c>
      <c r="E203" s="15">
        <f t="shared" si="35"/>
        <v>63000</v>
      </c>
      <c r="F203" s="22">
        <f t="shared" si="36"/>
        <v>69615</v>
      </c>
      <c r="G203" s="113" t="s">
        <v>38</v>
      </c>
      <c r="H203" s="101"/>
      <c r="I203" s="22"/>
      <c r="J203" s="15">
        <f t="shared" si="37"/>
        <v>0</v>
      </c>
      <c r="K203" s="15">
        <f t="shared" si="38"/>
        <v>69615</v>
      </c>
      <c r="L203" s="110">
        <f t="shared" si="39"/>
        <v>1.105</v>
      </c>
      <c r="M203" s="1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83">
        <v>1.0</v>
      </c>
      <c r="B204" s="84" t="s">
        <v>18</v>
      </c>
      <c r="C204" s="85" t="s">
        <v>55</v>
      </c>
      <c r="D204" s="22">
        <v>35000.0</v>
      </c>
      <c r="E204" s="15">
        <f t="shared" si="35"/>
        <v>35000</v>
      </c>
      <c r="F204" s="22">
        <f t="shared" si="36"/>
        <v>38675</v>
      </c>
      <c r="G204" s="113" t="s">
        <v>41</v>
      </c>
      <c r="H204" s="101"/>
      <c r="I204" s="22"/>
      <c r="J204" s="15">
        <f t="shared" si="37"/>
        <v>0</v>
      </c>
      <c r="K204" s="15">
        <f t="shared" si="38"/>
        <v>38675</v>
      </c>
      <c r="L204" s="110">
        <f t="shared" si="39"/>
        <v>1.105</v>
      </c>
      <c r="M204" s="1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83">
        <v>1.0</v>
      </c>
      <c r="B205" s="84" t="s">
        <v>18</v>
      </c>
      <c r="C205" s="85" t="s">
        <v>201</v>
      </c>
      <c r="D205" s="22">
        <v>38000.0</v>
      </c>
      <c r="E205" s="15">
        <f t="shared" si="35"/>
        <v>38000</v>
      </c>
      <c r="F205" s="22">
        <f t="shared" si="36"/>
        <v>41990</v>
      </c>
      <c r="G205" s="113" t="s">
        <v>41</v>
      </c>
      <c r="H205" s="101"/>
      <c r="I205" s="22"/>
      <c r="J205" s="15">
        <f t="shared" si="37"/>
        <v>0</v>
      </c>
      <c r="K205" s="15">
        <f t="shared" si="38"/>
        <v>41990</v>
      </c>
      <c r="L205" s="110">
        <f t="shared" si="39"/>
        <v>1.105</v>
      </c>
      <c r="M205" s="1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83">
        <v>1.0</v>
      </c>
      <c r="B206" s="84" t="s">
        <v>18</v>
      </c>
      <c r="C206" s="85" t="s">
        <v>214</v>
      </c>
      <c r="D206" s="22">
        <v>38000.0</v>
      </c>
      <c r="E206" s="15">
        <f t="shared" si="35"/>
        <v>38000</v>
      </c>
      <c r="F206" s="22">
        <f t="shared" si="36"/>
        <v>41990</v>
      </c>
      <c r="G206" s="113" t="s">
        <v>41</v>
      </c>
      <c r="H206" s="101"/>
      <c r="I206" s="22"/>
      <c r="J206" s="15">
        <f t="shared" si="37"/>
        <v>0</v>
      </c>
      <c r="K206" s="15">
        <f t="shared" si="38"/>
        <v>41990</v>
      </c>
      <c r="L206" s="110">
        <f t="shared" si="39"/>
        <v>1.105</v>
      </c>
      <c r="M206" s="1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5"/>
      <c r="B207" s="10"/>
      <c r="C207" s="11"/>
      <c r="D207" s="12"/>
      <c r="E207" s="10"/>
      <c r="F207" s="10"/>
      <c r="G207" s="3"/>
      <c r="H207" s="3"/>
      <c r="I207" s="10"/>
      <c r="J207" s="10"/>
      <c r="K207" s="10"/>
      <c r="L207" s="110"/>
      <c r="M207" s="1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5"/>
      <c r="B208" s="10"/>
      <c r="C208" s="11"/>
      <c r="D208" s="12"/>
      <c r="E208" s="15">
        <f t="shared" ref="E208:F208" si="40">SUM(E184:E206)</f>
        <v>1355200</v>
      </c>
      <c r="F208" s="15">
        <f t="shared" si="40"/>
        <v>1497496</v>
      </c>
      <c r="G208" s="101"/>
      <c r="H208" s="101"/>
      <c r="I208" s="101"/>
      <c r="J208" s="101"/>
      <c r="K208" s="15">
        <f>SUM(K184:K206)</f>
        <v>801476</v>
      </c>
      <c r="L208" s="110">
        <f>IFERROR(K208/E208, 0)</f>
        <v>0.5914079103</v>
      </c>
      <c r="M208" s="1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9" t="s">
        <v>100</v>
      </c>
      <c r="B211" s="24"/>
      <c r="C211" s="24"/>
      <c r="D211" s="81" t="s">
        <v>320</v>
      </c>
      <c r="E211" s="82">
        <v>46076.0</v>
      </c>
      <c r="F211" s="33" t="s">
        <v>13</v>
      </c>
      <c r="G211" s="25"/>
      <c r="H211" s="25"/>
      <c r="I211" s="16"/>
      <c r="J211" s="16"/>
      <c r="K211" s="16"/>
      <c r="L211" s="36"/>
      <c r="M211" s="2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B212" s="25"/>
      <c r="C212" s="35"/>
      <c r="D212" s="25"/>
      <c r="E212" s="25"/>
      <c r="F212" s="25"/>
      <c r="G212" s="25"/>
      <c r="H212" s="25"/>
      <c r="I212" s="16"/>
      <c r="J212" s="16"/>
      <c r="K212" s="16"/>
      <c r="L212" s="36"/>
      <c r="M212" s="2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5" t="s">
        <v>4</v>
      </c>
      <c r="B213" s="10" t="s">
        <v>5</v>
      </c>
      <c r="C213" s="11" t="s">
        <v>6</v>
      </c>
      <c r="D213" s="12" t="s">
        <v>7</v>
      </c>
      <c r="E213" s="10" t="s">
        <v>8</v>
      </c>
      <c r="F213" s="12"/>
      <c r="G213" s="25"/>
      <c r="H213" s="25"/>
      <c r="I213" s="12" t="s">
        <v>7</v>
      </c>
      <c r="J213" s="12" t="s">
        <v>8</v>
      </c>
      <c r="K213" s="12" t="s">
        <v>10</v>
      </c>
      <c r="L213" s="36"/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83">
        <v>3.0</v>
      </c>
      <c r="B214" s="84" t="s">
        <v>33</v>
      </c>
      <c r="C214" s="85" t="s">
        <v>19</v>
      </c>
      <c r="D214" s="22">
        <v>2800.0</v>
      </c>
      <c r="E214" s="15">
        <f t="shared" ref="E214:E220" si="41">A214*D214</f>
        <v>8400</v>
      </c>
      <c r="F214" s="16"/>
      <c r="G214" s="25"/>
      <c r="H214" s="37"/>
      <c r="I214" s="87">
        <f>25000/15</f>
        <v>1666.666667</v>
      </c>
      <c r="J214" s="16">
        <f t="shared" ref="J214:J220" si="42">I214*A214</f>
        <v>5000</v>
      </c>
      <c r="K214" s="16">
        <f t="shared" ref="K214:K220" si="43">E214-J214</f>
        <v>3400</v>
      </c>
      <c r="L214" s="36">
        <f t="shared" ref="L214:L220" si="44">K214/E214</f>
        <v>0.4047619048</v>
      </c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83">
        <v>1.0</v>
      </c>
      <c r="B215" s="84" t="s">
        <v>18</v>
      </c>
      <c r="C215" s="85" t="s">
        <v>65</v>
      </c>
      <c r="D215" s="22">
        <v>9000.0</v>
      </c>
      <c r="E215" s="15">
        <f t="shared" si="41"/>
        <v>9000</v>
      </c>
      <c r="F215" s="16"/>
      <c r="G215" s="25"/>
      <c r="H215" s="37"/>
      <c r="I215" s="87">
        <f>4000</f>
        <v>4000</v>
      </c>
      <c r="J215" s="16">
        <f t="shared" si="42"/>
        <v>4000</v>
      </c>
      <c r="K215" s="16">
        <f t="shared" si="43"/>
        <v>5000</v>
      </c>
      <c r="L215" s="111">
        <f t="shared" si="44"/>
        <v>0.5555555556</v>
      </c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83">
        <v>1.0</v>
      </c>
      <c r="B216" s="84" t="s">
        <v>33</v>
      </c>
      <c r="C216" s="85" t="s">
        <v>194</v>
      </c>
      <c r="D216" s="22">
        <v>3000.0</v>
      </c>
      <c r="E216" s="15">
        <f t="shared" si="41"/>
        <v>3000</v>
      </c>
      <c r="F216" s="16"/>
      <c r="G216" s="25"/>
      <c r="H216" s="37"/>
      <c r="I216" s="87">
        <f>8000/7</f>
        <v>1142.857143</v>
      </c>
      <c r="J216" s="16">
        <f t="shared" si="42"/>
        <v>1142.857143</v>
      </c>
      <c r="K216" s="16">
        <f t="shared" si="43"/>
        <v>1857.142857</v>
      </c>
      <c r="L216" s="36">
        <f t="shared" si="44"/>
        <v>0.619047619</v>
      </c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83">
        <v>3.0</v>
      </c>
      <c r="B217" s="84" t="s">
        <v>50</v>
      </c>
      <c r="C217" s="85" t="s">
        <v>69</v>
      </c>
      <c r="D217" s="22">
        <v>2000.0</v>
      </c>
      <c r="E217" s="15">
        <f t="shared" si="41"/>
        <v>6000</v>
      </c>
      <c r="F217" s="16"/>
      <c r="G217" s="25"/>
      <c r="H217" s="37"/>
      <c r="I217" s="87">
        <v>2500.0</v>
      </c>
      <c r="J217" s="16">
        <f t="shared" si="42"/>
        <v>7500</v>
      </c>
      <c r="K217" s="16">
        <f t="shared" si="43"/>
        <v>-1500</v>
      </c>
      <c r="L217" s="36">
        <f t="shared" si="44"/>
        <v>-0.25</v>
      </c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83">
        <v>1.0</v>
      </c>
      <c r="B218" s="84" t="s">
        <v>33</v>
      </c>
      <c r="C218" s="85" t="s">
        <v>72</v>
      </c>
      <c r="D218" s="22">
        <v>2800.0</v>
      </c>
      <c r="E218" s="15">
        <f t="shared" si="41"/>
        <v>2800</v>
      </c>
      <c r="F218" s="16"/>
      <c r="G218" s="25"/>
      <c r="H218" s="37"/>
      <c r="I218" s="87">
        <f>27000/15</f>
        <v>1800</v>
      </c>
      <c r="J218" s="16">
        <f t="shared" si="42"/>
        <v>1800</v>
      </c>
      <c r="K218" s="16">
        <f t="shared" si="43"/>
        <v>1000</v>
      </c>
      <c r="L218" s="36">
        <f t="shared" si="44"/>
        <v>0.3571428571</v>
      </c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83">
        <v>3.0</v>
      </c>
      <c r="B219" s="84" t="s">
        <v>50</v>
      </c>
      <c r="C219" s="85" t="s">
        <v>16</v>
      </c>
      <c r="D219" s="22">
        <v>1000.0</v>
      </c>
      <c r="E219" s="15">
        <f t="shared" si="41"/>
        <v>3000</v>
      </c>
      <c r="F219" s="16"/>
      <c r="G219" s="25"/>
      <c r="H219" s="37"/>
      <c r="I219" s="22">
        <f>8000/20</f>
        <v>400</v>
      </c>
      <c r="J219" s="16">
        <f t="shared" si="42"/>
        <v>1200</v>
      </c>
      <c r="K219" s="16">
        <f t="shared" si="43"/>
        <v>1800</v>
      </c>
      <c r="L219" s="36">
        <f t="shared" si="44"/>
        <v>0.6</v>
      </c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83">
        <v>2.0</v>
      </c>
      <c r="B220" s="84" t="s">
        <v>50</v>
      </c>
      <c r="C220" s="85" t="s">
        <v>103</v>
      </c>
      <c r="D220" s="22">
        <v>1600.0</v>
      </c>
      <c r="E220" s="15">
        <f t="shared" si="41"/>
        <v>3200</v>
      </c>
      <c r="F220" s="16"/>
      <c r="G220" s="25"/>
      <c r="H220" s="98" t="s">
        <v>274</v>
      </c>
      <c r="I220" s="87"/>
      <c r="J220" s="16">
        <f t="shared" si="42"/>
        <v>0</v>
      </c>
      <c r="K220" s="16">
        <f t="shared" si="43"/>
        <v>3200</v>
      </c>
      <c r="L220" s="36">
        <f t="shared" si="44"/>
        <v>1</v>
      </c>
      <c r="M220" s="2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13"/>
      <c r="B221" s="12"/>
      <c r="C221" s="14"/>
      <c r="D221" s="15"/>
      <c r="E221" s="16"/>
      <c r="F221" s="16"/>
      <c r="H221" s="25"/>
      <c r="I221" s="16"/>
      <c r="J221" s="16"/>
      <c r="K221" s="16"/>
      <c r="L221" s="36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13"/>
      <c r="B222" s="12"/>
      <c r="C222" s="14"/>
      <c r="D222" s="15"/>
      <c r="E222" s="16">
        <f>SUM(E214:E221)</f>
        <v>35400</v>
      </c>
      <c r="F222" s="16"/>
      <c r="G222" s="25"/>
      <c r="H222" s="25"/>
      <c r="I222" s="16"/>
      <c r="J222" s="16"/>
      <c r="K222" s="16">
        <f>SUM(K214:K220)</f>
        <v>14757.14286</v>
      </c>
      <c r="L222" s="110">
        <f>K222/E222</f>
        <v>0.4168684423</v>
      </c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9" t="s">
        <v>73</v>
      </c>
      <c r="B226" s="24"/>
      <c r="C226" s="24"/>
      <c r="D226" s="81" t="s">
        <v>337</v>
      </c>
      <c r="E226" s="82">
        <v>46076.0</v>
      </c>
      <c r="F226" s="33" t="s">
        <v>13</v>
      </c>
      <c r="G226" s="25"/>
      <c r="H226" s="25"/>
      <c r="I226" s="16"/>
      <c r="J226" s="16"/>
      <c r="K226" s="16"/>
      <c r="L226" s="36"/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B227" s="25"/>
      <c r="C227" s="35"/>
      <c r="D227" s="25"/>
      <c r="E227" s="25"/>
      <c r="F227" s="25"/>
      <c r="G227" s="25"/>
      <c r="H227" s="25"/>
      <c r="I227" s="16"/>
      <c r="J227" s="16"/>
      <c r="K227" s="16"/>
      <c r="L227" s="36"/>
      <c r="M227" s="2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 ht="15.75" customHeight="1">
      <c r="A228" s="5" t="s">
        <v>4</v>
      </c>
      <c r="B228" s="10" t="s">
        <v>5</v>
      </c>
      <c r="C228" s="11" t="s">
        <v>6</v>
      </c>
      <c r="D228" s="12" t="s">
        <v>7</v>
      </c>
      <c r="E228" s="10" t="s">
        <v>8</v>
      </c>
      <c r="F228" s="12"/>
      <c r="G228" s="25"/>
      <c r="H228" s="25"/>
      <c r="I228" s="12" t="s">
        <v>7</v>
      </c>
      <c r="J228" s="12" t="s">
        <v>8</v>
      </c>
      <c r="K228" s="12" t="s">
        <v>10</v>
      </c>
      <c r="L228" s="36"/>
      <c r="M228" s="2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 ht="15.75" customHeight="1">
      <c r="A229" s="83">
        <v>2.5</v>
      </c>
      <c r="B229" s="84" t="s">
        <v>29</v>
      </c>
      <c r="C229" s="85" t="s">
        <v>55</v>
      </c>
      <c r="D229" s="22">
        <v>35000.0</v>
      </c>
      <c r="E229" s="15">
        <f t="shared" ref="E229:E242" si="45">A229*D229</f>
        <v>87500</v>
      </c>
      <c r="F229" s="16"/>
      <c r="G229" s="25"/>
      <c r="H229" s="37"/>
      <c r="I229" s="87">
        <v>22000.0</v>
      </c>
      <c r="J229" s="16">
        <f t="shared" ref="J229:J242" si="46">I229*A229</f>
        <v>55000</v>
      </c>
      <c r="K229" s="16">
        <f t="shared" ref="K229:K242" si="47">E229-J229</f>
        <v>32500</v>
      </c>
      <c r="L229" s="36">
        <f t="shared" ref="L229:L242" si="48">K229/E229</f>
        <v>0.3714285714</v>
      </c>
      <c r="M229" s="2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 ht="15.75" customHeight="1">
      <c r="A230" s="83">
        <v>1.0</v>
      </c>
      <c r="B230" s="84" t="s">
        <v>18</v>
      </c>
      <c r="C230" s="85" t="s">
        <v>192</v>
      </c>
      <c r="D230" s="22">
        <v>16000.0</v>
      </c>
      <c r="E230" s="15">
        <f t="shared" si="45"/>
        <v>16000</v>
      </c>
      <c r="F230" s="16"/>
      <c r="G230" s="25"/>
      <c r="H230" s="37"/>
      <c r="I230" s="87">
        <v>12000.0</v>
      </c>
      <c r="J230" s="16">
        <f t="shared" si="46"/>
        <v>12000</v>
      </c>
      <c r="K230" s="16">
        <f t="shared" si="47"/>
        <v>4000</v>
      </c>
      <c r="L230" s="111">
        <f t="shared" si="48"/>
        <v>0.25</v>
      </c>
      <c r="M230" s="2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 ht="15.75" customHeight="1">
      <c r="A231" s="83">
        <v>5.0</v>
      </c>
      <c r="B231" s="84" t="s">
        <v>33</v>
      </c>
      <c r="C231" s="85" t="s">
        <v>192</v>
      </c>
      <c r="D231" s="22">
        <v>1200.0</v>
      </c>
      <c r="E231" s="15">
        <f t="shared" si="45"/>
        <v>6000</v>
      </c>
      <c r="F231" s="16"/>
      <c r="G231" s="25"/>
      <c r="H231" s="37"/>
      <c r="I231" s="87">
        <f>12000/15</f>
        <v>800</v>
      </c>
      <c r="J231" s="16">
        <f t="shared" si="46"/>
        <v>4000</v>
      </c>
      <c r="K231" s="16">
        <f t="shared" si="47"/>
        <v>2000</v>
      </c>
      <c r="L231" s="111">
        <f t="shared" si="48"/>
        <v>0.3333333333</v>
      </c>
      <c r="M231" s="2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 ht="15.75" customHeight="1">
      <c r="A232" s="83">
        <v>2.0</v>
      </c>
      <c r="B232" s="84" t="s">
        <v>38</v>
      </c>
      <c r="C232" s="85" t="s">
        <v>45</v>
      </c>
      <c r="D232" s="22">
        <v>12000.0</v>
      </c>
      <c r="E232" s="15">
        <f t="shared" si="45"/>
        <v>24000</v>
      </c>
      <c r="F232" s="16"/>
      <c r="G232" s="25"/>
      <c r="H232" s="37"/>
      <c r="I232" s="87">
        <v>8000.0</v>
      </c>
      <c r="J232" s="16">
        <f t="shared" si="46"/>
        <v>16000</v>
      </c>
      <c r="K232" s="16">
        <f t="shared" si="47"/>
        <v>8000</v>
      </c>
      <c r="L232" s="36">
        <f t="shared" si="48"/>
        <v>0.3333333333</v>
      </c>
      <c r="M232" s="2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 ht="15.75" customHeight="1">
      <c r="A233" s="83">
        <v>2.0</v>
      </c>
      <c r="B233" s="84" t="s">
        <v>38</v>
      </c>
      <c r="C233" s="85" t="s">
        <v>371</v>
      </c>
      <c r="D233" s="22">
        <v>12000.0</v>
      </c>
      <c r="E233" s="15">
        <f t="shared" si="45"/>
        <v>24000</v>
      </c>
      <c r="F233" s="16"/>
      <c r="G233" s="25"/>
      <c r="H233" s="37"/>
      <c r="I233" s="87">
        <v>8000.0</v>
      </c>
      <c r="J233" s="16">
        <f t="shared" si="46"/>
        <v>16000</v>
      </c>
      <c r="K233" s="16">
        <f t="shared" si="47"/>
        <v>8000</v>
      </c>
      <c r="L233" s="36">
        <f t="shared" si="48"/>
        <v>0.3333333333</v>
      </c>
      <c r="M233" s="2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 ht="15.75" customHeight="1">
      <c r="A234" s="83">
        <v>1.0</v>
      </c>
      <c r="B234" s="84" t="s">
        <v>18</v>
      </c>
      <c r="C234" s="85" t="s">
        <v>69</v>
      </c>
      <c r="D234" s="22">
        <v>30000.0</v>
      </c>
      <c r="E234" s="15">
        <f t="shared" si="45"/>
        <v>30000</v>
      </c>
      <c r="F234" s="16"/>
      <c r="G234" s="25"/>
      <c r="H234" s="37"/>
      <c r="I234" s="87">
        <v>25000.0</v>
      </c>
      <c r="J234" s="16">
        <f t="shared" si="46"/>
        <v>25000</v>
      </c>
      <c r="K234" s="16">
        <f t="shared" si="47"/>
        <v>5000</v>
      </c>
      <c r="L234" s="36">
        <f t="shared" si="48"/>
        <v>0.1666666667</v>
      </c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83">
        <v>4.0</v>
      </c>
      <c r="B235" s="84" t="s">
        <v>5</v>
      </c>
      <c r="C235" s="85" t="s">
        <v>176</v>
      </c>
      <c r="D235" s="22">
        <v>900.0</v>
      </c>
      <c r="E235" s="15">
        <f t="shared" si="45"/>
        <v>3600</v>
      </c>
      <c r="F235" s="16"/>
      <c r="G235" s="25"/>
      <c r="H235" s="37"/>
      <c r="I235" s="87">
        <f>23000/50</f>
        <v>460</v>
      </c>
      <c r="J235" s="16">
        <f t="shared" si="46"/>
        <v>1840</v>
      </c>
      <c r="K235" s="16">
        <f t="shared" si="47"/>
        <v>1760</v>
      </c>
      <c r="L235" s="36">
        <f t="shared" si="48"/>
        <v>0.4888888889</v>
      </c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83">
        <v>1.5</v>
      </c>
      <c r="B236" s="84" t="s">
        <v>33</v>
      </c>
      <c r="C236" s="85" t="s">
        <v>24</v>
      </c>
      <c r="D236" s="22">
        <v>4000.0</v>
      </c>
      <c r="E236" s="15">
        <f t="shared" si="45"/>
        <v>6000</v>
      </c>
      <c r="F236" s="16"/>
      <c r="G236" s="25"/>
      <c r="H236" s="98"/>
      <c r="I236" s="87">
        <f>20000/7</f>
        <v>2857.142857</v>
      </c>
      <c r="J236" s="16">
        <f t="shared" si="46"/>
        <v>4285.714286</v>
      </c>
      <c r="K236" s="16">
        <f t="shared" si="47"/>
        <v>1714.285714</v>
      </c>
      <c r="L236" s="36">
        <f t="shared" si="48"/>
        <v>0.2857142857</v>
      </c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>
      <c r="A237" s="83">
        <v>20.0</v>
      </c>
      <c r="B237" s="84" t="s">
        <v>231</v>
      </c>
      <c r="C237" s="85" t="s">
        <v>21</v>
      </c>
      <c r="D237" s="22">
        <v>4800.0</v>
      </c>
      <c r="E237" s="15">
        <f t="shared" si="45"/>
        <v>96000</v>
      </c>
      <c r="F237" s="16"/>
      <c r="G237" s="25"/>
      <c r="H237" s="37"/>
      <c r="I237" s="87">
        <f>48000/12</f>
        <v>4000</v>
      </c>
      <c r="J237" s="16">
        <f t="shared" si="46"/>
        <v>80000</v>
      </c>
      <c r="K237" s="16">
        <f t="shared" si="47"/>
        <v>16000</v>
      </c>
      <c r="L237" s="36">
        <f t="shared" si="48"/>
        <v>0.1666666667</v>
      </c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>
      <c r="A238" s="83">
        <v>6.0</v>
      </c>
      <c r="B238" s="84" t="s">
        <v>50</v>
      </c>
      <c r="C238" s="85" t="s">
        <v>77</v>
      </c>
      <c r="D238" s="22">
        <v>1600.0</v>
      </c>
      <c r="E238" s="15">
        <f t="shared" si="45"/>
        <v>9600</v>
      </c>
      <c r="F238" s="16"/>
      <c r="G238" s="25"/>
      <c r="H238" s="37"/>
      <c r="I238" s="87">
        <v>1200.0</v>
      </c>
      <c r="J238" s="16">
        <f t="shared" si="46"/>
        <v>7200</v>
      </c>
      <c r="K238" s="16">
        <f t="shared" si="47"/>
        <v>2400</v>
      </c>
      <c r="L238" s="36">
        <f t="shared" si="48"/>
        <v>0.25</v>
      </c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83">
        <v>12.0</v>
      </c>
      <c r="B239" s="84" t="s">
        <v>33</v>
      </c>
      <c r="C239" s="85" t="s">
        <v>19</v>
      </c>
      <c r="D239" s="22">
        <v>2500.0</v>
      </c>
      <c r="E239" s="15">
        <f t="shared" si="45"/>
        <v>30000</v>
      </c>
      <c r="F239" s="16"/>
      <c r="G239" s="25"/>
      <c r="H239" s="37"/>
      <c r="I239" s="87">
        <f t="shared" ref="I239:I240" si="49">25000/15</f>
        <v>1666.666667</v>
      </c>
      <c r="J239" s="16">
        <f t="shared" si="46"/>
        <v>20000</v>
      </c>
      <c r="K239" s="16">
        <f t="shared" si="47"/>
        <v>10000</v>
      </c>
      <c r="L239" s="36">
        <f t="shared" si="48"/>
        <v>0.3333333333</v>
      </c>
      <c r="M239" s="2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83">
        <v>2.0</v>
      </c>
      <c r="B240" s="84" t="s">
        <v>33</v>
      </c>
      <c r="C240" s="85" t="s">
        <v>72</v>
      </c>
      <c r="D240" s="22">
        <v>2800.0</v>
      </c>
      <c r="E240" s="15">
        <f t="shared" si="45"/>
        <v>5600</v>
      </c>
      <c r="F240" s="16"/>
      <c r="G240" s="25"/>
      <c r="H240" s="37"/>
      <c r="I240" s="87">
        <f t="shared" si="49"/>
        <v>1666.666667</v>
      </c>
      <c r="J240" s="16">
        <f t="shared" si="46"/>
        <v>3333.333333</v>
      </c>
      <c r="K240" s="16">
        <f t="shared" si="47"/>
        <v>2266.666667</v>
      </c>
      <c r="L240" s="36">
        <f t="shared" si="48"/>
        <v>0.4047619048</v>
      </c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83">
        <v>1.0</v>
      </c>
      <c r="B241" s="84" t="s">
        <v>18</v>
      </c>
      <c r="C241" s="85" t="s">
        <v>356</v>
      </c>
      <c r="D241" s="22">
        <v>23000.0</v>
      </c>
      <c r="E241" s="15">
        <f t="shared" si="45"/>
        <v>23000</v>
      </c>
      <c r="F241" s="16"/>
      <c r="G241" s="25"/>
      <c r="H241" s="37"/>
      <c r="I241" s="87">
        <v>20000.0</v>
      </c>
      <c r="J241" s="16">
        <f t="shared" si="46"/>
        <v>20000</v>
      </c>
      <c r="K241" s="16">
        <f t="shared" si="47"/>
        <v>3000</v>
      </c>
      <c r="L241" s="36">
        <f t="shared" si="48"/>
        <v>0.1304347826</v>
      </c>
      <c r="M241" s="2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83">
        <v>1.0</v>
      </c>
      <c r="B242" s="84" t="s">
        <v>38</v>
      </c>
      <c r="C242" s="85" t="s">
        <v>46</v>
      </c>
      <c r="D242" s="22">
        <v>14000.0</v>
      </c>
      <c r="E242" s="15">
        <f t="shared" si="45"/>
        <v>14000</v>
      </c>
      <c r="F242" s="16"/>
      <c r="G242" s="25"/>
      <c r="H242" s="37"/>
      <c r="I242" s="87">
        <v>11000.0</v>
      </c>
      <c r="J242" s="16">
        <f t="shared" si="46"/>
        <v>11000</v>
      </c>
      <c r="K242" s="16">
        <f t="shared" si="47"/>
        <v>3000</v>
      </c>
      <c r="L242" s="111">
        <f t="shared" si="48"/>
        <v>0.2142857143</v>
      </c>
      <c r="M242" s="2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13"/>
      <c r="B243" s="12"/>
      <c r="C243" s="14"/>
      <c r="D243" s="15"/>
      <c r="E243" s="16"/>
      <c r="F243" s="16"/>
      <c r="H243" s="25"/>
      <c r="I243" s="16"/>
      <c r="J243" s="16"/>
      <c r="K243" s="16"/>
      <c r="L243" s="36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13"/>
      <c r="B244" s="12"/>
      <c r="C244" s="14"/>
      <c r="D244" s="15"/>
      <c r="E244" s="16">
        <f>SUM(E229:E243)</f>
        <v>375300</v>
      </c>
      <c r="F244" s="16"/>
      <c r="G244" s="25"/>
      <c r="H244" s="25"/>
      <c r="I244" s="16"/>
      <c r="J244" s="16"/>
      <c r="K244" s="16">
        <f>SUM(K229:K242)</f>
        <v>99640.95238</v>
      </c>
      <c r="L244" s="110">
        <f>K244/E244</f>
        <v>0.2654968089</v>
      </c>
      <c r="M244" s="2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9" t="s">
        <v>108</v>
      </c>
      <c r="B248" s="24"/>
      <c r="C248" s="24"/>
      <c r="D248" s="81" t="s">
        <v>220</v>
      </c>
      <c r="E248" s="82">
        <v>46076.0</v>
      </c>
      <c r="F248" s="33" t="s">
        <v>13</v>
      </c>
      <c r="G248" s="25"/>
      <c r="H248" s="25"/>
      <c r="I248" s="16"/>
      <c r="J248" s="16"/>
      <c r="K248" s="16"/>
      <c r="L248" s="36"/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B249" s="25"/>
      <c r="C249" s="35"/>
      <c r="D249" s="25"/>
      <c r="E249" s="25"/>
      <c r="F249" s="25"/>
      <c r="G249" s="25"/>
      <c r="H249" s="25"/>
      <c r="I249" s="16"/>
      <c r="J249" s="16"/>
      <c r="K249" s="16"/>
      <c r="L249" s="36"/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5.75" customHeight="1">
      <c r="A250" s="5" t="s">
        <v>4</v>
      </c>
      <c r="B250" s="10" t="s">
        <v>5</v>
      </c>
      <c r="C250" s="11" t="s">
        <v>6</v>
      </c>
      <c r="D250" s="12" t="s">
        <v>7</v>
      </c>
      <c r="E250" s="10" t="s">
        <v>8</v>
      </c>
      <c r="F250" s="12"/>
      <c r="G250" s="25"/>
      <c r="H250" s="25"/>
      <c r="I250" s="12" t="s">
        <v>7</v>
      </c>
      <c r="J250" s="12" t="s">
        <v>8</v>
      </c>
      <c r="K250" s="12" t="s">
        <v>10</v>
      </c>
      <c r="L250" s="36"/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 ht="15.75" customHeight="1">
      <c r="A251" s="83">
        <v>3.0</v>
      </c>
      <c r="B251" s="84" t="s">
        <v>38</v>
      </c>
      <c r="C251" s="85" t="s">
        <v>305</v>
      </c>
      <c r="D251" s="22">
        <v>22000.0</v>
      </c>
      <c r="E251" s="15">
        <f t="shared" ref="E251:E264" si="50">A251*D251</f>
        <v>66000</v>
      </c>
      <c r="F251" s="16"/>
      <c r="G251" s="25"/>
      <c r="H251" s="37"/>
      <c r="I251" s="87">
        <v>18000.0</v>
      </c>
      <c r="J251" s="16">
        <f t="shared" ref="J251:J264" si="51">I251*A251</f>
        <v>54000</v>
      </c>
      <c r="K251" s="16">
        <f t="shared" ref="K251:K264" si="52">E251-J251</f>
        <v>12000</v>
      </c>
      <c r="L251" s="36">
        <f t="shared" ref="L251:L260" si="53">K251/E251</f>
        <v>0.1818181818</v>
      </c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15.75" customHeight="1">
      <c r="A252" s="83">
        <v>1.0</v>
      </c>
      <c r="B252" s="84" t="s">
        <v>33</v>
      </c>
      <c r="C252" s="85" t="s">
        <v>97</v>
      </c>
      <c r="D252" s="22">
        <v>20000.0</v>
      </c>
      <c r="E252" s="15">
        <f t="shared" si="50"/>
        <v>20000</v>
      </c>
      <c r="F252" s="16"/>
      <c r="G252" s="25"/>
      <c r="H252" s="37"/>
      <c r="I252" s="87">
        <v>18000.0</v>
      </c>
      <c r="J252" s="16">
        <f t="shared" si="51"/>
        <v>18000</v>
      </c>
      <c r="K252" s="16">
        <f t="shared" si="52"/>
        <v>2000</v>
      </c>
      <c r="L252" s="111">
        <f t="shared" si="53"/>
        <v>0.1</v>
      </c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83">
        <v>1.0</v>
      </c>
      <c r="B253" s="84" t="s">
        <v>33</v>
      </c>
      <c r="C253" s="85" t="s">
        <v>183</v>
      </c>
      <c r="D253" s="22">
        <v>22000.0</v>
      </c>
      <c r="E253" s="15">
        <f t="shared" si="50"/>
        <v>22000</v>
      </c>
      <c r="F253" s="16"/>
      <c r="G253" s="25"/>
      <c r="H253" s="37"/>
      <c r="I253" s="87">
        <v>20000.0</v>
      </c>
      <c r="J253" s="16">
        <f t="shared" si="51"/>
        <v>20000</v>
      </c>
      <c r="K253" s="16">
        <f t="shared" si="52"/>
        <v>2000</v>
      </c>
      <c r="L253" s="36">
        <f t="shared" si="53"/>
        <v>0.09090909091</v>
      </c>
      <c r="M253" s="2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83">
        <v>6.0</v>
      </c>
      <c r="B254" s="84" t="s">
        <v>33</v>
      </c>
      <c r="C254" s="85" t="s">
        <v>174</v>
      </c>
      <c r="D254" s="22">
        <v>1600.0</v>
      </c>
      <c r="E254" s="15">
        <f t="shared" si="50"/>
        <v>9600</v>
      </c>
      <c r="F254" s="16"/>
      <c r="G254" s="25"/>
      <c r="H254" s="37"/>
      <c r="I254" s="87">
        <f>18000/17</f>
        <v>1058.823529</v>
      </c>
      <c r="J254" s="16">
        <f t="shared" si="51"/>
        <v>6352.941176</v>
      </c>
      <c r="K254" s="16">
        <f t="shared" si="52"/>
        <v>3247.058824</v>
      </c>
      <c r="L254" s="36">
        <f t="shared" si="53"/>
        <v>0.3382352941</v>
      </c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83">
        <v>6.0</v>
      </c>
      <c r="B255" s="84" t="s">
        <v>33</v>
      </c>
      <c r="C255" s="85" t="s">
        <v>64</v>
      </c>
      <c r="D255" s="22">
        <v>2300.0</v>
      </c>
      <c r="E255" s="15">
        <f t="shared" si="50"/>
        <v>13800</v>
      </c>
      <c r="F255" s="16"/>
      <c r="G255" s="25"/>
      <c r="H255" s="37"/>
      <c r="I255" s="87">
        <f>20000/15</f>
        <v>1333.333333</v>
      </c>
      <c r="J255" s="16">
        <f t="shared" si="51"/>
        <v>8000</v>
      </c>
      <c r="K255" s="16">
        <f t="shared" si="52"/>
        <v>5800</v>
      </c>
      <c r="L255" s="36">
        <f t="shared" si="53"/>
        <v>0.4202898551</v>
      </c>
      <c r="M255" s="2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 ht="15.75" customHeight="1">
      <c r="A256" s="83">
        <v>3.0</v>
      </c>
      <c r="B256" s="84" t="s">
        <v>50</v>
      </c>
      <c r="C256" s="85" t="s">
        <v>16</v>
      </c>
      <c r="D256" s="22">
        <v>1000.0</v>
      </c>
      <c r="E256" s="15">
        <f t="shared" si="50"/>
        <v>3000</v>
      </c>
      <c r="F256" s="16"/>
      <c r="G256" s="25"/>
      <c r="H256" s="37"/>
      <c r="I256" s="22">
        <f>8000/20</f>
        <v>400</v>
      </c>
      <c r="J256" s="16">
        <f t="shared" si="51"/>
        <v>1200</v>
      </c>
      <c r="K256" s="16">
        <f t="shared" si="52"/>
        <v>1800</v>
      </c>
      <c r="L256" s="36">
        <f t="shared" si="53"/>
        <v>0.6</v>
      </c>
      <c r="M256" s="2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83">
        <v>1.0</v>
      </c>
      <c r="B257" s="84" t="s">
        <v>50</v>
      </c>
      <c r="C257" s="85" t="s">
        <v>236</v>
      </c>
      <c r="D257" s="22">
        <v>5000.0</v>
      </c>
      <c r="E257" s="15">
        <f t="shared" si="50"/>
        <v>5000</v>
      </c>
      <c r="F257" s="16"/>
      <c r="G257" s="25"/>
      <c r="H257" s="37"/>
      <c r="I257" s="87">
        <v>3400.0</v>
      </c>
      <c r="J257" s="16">
        <f t="shared" si="51"/>
        <v>3400</v>
      </c>
      <c r="K257" s="16">
        <f t="shared" si="52"/>
        <v>1600</v>
      </c>
      <c r="L257" s="36">
        <f t="shared" si="53"/>
        <v>0.32</v>
      </c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83">
        <v>1.0</v>
      </c>
      <c r="B258" s="84" t="s">
        <v>50</v>
      </c>
      <c r="C258" s="85" t="s">
        <v>235</v>
      </c>
      <c r="D258" s="22">
        <v>3000.0</v>
      </c>
      <c r="E258" s="15">
        <f t="shared" si="50"/>
        <v>3000</v>
      </c>
      <c r="F258" s="16"/>
      <c r="G258" s="25"/>
      <c r="H258" s="98"/>
      <c r="I258" s="87">
        <v>2000.0</v>
      </c>
      <c r="J258" s="16">
        <f t="shared" si="51"/>
        <v>2000</v>
      </c>
      <c r="K258" s="16">
        <f t="shared" si="52"/>
        <v>1000</v>
      </c>
      <c r="L258" s="36">
        <f t="shared" si="53"/>
        <v>0.3333333333</v>
      </c>
      <c r="M258" s="2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>
      <c r="A259" s="83">
        <v>1.0</v>
      </c>
      <c r="B259" s="84" t="s">
        <v>18</v>
      </c>
      <c r="C259" s="85" t="s">
        <v>65</v>
      </c>
      <c r="D259" s="22">
        <v>9000.0</v>
      </c>
      <c r="E259" s="15">
        <f t="shared" si="50"/>
        <v>9000</v>
      </c>
      <c r="F259" s="16"/>
      <c r="G259" s="25"/>
      <c r="H259" s="37"/>
      <c r="I259" s="87">
        <v>4000.0</v>
      </c>
      <c r="J259" s="16">
        <f t="shared" si="51"/>
        <v>4000</v>
      </c>
      <c r="K259" s="16">
        <f t="shared" si="52"/>
        <v>5000</v>
      </c>
      <c r="L259" s="36">
        <f t="shared" si="53"/>
        <v>0.5555555556</v>
      </c>
      <c r="M259" s="2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>
      <c r="A260" s="83">
        <v>12.0</v>
      </c>
      <c r="B260" s="84" t="s">
        <v>5</v>
      </c>
      <c r="C260" s="85" t="s">
        <v>87</v>
      </c>
      <c r="D260" s="22">
        <v>1300.0</v>
      </c>
      <c r="E260" s="15">
        <f t="shared" si="50"/>
        <v>15600</v>
      </c>
      <c r="F260" s="16"/>
      <c r="G260" s="25"/>
      <c r="H260" s="37"/>
      <c r="I260" s="87">
        <f>62000/80</f>
        <v>775</v>
      </c>
      <c r="J260" s="16">
        <f t="shared" si="51"/>
        <v>9300</v>
      </c>
      <c r="K260" s="16">
        <f t="shared" si="52"/>
        <v>6300</v>
      </c>
      <c r="L260" s="36">
        <f t="shared" si="53"/>
        <v>0.4038461538</v>
      </c>
      <c r="M260" s="2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83">
        <v>1.0</v>
      </c>
      <c r="B261" s="84" t="s">
        <v>33</v>
      </c>
      <c r="C261" s="85" t="s">
        <v>56</v>
      </c>
      <c r="D261" s="22">
        <v>2300.0</v>
      </c>
      <c r="E261" s="15">
        <f t="shared" si="50"/>
        <v>2300</v>
      </c>
      <c r="F261" s="16"/>
      <c r="G261" s="25"/>
      <c r="H261" s="37"/>
      <c r="I261" s="87">
        <f>23000/17</f>
        <v>1352.941176</v>
      </c>
      <c r="J261" s="16">
        <f t="shared" si="51"/>
        <v>1352.941176</v>
      </c>
      <c r="K261" s="16">
        <f t="shared" si="52"/>
        <v>947.0588235</v>
      </c>
      <c r="L261" s="36"/>
      <c r="M261" s="2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83">
        <v>1.0</v>
      </c>
      <c r="B262" s="84" t="s">
        <v>50</v>
      </c>
      <c r="C262" s="85" t="s">
        <v>171</v>
      </c>
      <c r="D262" s="22">
        <v>3000.0</v>
      </c>
      <c r="E262" s="15">
        <f t="shared" si="50"/>
        <v>3000</v>
      </c>
      <c r="F262" s="16"/>
      <c r="G262" s="25"/>
      <c r="H262" s="37"/>
      <c r="I262" s="87">
        <v>2000.0</v>
      </c>
      <c r="J262" s="16">
        <f t="shared" si="51"/>
        <v>2000</v>
      </c>
      <c r="K262" s="16">
        <f t="shared" si="52"/>
        <v>1000</v>
      </c>
      <c r="L262" s="36">
        <f t="shared" ref="L262:L264" si="54">K262/E262</f>
        <v>0.3333333333</v>
      </c>
      <c r="M262" s="2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83">
        <v>0.5</v>
      </c>
      <c r="B263" s="84" t="s">
        <v>18</v>
      </c>
      <c r="C263" s="85" t="s">
        <v>54</v>
      </c>
      <c r="D263" s="22">
        <v>23000.0</v>
      </c>
      <c r="E263" s="15">
        <f t="shared" si="50"/>
        <v>11500</v>
      </c>
      <c r="F263" s="16"/>
      <c r="G263" s="25"/>
      <c r="H263" s="37"/>
      <c r="I263" s="87">
        <v>20000.0</v>
      </c>
      <c r="J263" s="16">
        <f t="shared" si="51"/>
        <v>10000</v>
      </c>
      <c r="K263" s="16">
        <f t="shared" si="52"/>
        <v>1500</v>
      </c>
      <c r="L263" s="36">
        <f t="shared" si="54"/>
        <v>0.1304347826</v>
      </c>
      <c r="M263" s="2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83">
        <v>0.5</v>
      </c>
      <c r="B264" s="84" t="s">
        <v>18</v>
      </c>
      <c r="C264" s="85" t="s">
        <v>119</v>
      </c>
      <c r="D264" s="22">
        <v>52000.0</v>
      </c>
      <c r="E264" s="15">
        <f t="shared" si="50"/>
        <v>26000</v>
      </c>
      <c r="F264" s="16"/>
      <c r="G264" s="25"/>
      <c r="H264" s="37"/>
      <c r="I264" s="87">
        <v>40000.0</v>
      </c>
      <c r="J264" s="16">
        <f t="shared" si="51"/>
        <v>20000</v>
      </c>
      <c r="K264" s="16">
        <f t="shared" si="52"/>
        <v>6000</v>
      </c>
      <c r="L264" s="111">
        <f t="shared" si="54"/>
        <v>0.2307692308</v>
      </c>
      <c r="M264" s="2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13"/>
      <c r="B265" s="12"/>
      <c r="C265" s="14"/>
      <c r="D265" s="15"/>
      <c r="E265" s="16"/>
      <c r="F265" s="16"/>
      <c r="H265" s="25"/>
      <c r="I265" s="16"/>
      <c r="J265" s="16"/>
      <c r="K265" s="16"/>
      <c r="L265" s="36"/>
      <c r="N265" s="3"/>
      <c r="O265" s="2"/>
      <c r="P265" s="3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13"/>
      <c r="B266" s="12"/>
      <c r="C266" s="14"/>
      <c r="D266" s="15"/>
      <c r="E266" s="16">
        <f>SUM(E251:E265)</f>
        <v>209800</v>
      </c>
      <c r="F266" s="16"/>
      <c r="G266" s="25"/>
      <c r="H266" s="25"/>
      <c r="I266" s="16"/>
      <c r="J266" s="16"/>
      <c r="K266" s="16">
        <f>SUM(K251:K264)</f>
        <v>50194.11765</v>
      </c>
      <c r="L266" s="110">
        <f>K266/E266</f>
        <v>0.2392474626</v>
      </c>
      <c r="M266" s="2"/>
      <c r="N266" s="3"/>
      <c r="O266" s="2"/>
      <c r="P266" s="3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9" t="s">
        <v>83</v>
      </c>
      <c r="B269" s="24"/>
      <c r="C269" s="24"/>
      <c r="D269" s="81" t="s">
        <v>101</v>
      </c>
      <c r="E269" s="82">
        <v>46076.0</v>
      </c>
      <c r="F269" s="33" t="s">
        <v>13</v>
      </c>
      <c r="G269" s="25"/>
      <c r="H269" s="25"/>
      <c r="I269" s="16"/>
      <c r="J269" s="16"/>
      <c r="K269" s="16"/>
      <c r="L269" s="36"/>
      <c r="M269" s="2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B270" s="25"/>
      <c r="C270" s="35"/>
      <c r="D270" s="25"/>
      <c r="E270" s="25"/>
      <c r="F270" s="25"/>
      <c r="G270" s="25"/>
      <c r="H270" s="25"/>
      <c r="I270" s="16"/>
      <c r="J270" s="16"/>
      <c r="K270" s="16"/>
      <c r="L270" s="36"/>
      <c r="M270" s="2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5" t="s">
        <v>4</v>
      </c>
      <c r="B271" s="10" t="s">
        <v>5</v>
      </c>
      <c r="C271" s="11" t="s">
        <v>6</v>
      </c>
      <c r="D271" s="12" t="s">
        <v>7</v>
      </c>
      <c r="E271" s="10" t="s">
        <v>8</v>
      </c>
      <c r="F271" s="12"/>
      <c r="G271" s="25"/>
      <c r="H271" s="25"/>
      <c r="I271" s="12" t="s">
        <v>7</v>
      </c>
      <c r="J271" s="12" t="s">
        <v>8</v>
      </c>
      <c r="K271" s="12" t="s">
        <v>10</v>
      </c>
      <c r="L271" s="36"/>
      <c r="M271" s="2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83">
        <v>2.0</v>
      </c>
      <c r="B272" s="84" t="s">
        <v>50</v>
      </c>
      <c r="C272" s="85" t="s">
        <v>16</v>
      </c>
      <c r="D272" s="22">
        <v>1000.0</v>
      </c>
      <c r="E272" s="15">
        <f t="shared" ref="E272:E288" si="55">A272*D272</f>
        <v>2000</v>
      </c>
      <c r="F272" s="16"/>
      <c r="G272" s="25"/>
      <c r="H272" s="37"/>
      <c r="I272" s="87">
        <f>8000/20</f>
        <v>400</v>
      </c>
      <c r="J272" s="16">
        <f t="shared" ref="J272:J288" si="56">I272*A272</f>
        <v>800</v>
      </c>
      <c r="K272" s="16">
        <f t="shared" ref="K272:K288" si="57">E272-J272</f>
        <v>1200</v>
      </c>
      <c r="L272" s="36">
        <f t="shared" ref="L272:L288" si="58">K272/E272</f>
        <v>0.6</v>
      </c>
      <c r="M272" s="2"/>
      <c r="N272" s="3"/>
      <c r="O272" s="2"/>
      <c r="P272" s="3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83">
        <v>1.0</v>
      </c>
      <c r="B273" s="84" t="s">
        <v>33</v>
      </c>
      <c r="C273" s="85" t="s">
        <v>55</v>
      </c>
      <c r="D273" s="22">
        <v>2800.0</v>
      </c>
      <c r="E273" s="15">
        <f t="shared" si="55"/>
        <v>2800</v>
      </c>
      <c r="F273" s="16"/>
      <c r="G273" s="25"/>
      <c r="H273" s="37"/>
      <c r="I273" s="87">
        <f>22000/18</f>
        <v>1222.222222</v>
      </c>
      <c r="J273" s="16">
        <f t="shared" si="56"/>
        <v>1222.222222</v>
      </c>
      <c r="K273" s="16">
        <f t="shared" si="57"/>
        <v>1577.777778</v>
      </c>
      <c r="L273" s="111">
        <f t="shared" si="58"/>
        <v>0.5634920635</v>
      </c>
      <c r="M273" s="2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83">
        <v>2.0</v>
      </c>
      <c r="B274" s="84" t="s">
        <v>33</v>
      </c>
      <c r="C274" s="85" t="s">
        <v>23</v>
      </c>
      <c r="D274" s="22">
        <v>1800.0</v>
      </c>
      <c r="E274" s="15">
        <f t="shared" si="55"/>
        <v>3600</v>
      </c>
      <c r="F274" s="16"/>
      <c r="G274" s="25"/>
      <c r="H274" s="37"/>
      <c r="I274" s="87">
        <v>1000.0</v>
      </c>
      <c r="J274" s="16">
        <f t="shared" si="56"/>
        <v>2000</v>
      </c>
      <c r="K274" s="16">
        <f t="shared" si="57"/>
        <v>1600</v>
      </c>
      <c r="L274" s="36">
        <f t="shared" si="58"/>
        <v>0.4444444444</v>
      </c>
      <c r="M274" s="2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83">
        <v>1.0</v>
      </c>
      <c r="B275" s="84" t="s">
        <v>18</v>
      </c>
      <c r="C275" s="85" t="s">
        <v>103</v>
      </c>
      <c r="D275" s="22">
        <v>16000.0</v>
      </c>
      <c r="E275" s="15">
        <f t="shared" si="55"/>
        <v>16000</v>
      </c>
      <c r="F275" s="16"/>
      <c r="G275" s="25"/>
      <c r="H275" s="37"/>
      <c r="I275" s="87">
        <v>12000.0</v>
      </c>
      <c r="J275" s="16">
        <f t="shared" si="56"/>
        <v>12000</v>
      </c>
      <c r="K275" s="16">
        <f t="shared" si="57"/>
        <v>4000</v>
      </c>
      <c r="L275" s="36">
        <f t="shared" si="58"/>
        <v>0.25</v>
      </c>
      <c r="M275" s="2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 ht="15.75" customHeight="1">
      <c r="A276" s="83">
        <v>2.0</v>
      </c>
      <c r="B276" s="84" t="s">
        <v>33</v>
      </c>
      <c r="C276" s="85" t="s">
        <v>57</v>
      </c>
      <c r="D276" s="22">
        <v>9800.0</v>
      </c>
      <c r="E276" s="15">
        <f t="shared" si="55"/>
        <v>19600</v>
      </c>
      <c r="F276" s="16"/>
      <c r="G276" s="25"/>
      <c r="H276" s="37"/>
      <c r="I276" s="87">
        <f>35000/4</f>
        <v>8750</v>
      </c>
      <c r="J276" s="16">
        <f t="shared" si="56"/>
        <v>17500</v>
      </c>
      <c r="K276" s="16">
        <f t="shared" si="57"/>
        <v>2100</v>
      </c>
      <c r="L276" s="36">
        <f t="shared" si="58"/>
        <v>0.1071428571</v>
      </c>
      <c r="M276" s="2"/>
      <c r="N276" s="3"/>
      <c r="O276" s="2"/>
      <c r="P276" s="3"/>
      <c r="Q276" s="3"/>
      <c r="R276" s="2"/>
      <c r="S276" s="3"/>
      <c r="T276" s="3"/>
      <c r="U276" s="1"/>
      <c r="V276" s="3"/>
      <c r="W276" s="3"/>
      <c r="X276" s="3"/>
      <c r="Y276" s="3"/>
      <c r="Z276" s="3"/>
    </row>
    <row r="277" ht="15.75" customHeight="1">
      <c r="A277" s="83">
        <v>3.0</v>
      </c>
      <c r="B277" s="84" t="s">
        <v>18</v>
      </c>
      <c r="C277" s="85" t="s">
        <v>21</v>
      </c>
      <c r="D277" s="22">
        <v>54000.0</v>
      </c>
      <c r="E277" s="15">
        <f t="shared" si="55"/>
        <v>162000</v>
      </c>
      <c r="F277" s="16"/>
      <c r="G277" s="25"/>
      <c r="H277" s="37"/>
      <c r="I277" s="22">
        <v>48000.0</v>
      </c>
      <c r="J277" s="16">
        <f t="shared" si="56"/>
        <v>144000</v>
      </c>
      <c r="K277" s="16">
        <f t="shared" si="57"/>
        <v>18000</v>
      </c>
      <c r="L277" s="36">
        <f t="shared" si="58"/>
        <v>0.1111111111</v>
      </c>
      <c r="M277" s="2"/>
      <c r="N277" s="3"/>
      <c r="O277" s="2"/>
      <c r="P277" s="3"/>
      <c r="Q277" s="3"/>
      <c r="R277" s="2"/>
      <c r="S277" s="3"/>
      <c r="T277" s="3"/>
      <c r="U277" s="1"/>
      <c r="V277" s="3"/>
      <c r="W277" s="3"/>
      <c r="X277" s="3"/>
      <c r="Y277" s="3"/>
      <c r="Z277" s="3"/>
    </row>
    <row r="278" ht="15.75" customHeight="1">
      <c r="A278" s="83">
        <v>1.0</v>
      </c>
      <c r="B278" s="84" t="s">
        <v>33</v>
      </c>
      <c r="C278" s="85" t="s">
        <v>53</v>
      </c>
      <c r="D278" s="22">
        <v>9800.0</v>
      </c>
      <c r="E278" s="15">
        <f t="shared" si="55"/>
        <v>9800</v>
      </c>
      <c r="F278" s="16"/>
      <c r="G278" s="25"/>
      <c r="H278" s="37"/>
      <c r="I278" s="87">
        <f>55000/8</f>
        <v>6875</v>
      </c>
      <c r="J278" s="16">
        <f t="shared" si="56"/>
        <v>6875</v>
      </c>
      <c r="K278" s="16">
        <f t="shared" si="57"/>
        <v>2925</v>
      </c>
      <c r="L278" s="36">
        <f t="shared" si="58"/>
        <v>0.2984693878</v>
      </c>
      <c r="M278" s="2"/>
      <c r="N278" s="3"/>
      <c r="O278" s="2"/>
      <c r="P278" s="3"/>
      <c r="Q278" s="3"/>
      <c r="R278" s="2"/>
      <c r="S278" s="3"/>
      <c r="T278" s="3"/>
      <c r="U278" s="1"/>
      <c r="V278" s="3"/>
      <c r="W278" s="3"/>
      <c r="X278" s="3"/>
      <c r="Y278" s="3"/>
      <c r="Z278" s="3"/>
    </row>
    <row r="279" ht="15.75" customHeight="1">
      <c r="A279" s="83">
        <v>4.0</v>
      </c>
      <c r="B279" s="84" t="s">
        <v>33</v>
      </c>
      <c r="C279" s="85" t="s">
        <v>86</v>
      </c>
      <c r="D279" s="22">
        <v>4000.0</v>
      </c>
      <c r="E279" s="15">
        <f t="shared" si="55"/>
        <v>16000</v>
      </c>
      <c r="F279" s="16"/>
      <c r="G279" s="25"/>
      <c r="H279" s="98"/>
      <c r="I279" s="87">
        <v>3000.0</v>
      </c>
      <c r="J279" s="16">
        <f t="shared" si="56"/>
        <v>12000</v>
      </c>
      <c r="K279" s="16">
        <f t="shared" si="57"/>
        <v>4000</v>
      </c>
      <c r="L279" s="36">
        <f t="shared" si="58"/>
        <v>0.25</v>
      </c>
      <c r="M279" s="2"/>
      <c r="N279" s="3"/>
      <c r="O279" s="2"/>
      <c r="P279" s="3"/>
      <c r="Q279" s="3"/>
      <c r="R279" s="2"/>
      <c r="S279" s="3"/>
      <c r="T279" s="3"/>
      <c r="U279" s="1"/>
      <c r="V279" s="3"/>
      <c r="W279" s="3"/>
      <c r="X279" s="3"/>
      <c r="Y279" s="3"/>
      <c r="Z279" s="3"/>
    </row>
    <row r="280">
      <c r="A280" s="83">
        <v>1.0</v>
      </c>
      <c r="B280" s="84" t="s">
        <v>18</v>
      </c>
      <c r="C280" s="85" t="s">
        <v>72</v>
      </c>
      <c r="D280" s="22">
        <v>36000.0</v>
      </c>
      <c r="E280" s="15">
        <f t="shared" si="55"/>
        <v>36000</v>
      </c>
      <c r="F280" s="16"/>
      <c r="G280" s="25"/>
      <c r="H280" s="37"/>
      <c r="I280" s="87">
        <v>27000.0</v>
      </c>
      <c r="J280" s="16">
        <f t="shared" si="56"/>
        <v>27000</v>
      </c>
      <c r="K280" s="16">
        <f t="shared" si="57"/>
        <v>9000</v>
      </c>
      <c r="L280" s="36">
        <f t="shared" si="58"/>
        <v>0.25</v>
      </c>
      <c r="M280" s="2"/>
      <c r="N280" s="3"/>
      <c r="O280" s="2"/>
      <c r="P280" s="3"/>
      <c r="Q280" s="3"/>
      <c r="R280" s="2"/>
      <c r="S280" s="3"/>
      <c r="T280" s="3"/>
      <c r="U280" s="1"/>
      <c r="V280" s="3"/>
      <c r="W280" s="3"/>
      <c r="X280" s="3"/>
      <c r="Y280" s="3"/>
      <c r="Z280" s="3"/>
    </row>
    <row r="281">
      <c r="A281" s="83">
        <v>2.0</v>
      </c>
      <c r="B281" s="84" t="s">
        <v>5</v>
      </c>
      <c r="C281" s="85" t="s">
        <v>118</v>
      </c>
      <c r="D281" s="22">
        <v>2500.0</v>
      </c>
      <c r="E281" s="15">
        <f t="shared" si="55"/>
        <v>5000</v>
      </c>
      <c r="F281" s="16"/>
      <c r="G281" s="25"/>
      <c r="H281" s="37"/>
      <c r="I281" s="87">
        <v>2000.0</v>
      </c>
      <c r="J281" s="16">
        <f t="shared" si="56"/>
        <v>4000</v>
      </c>
      <c r="K281" s="16">
        <f t="shared" si="57"/>
        <v>1000</v>
      </c>
      <c r="L281" s="36">
        <f t="shared" si="58"/>
        <v>0.2</v>
      </c>
      <c r="M281" s="2"/>
      <c r="N281" s="3"/>
      <c r="O281" s="2"/>
      <c r="P281" s="3"/>
      <c r="Q281" s="3"/>
      <c r="R281" s="2"/>
      <c r="S281" s="3"/>
      <c r="T281" s="3"/>
      <c r="U281" s="1"/>
      <c r="V281" s="3"/>
      <c r="W281" s="3"/>
      <c r="X281" s="3"/>
      <c r="Y281" s="3"/>
      <c r="Z281" s="3"/>
    </row>
    <row r="282" ht="15.75" customHeight="1">
      <c r="A282" s="83">
        <v>1.0</v>
      </c>
      <c r="B282" s="84" t="s">
        <v>33</v>
      </c>
      <c r="C282" s="85" t="s">
        <v>24</v>
      </c>
      <c r="D282" s="22">
        <v>4000.0</v>
      </c>
      <c r="E282" s="15">
        <f t="shared" si="55"/>
        <v>4000</v>
      </c>
      <c r="F282" s="16"/>
      <c r="G282" s="25"/>
      <c r="H282" s="37"/>
      <c r="I282" s="87">
        <f>20000/7</f>
        <v>2857.142857</v>
      </c>
      <c r="J282" s="16">
        <f t="shared" si="56"/>
        <v>2857.142857</v>
      </c>
      <c r="K282" s="16">
        <f t="shared" si="57"/>
        <v>1142.857143</v>
      </c>
      <c r="L282" s="36">
        <f t="shared" si="58"/>
        <v>0.2857142857</v>
      </c>
      <c r="M282" s="2"/>
      <c r="N282" s="3"/>
      <c r="O282" s="2"/>
      <c r="P282" s="3"/>
      <c r="Q282" s="3"/>
      <c r="R282" s="2"/>
      <c r="S282" s="3"/>
      <c r="T282" s="3"/>
      <c r="U282" s="1"/>
      <c r="V282" s="3"/>
      <c r="W282" s="3"/>
      <c r="X282" s="3"/>
      <c r="Y282" s="3"/>
      <c r="Z282" s="3"/>
    </row>
    <row r="283" ht="15.75" customHeight="1">
      <c r="A283" s="83">
        <v>1.0</v>
      </c>
      <c r="B283" s="84" t="s">
        <v>33</v>
      </c>
      <c r="C283" s="85" t="s">
        <v>25</v>
      </c>
      <c r="D283" s="22">
        <v>3100.0</v>
      </c>
      <c r="E283" s="15">
        <f t="shared" si="55"/>
        <v>3100</v>
      </c>
      <c r="F283" s="16"/>
      <c r="G283" s="25"/>
      <c r="H283" s="37"/>
      <c r="I283" s="87">
        <f>12000/8</f>
        <v>1500</v>
      </c>
      <c r="J283" s="16">
        <f t="shared" si="56"/>
        <v>1500</v>
      </c>
      <c r="K283" s="16">
        <f t="shared" si="57"/>
        <v>1600</v>
      </c>
      <c r="L283" s="36">
        <f t="shared" si="58"/>
        <v>0.5161290323</v>
      </c>
      <c r="M283" s="2"/>
      <c r="N283" s="3"/>
      <c r="O283" s="2"/>
      <c r="P283" s="3"/>
      <c r="Q283" s="3"/>
      <c r="R283" s="2"/>
      <c r="S283" s="3"/>
      <c r="T283" s="3"/>
      <c r="U283" s="1"/>
      <c r="V283" s="3"/>
      <c r="W283" s="3"/>
      <c r="X283" s="3"/>
      <c r="Y283" s="3"/>
      <c r="Z283" s="3"/>
    </row>
    <row r="284" ht="15.75" customHeight="1">
      <c r="A284" s="83">
        <v>4.0</v>
      </c>
      <c r="B284" s="84" t="s">
        <v>50</v>
      </c>
      <c r="C284" s="85" t="s">
        <v>89</v>
      </c>
      <c r="D284" s="22">
        <v>6000.0</v>
      </c>
      <c r="E284" s="15">
        <f t="shared" si="55"/>
        <v>24000</v>
      </c>
      <c r="F284" s="16"/>
      <c r="G284" s="25"/>
      <c r="H284" s="37"/>
      <c r="I284" s="22">
        <v>4000.0</v>
      </c>
      <c r="J284" s="16">
        <f t="shared" si="56"/>
        <v>16000</v>
      </c>
      <c r="K284" s="16">
        <f t="shared" si="57"/>
        <v>8000</v>
      </c>
      <c r="L284" s="36">
        <f t="shared" si="58"/>
        <v>0.3333333333</v>
      </c>
      <c r="M284" s="2"/>
      <c r="N284" s="3"/>
      <c r="O284" s="2"/>
      <c r="P284" s="3"/>
      <c r="Q284" s="3"/>
      <c r="R284" s="2"/>
      <c r="S284" s="3"/>
      <c r="T284" s="3"/>
      <c r="U284" s="1"/>
      <c r="V284" s="3"/>
      <c r="W284" s="3"/>
      <c r="X284" s="3"/>
      <c r="Y284" s="3"/>
      <c r="Z284" s="3"/>
    </row>
    <row r="285" ht="15.75" customHeight="1">
      <c r="A285" s="83">
        <v>1.0</v>
      </c>
      <c r="B285" s="84" t="s">
        <v>33</v>
      </c>
      <c r="C285" s="85" t="s">
        <v>119</v>
      </c>
      <c r="D285" s="22">
        <v>4000.0</v>
      </c>
      <c r="E285" s="15">
        <f t="shared" si="55"/>
        <v>4000</v>
      </c>
      <c r="F285" s="16"/>
      <c r="G285" s="25"/>
      <c r="H285" s="37"/>
      <c r="I285" s="87">
        <v>0.0</v>
      </c>
      <c r="J285" s="16">
        <f t="shared" si="56"/>
        <v>0</v>
      </c>
      <c r="K285" s="16">
        <f t="shared" si="57"/>
        <v>4000</v>
      </c>
      <c r="L285" s="36">
        <f t="shared" si="58"/>
        <v>1</v>
      </c>
      <c r="M285" s="2"/>
      <c r="N285" s="3"/>
      <c r="O285" s="2"/>
      <c r="P285" s="3"/>
      <c r="Q285" s="3"/>
      <c r="R285" s="2"/>
      <c r="S285" s="3"/>
      <c r="T285" s="3"/>
      <c r="U285" s="1"/>
      <c r="V285" s="3"/>
      <c r="W285" s="3"/>
      <c r="X285" s="3"/>
      <c r="Y285" s="3"/>
      <c r="Z285" s="3"/>
    </row>
    <row r="286" ht="15.75" customHeight="1">
      <c r="A286" s="83">
        <v>1.0</v>
      </c>
      <c r="B286" s="84" t="s">
        <v>33</v>
      </c>
      <c r="C286" s="85" t="s">
        <v>20</v>
      </c>
      <c r="D286" s="22">
        <v>3500.0</v>
      </c>
      <c r="E286" s="15">
        <f t="shared" si="55"/>
        <v>3500</v>
      </c>
      <c r="F286" s="16"/>
      <c r="G286" s="25"/>
      <c r="H286" s="98"/>
      <c r="I286" s="87">
        <f>19000/8</f>
        <v>2375</v>
      </c>
      <c r="J286" s="16">
        <f t="shared" si="56"/>
        <v>2375</v>
      </c>
      <c r="K286" s="16">
        <f t="shared" si="57"/>
        <v>1125</v>
      </c>
      <c r="L286" s="36">
        <f t="shared" si="58"/>
        <v>0.3214285714</v>
      </c>
      <c r="M286" s="2"/>
      <c r="N286" s="3"/>
      <c r="O286" s="2"/>
      <c r="P286" s="3"/>
      <c r="Q286" s="3"/>
      <c r="R286" s="2"/>
      <c r="S286" s="3"/>
      <c r="T286" s="3"/>
      <c r="U286" s="1"/>
      <c r="V286" s="3"/>
      <c r="W286" s="3"/>
      <c r="X286" s="3"/>
      <c r="Y286" s="3"/>
      <c r="Z286" s="3"/>
    </row>
    <row r="287">
      <c r="A287" s="83">
        <v>3.0</v>
      </c>
      <c r="B287" s="84" t="s">
        <v>33</v>
      </c>
      <c r="C287" s="85" t="s">
        <v>45</v>
      </c>
      <c r="D287" s="22">
        <v>1000.0</v>
      </c>
      <c r="E287" s="15">
        <f t="shared" si="55"/>
        <v>3000</v>
      </c>
      <c r="F287" s="16"/>
      <c r="G287" s="25"/>
      <c r="H287" s="37"/>
      <c r="I287" s="87">
        <f>8000/15</f>
        <v>533.3333333</v>
      </c>
      <c r="J287" s="16">
        <f t="shared" si="56"/>
        <v>1600</v>
      </c>
      <c r="K287" s="16">
        <f t="shared" si="57"/>
        <v>1400</v>
      </c>
      <c r="L287" s="36">
        <f t="shared" si="58"/>
        <v>0.4666666667</v>
      </c>
      <c r="M287" s="2"/>
      <c r="N287" s="3"/>
      <c r="O287" s="2"/>
      <c r="P287" s="3"/>
      <c r="Q287" s="3"/>
      <c r="R287" s="2"/>
      <c r="S287" s="3"/>
      <c r="T287" s="3"/>
      <c r="U287" s="1"/>
      <c r="V287" s="3"/>
      <c r="W287" s="3"/>
      <c r="X287" s="3"/>
      <c r="Y287" s="3"/>
      <c r="Z287" s="3"/>
    </row>
    <row r="288">
      <c r="A288" s="83">
        <v>2.0</v>
      </c>
      <c r="B288" s="84" t="s">
        <v>33</v>
      </c>
      <c r="C288" s="85" t="s">
        <v>22</v>
      </c>
      <c r="D288" s="22">
        <v>1200.0</v>
      </c>
      <c r="E288" s="15">
        <f t="shared" si="55"/>
        <v>2400</v>
      </c>
      <c r="F288" s="16"/>
      <c r="G288" s="25"/>
      <c r="H288" s="37"/>
      <c r="I288" s="87">
        <v>800.0</v>
      </c>
      <c r="J288" s="16">
        <f t="shared" si="56"/>
        <v>1600</v>
      </c>
      <c r="K288" s="16">
        <f t="shared" si="57"/>
        <v>800</v>
      </c>
      <c r="L288" s="36">
        <f t="shared" si="58"/>
        <v>0.3333333333</v>
      </c>
      <c r="M288" s="2"/>
      <c r="N288" s="3"/>
      <c r="O288" s="2"/>
      <c r="P288" s="3"/>
      <c r="Q288" s="3"/>
      <c r="R288" s="2"/>
      <c r="S288" s="3"/>
      <c r="T288" s="3"/>
      <c r="U288" s="1"/>
      <c r="V288" s="3"/>
      <c r="W288" s="3"/>
      <c r="X288" s="3"/>
      <c r="Y288" s="3"/>
      <c r="Z288" s="3"/>
    </row>
    <row r="289" ht="15.75" customHeight="1">
      <c r="A289" s="13"/>
      <c r="B289" s="12"/>
      <c r="C289" s="14"/>
      <c r="D289" s="15"/>
      <c r="E289" s="16"/>
      <c r="F289" s="16"/>
      <c r="H289" s="25"/>
      <c r="I289" s="16"/>
      <c r="J289" s="16"/>
      <c r="K289" s="16"/>
      <c r="L289" s="36"/>
      <c r="N289" s="3"/>
      <c r="O289" s="2"/>
      <c r="P289" s="3"/>
      <c r="Q289" s="3"/>
      <c r="R289" s="2"/>
      <c r="S289" s="3"/>
      <c r="T289" s="3"/>
      <c r="U289" s="1"/>
      <c r="V289" s="3"/>
      <c r="W289" s="3"/>
      <c r="X289" s="3"/>
      <c r="Y289" s="3"/>
      <c r="Z289" s="3"/>
    </row>
    <row r="290" ht="15.75" customHeight="1">
      <c r="A290" s="13"/>
      <c r="B290" s="12"/>
      <c r="C290" s="14"/>
      <c r="D290" s="15"/>
      <c r="E290" s="16">
        <f>SUM(E272:E289)</f>
        <v>316800</v>
      </c>
      <c r="F290" s="16"/>
      <c r="G290" s="25"/>
      <c r="H290" s="25"/>
      <c r="I290" s="16"/>
      <c r="J290" s="16"/>
      <c r="K290" s="16">
        <f>SUM(K272:K288)</f>
        <v>63470.63492</v>
      </c>
      <c r="L290" s="110">
        <f>K290/E290</f>
        <v>0.2003492264</v>
      </c>
      <c r="M290" s="2"/>
      <c r="N290" s="3"/>
      <c r="O290" s="2"/>
      <c r="P290" s="3"/>
      <c r="Q290" s="3"/>
      <c r="R290" s="2"/>
      <c r="S290" s="3"/>
      <c r="T290" s="3"/>
      <c r="U290" s="1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89" t="s">
        <v>115</v>
      </c>
      <c r="B293" s="24"/>
      <c r="C293" s="24"/>
      <c r="D293" s="81" t="s">
        <v>372</v>
      </c>
      <c r="E293" s="82">
        <v>46076.0</v>
      </c>
      <c r="F293" s="33" t="s">
        <v>13</v>
      </c>
      <c r="G293" s="25"/>
      <c r="H293" s="25"/>
      <c r="I293" s="16"/>
      <c r="J293" s="16"/>
      <c r="K293" s="16"/>
      <c r="L293" s="36"/>
      <c r="M293" s="2"/>
      <c r="N293" s="3"/>
      <c r="O293" s="2"/>
      <c r="P293" s="3"/>
      <c r="Q293" s="3"/>
      <c r="R293" s="2"/>
      <c r="S293" s="3"/>
      <c r="T293" s="3"/>
      <c r="U293" s="1"/>
      <c r="V293" s="3"/>
      <c r="W293" s="3"/>
      <c r="X293" s="3"/>
      <c r="Y293" s="3"/>
      <c r="Z293" s="3"/>
    </row>
    <row r="294" ht="15.75" customHeight="1">
      <c r="B294" s="25"/>
      <c r="C294" s="35"/>
      <c r="D294" s="25"/>
      <c r="E294" s="25"/>
      <c r="F294" s="25"/>
      <c r="G294" s="25"/>
      <c r="H294" s="25"/>
      <c r="I294" s="16"/>
      <c r="J294" s="16"/>
      <c r="K294" s="16"/>
      <c r="L294" s="36"/>
      <c r="M294" s="2"/>
      <c r="N294" s="3"/>
      <c r="O294" s="2"/>
      <c r="P294" s="3"/>
      <c r="Q294" s="3"/>
      <c r="R294" s="2"/>
      <c r="S294" s="3"/>
      <c r="T294" s="3"/>
      <c r="U294" s="1"/>
      <c r="V294" s="3"/>
      <c r="W294" s="3"/>
      <c r="X294" s="3"/>
      <c r="Y294" s="3"/>
      <c r="Z294" s="3"/>
    </row>
    <row r="295" ht="15.75" customHeight="1">
      <c r="A295" s="5" t="s">
        <v>4</v>
      </c>
      <c r="B295" s="10" t="s">
        <v>5</v>
      </c>
      <c r="C295" s="11" t="s">
        <v>6</v>
      </c>
      <c r="D295" s="12" t="s">
        <v>7</v>
      </c>
      <c r="E295" s="10" t="s">
        <v>8</v>
      </c>
      <c r="F295" s="12"/>
      <c r="G295" s="25"/>
      <c r="H295" s="25"/>
      <c r="I295" s="12" t="s">
        <v>7</v>
      </c>
      <c r="J295" s="12" t="s">
        <v>8</v>
      </c>
      <c r="K295" s="12" t="s">
        <v>10</v>
      </c>
      <c r="L295" s="36"/>
      <c r="M295" s="2"/>
      <c r="N295" s="3"/>
      <c r="O295" s="2"/>
      <c r="P295" s="3"/>
      <c r="Q295" s="3"/>
      <c r="R295" s="2"/>
      <c r="S295" s="3"/>
      <c r="T295" s="3"/>
      <c r="U295" s="1"/>
      <c r="V295" s="3"/>
      <c r="W295" s="3"/>
      <c r="X295" s="3"/>
      <c r="Y295" s="3"/>
      <c r="Z295" s="3"/>
    </row>
    <row r="296" ht="15.75" customHeight="1">
      <c r="A296" s="83">
        <v>2.0</v>
      </c>
      <c r="B296" s="84" t="s">
        <v>38</v>
      </c>
      <c r="C296" s="85" t="s">
        <v>305</v>
      </c>
      <c r="D296" s="22">
        <v>22000.0</v>
      </c>
      <c r="E296" s="15">
        <f t="shared" ref="E296:E310" si="59">A296*D296</f>
        <v>44000</v>
      </c>
      <c r="F296" s="16"/>
      <c r="G296" s="25"/>
      <c r="H296" s="37"/>
      <c r="I296" s="87">
        <v>18000.0</v>
      </c>
      <c r="J296" s="16">
        <f t="shared" ref="J296:J310" si="60">I296*A296</f>
        <v>36000</v>
      </c>
      <c r="K296" s="16">
        <f t="shared" ref="K296:K310" si="61">E296-J296</f>
        <v>8000</v>
      </c>
      <c r="L296" s="36">
        <f t="shared" ref="L296:L310" si="62">K296/E296</f>
        <v>0.1818181818</v>
      </c>
      <c r="M296" s="2"/>
      <c r="N296" s="3"/>
      <c r="O296" s="2"/>
      <c r="P296" s="3"/>
      <c r="Q296" s="3"/>
      <c r="R296" s="2"/>
      <c r="S296" s="3"/>
      <c r="T296" s="3"/>
      <c r="U296" s="1"/>
      <c r="V296" s="3"/>
      <c r="W296" s="3"/>
      <c r="X296" s="3"/>
      <c r="Y296" s="3"/>
      <c r="Z296" s="3"/>
    </row>
    <row r="297" ht="15.75" customHeight="1">
      <c r="A297" s="83">
        <v>3.0</v>
      </c>
      <c r="B297" s="84" t="s">
        <v>33</v>
      </c>
      <c r="C297" s="85" t="s">
        <v>24</v>
      </c>
      <c r="D297" s="22">
        <v>4000.0</v>
      </c>
      <c r="E297" s="15">
        <f t="shared" si="59"/>
        <v>12000</v>
      </c>
      <c r="F297" s="16"/>
      <c r="G297" s="25"/>
      <c r="H297" s="37"/>
      <c r="I297" s="87">
        <f>20000/7</f>
        <v>2857.142857</v>
      </c>
      <c r="J297" s="16">
        <f t="shared" si="60"/>
        <v>8571.428571</v>
      </c>
      <c r="K297" s="16">
        <f t="shared" si="61"/>
        <v>3428.571429</v>
      </c>
      <c r="L297" s="111">
        <f t="shared" si="62"/>
        <v>0.2857142857</v>
      </c>
      <c r="M297" s="2"/>
      <c r="N297" s="3"/>
      <c r="O297" s="2"/>
      <c r="P297" s="3"/>
      <c r="Q297" s="3"/>
      <c r="R297" s="2"/>
      <c r="S297" s="3"/>
      <c r="T297" s="3"/>
      <c r="U297" s="1"/>
      <c r="V297" s="3"/>
      <c r="W297" s="3"/>
      <c r="X297" s="3"/>
      <c r="Y297" s="3"/>
      <c r="Z297" s="3"/>
    </row>
    <row r="298" ht="15.75" customHeight="1">
      <c r="A298" s="83">
        <v>2.0</v>
      </c>
      <c r="B298" s="84" t="s">
        <v>33</v>
      </c>
      <c r="C298" s="85" t="s">
        <v>25</v>
      </c>
      <c r="D298" s="22">
        <v>3100.0</v>
      </c>
      <c r="E298" s="15">
        <f t="shared" si="59"/>
        <v>6200</v>
      </c>
      <c r="F298" s="16"/>
      <c r="G298" s="25"/>
      <c r="H298" s="37"/>
      <c r="I298" s="87">
        <f>12000/7</f>
        <v>1714.285714</v>
      </c>
      <c r="J298" s="16">
        <f t="shared" si="60"/>
        <v>3428.571429</v>
      </c>
      <c r="K298" s="16">
        <f t="shared" si="61"/>
        <v>2771.428571</v>
      </c>
      <c r="L298" s="36">
        <f t="shared" si="62"/>
        <v>0.4470046083</v>
      </c>
      <c r="M298" s="2"/>
      <c r="N298" s="3"/>
      <c r="O298" s="2"/>
      <c r="P298" s="3"/>
      <c r="Q298" s="3"/>
      <c r="R298" s="2"/>
      <c r="S298" s="3"/>
      <c r="T298" s="3"/>
      <c r="U298" s="1"/>
      <c r="V298" s="3"/>
      <c r="W298" s="3"/>
      <c r="X298" s="3"/>
      <c r="Y298" s="3"/>
      <c r="Z298" s="3"/>
    </row>
    <row r="299" ht="15.75" customHeight="1">
      <c r="A299" s="83">
        <v>1.0</v>
      </c>
      <c r="B299" s="84" t="s">
        <v>33</v>
      </c>
      <c r="C299" s="85" t="s">
        <v>26</v>
      </c>
      <c r="D299" s="22">
        <v>4000.0</v>
      </c>
      <c r="E299" s="15">
        <f t="shared" si="59"/>
        <v>4000</v>
      </c>
      <c r="F299" s="16"/>
      <c r="G299" s="25"/>
      <c r="H299" s="37"/>
      <c r="I299" s="87">
        <f>22000/7</f>
        <v>3142.857143</v>
      </c>
      <c r="J299" s="16">
        <f t="shared" si="60"/>
        <v>3142.857143</v>
      </c>
      <c r="K299" s="16">
        <f t="shared" si="61"/>
        <v>857.1428571</v>
      </c>
      <c r="L299" s="36">
        <f t="shared" si="62"/>
        <v>0.2142857143</v>
      </c>
      <c r="M299" s="2"/>
      <c r="N299" s="3"/>
      <c r="O299" s="2"/>
      <c r="P299" s="3"/>
      <c r="Q299" s="3"/>
      <c r="R299" s="2"/>
      <c r="S299" s="3"/>
      <c r="T299" s="3"/>
      <c r="U299" s="1"/>
      <c r="V299" s="3"/>
      <c r="W299" s="3"/>
      <c r="X299" s="3"/>
      <c r="Y299" s="3"/>
      <c r="Z299" s="3"/>
    </row>
    <row r="300" ht="15.75" customHeight="1">
      <c r="A300" s="83">
        <v>6.0</v>
      </c>
      <c r="B300" s="84" t="s">
        <v>33</v>
      </c>
      <c r="C300" s="85" t="s">
        <v>64</v>
      </c>
      <c r="D300" s="22">
        <v>2300.0</v>
      </c>
      <c r="E300" s="15">
        <f t="shared" si="59"/>
        <v>13800</v>
      </c>
      <c r="F300" s="16"/>
      <c r="G300" s="25"/>
      <c r="H300" s="37"/>
      <c r="I300" s="87">
        <f>20000/15</f>
        <v>1333.333333</v>
      </c>
      <c r="J300" s="16">
        <f t="shared" si="60"/>
        <v>8000</v>
      </c>
      <c r="K300" s="16">
        <f t="shared" si="61"/>
        <v>5800</v>
      </c>
      <c r="L300" s="36">
        <f t="shared" si="62"/>
        <v>0.4202898551</v>
      </c>
      <c r="M300" s="2"/>
      <c r="N300" s="3"/>
      <c r="O300" s="2"/>
      <c r="P300" s="3"/>
      <c r="Q300" s="3"/>
      <c r="R300" s="2"/>
      <c r="S300" s="3"/>
      <c r="T300" s="3"/>
      <c r="U300" s="1"/>
      <c r="V300" s="3"/>
      <c r="W300" s="3"/>
      <c r="X300" s="3"/>
      <c r="Y300" s="3"/>
      <c r="Z300" s="3"/>
    </row>
    <row r="301" ht="15.75" customHeight="1">
      <c r="A301" s="83">
        <v>1.0</v>
      </c>
      <c r="B301" s="84" t="s">
        <v>18</v>
      </c>
      <c r="C301" s="85" t="s">
        <v>65</v>
      </c>
      <c r="D301" s="22">
        <v>9000.0</v>
      </c>
      <c r="E301" s="15">
        <f t="shared" si="59"/>
        <v>9000</v>
      </c>
      <c r="F301" s="16"/>
      <c r="G301" s="25"/>
      <c r="H301" s="37"/>
      <c r="I301" s="22">
        <v>4000.0</v>
      </c>
      <c r="J301" s="16">
        <f t="shared" si="60"/>
        <v>4000</v>
      </c>
      <c r="K301" s="16">
        <f t="shared" si="61"/>
        <v>5000</v>
      </c>
      <c r="L301" s="36">
        <f t="shared" si="62"/>
        <v>0.5555555556</v>
      </c>
      <c r="M301" s="2"/>
      <c r="N301" s="3"/>
      <c r="O301" s="2"/>
      <c r="P301" s="3"/>
      <c r="Q301" s="3"/>
      <c r="R301" s="2"/>
      <c r="S301" s="3"/>
      <c r="T301" s="3"/>
      <c r="U301" s="1"/>
      <c r="V301" s="3"/>
      <c r="W301" s="3"/>
      <c r="X301" s="3"/>
      <c r="Y301" s="3"/>
      <c r="Z301" s="3"/>
    </row>
    <row r="302" ht="15.75" customHeight="1">
      <c r="A302" s="83">
        <v>1.0</v>
      </c>
      <c r="B302" s="84" t="s">
        <v>18</v>
      </c>
      <c r="C302" s="85" t="s">
        <v>103</v>
      </c>
      <c r="D302" s="22">
        <v>16000.0</v>
      </c>
      <c r="E302" s="15">
        <f t="shared" si="59"/>
        <v>16000</v>
      </c>
      <c r="F302" s="16"/>
      <c r="G302" s="25"/>
      <c r="H302" s="37"/>
      <c r="I302" s="87">
        <v>12000.0</v>
      </c>
      <c r="J302" s="16">
        <f t="shared" si="60"/>
        <v>12000</v>
      </c>
      <c r="K302" s="16">
        <f t="shared" si="61"/>
        <v>4000</v>
      </c>
      <c r="L302" s="36">
        <f t="shared" si="62"/>
        <v>0.25</v>
      </c>
      <c r="M302" s="2"/>
      <c r="N302" s="3"/>
      <c r="O302" s="2"/>
      <c r="P302" s="3"/>
      <c r="Q302" s="3"/>
      <c r="R302" s="2"/>
      <c r="S302" s="3"/>
      <c r="T302" s="3"/>
      <c r="U302" s="1"/>
      <c r="V302" s="3"/>
      <c r="W302" s="3"/>
      <c r="X302" s="3"/>
      <c r="Y302" s="3"/>
      <c r="Z302" s="3"/>
    </row>
    <row r="303" ht="15.75" customHeight="1">
      <c r="A303" s="83">
        <v>2.0</v>
      </c>
      <c r="B303" s="84" t="s">
        <v>5</v>
      </c>
      <c r="C303" s="85" t="s">
        <v>118</v>
      </c>
      <c r="D303" s="22">
        <v>2500.0</v>
      </c>
      <c r="E303" s="15">
        <f t="shared" si="59"/>
        <v>5000</v>
      </c>
      <c r="F303" s="16"/>
      <c r="G303" s="25"/>
      <c r="H303" s="98"/>
      <c r="I303" s="87">
        <v>2000.0</v>
      </c>
      <c r="J303" s="16">
        <f t="shared" si="60"/>
        <v>4000</v>
      </c>
      <c r="K303" s="16">
        <f t="shared" si="61"/>
        <v>1000</v>
      </c>
      <c r="L303" s="36">
        <f t="shared" si="62"/>
        <v>0.2</v>
      </c>
      <c r="M303" s="2"/>
      <c r="N303" s="3"/>
      <c r="O303" s="2"/>
      <c r="P303" s="3"/>
      <c r="Q303" s="3"/>
      <c r="R303" s="2"/>
      <c r="S303" s="3"/>
      <c r="T303" s="3"/>
      <c r="U303" s="1"/>
      <c r="V303" s="3"/>
      <c r="W303" s="3"/>
      <c r="X303" s="3"/>
      <c r="Y303" s="3"/>
      <c r="Z303" s="3"/>
    </row>
    <row r="304">
      <c r="A304" s="83">
        <v>1.0</v>
      </c>
      <c r="B304" s="84" t="s">
        <v>50</v>
      </c>
      <c r="C304" s="85" t="s">
        <v>235</v>
      </c>
      <c r="D304" s="22">
        <v>3000.0</v>
      </c>
      <c r="E304" s="15">
        <f t="shared" si="59"/>
        <v>3000</v>
      </c>
      <c r="F304" s="16"/>
      <c r="G304" s="25"/>
      <c r="H304" s="37"/>
      <c r="I304" s="87">
        <v>2000.0</v>
      </c>
      <c r="J304" s="16">
        <f t="shared" si="60"/>
        <v>2000</v>
      </c>
      <c r="K304" s="16">
        <f t="shared" si="61"/>
        <v>1000</v>
      </c>
      <c r="L304" s="36">
        <f t="shared" si="62"/>
        <v>0.3333333333</v>
      </c>
      <c r="M304" s="2"/>
      <c r="N304" s="3"/>
      <c r="O304" s="2"/>
      <c r="P304" s="3"/>
      <c r="Q304" s="3"/>
      <c r="R304" s="2"/>
      <c r="S304" s="3"/>
      <c r="T304" s="3"/>
      <c r="U304" s="1"/>
      <c r="V304" s="3"/>
      <c r="W304" s="3"/>
      <c r="X304" s="3"/>
      <c r="Y304" s="3"/>
      <c r="Z304" s="3"/>
    </row>
    <row r="305">
      <c r="A305" s="83">
        <v>12.0</v>
      </c>
      <c r="B305" s="84" t="s">
        <v>5</v>
      </c>
      <c r="C305" s="85" t="s">
        <v>87</v>
      </c>
      <c r="D305" s="22">
        <v>1300.0</v>
      </c>
      <c r="E305" s="15">
        <f t="shared" si="59"/>
        <v>15600</v>
      </c>
      <c r="F305" s="16"/>
      <c r="G305" s="25"/>
      <c r="H305" s="37"/>
      <c r="I305" s="87">
        <f>62000/80</f>
        <v>775</v>
      </c>
      <c r="J305" s="16">
        <f t="shared" si="60"/>
        <v>9300</v>
      </c>
      <c r="K305" s="16">
        <f t="shared" si="61"/>
        <v>6300</v>
      </c>
      <c r="L305" s="36">
        <f t="shared" si="62"/>
        <v>0.4038461538</v>
      </c>
      <c r="M305" s="2"/>
      <c r="N305" s="3"/>
      <c r="O305" s="2"/>
      <c r="P305" s="3"/>
      <c r="Q305" s="3"/>
      <c r="R305" s="2"/>
      <c r="S305" s="3"/>
      <c r="T305" s="3"/>
      <c r="U305" s="1"/>
      <c r="V305" s="3"/>
      <c r="W305" s="3"/>
      <c r="X305" s="3"/>
      <c r="Y305" s="3"/>
      <c r="Z305" s="3"/>
    </row>
    <row r="306" ht="15.75" customHeight="1">
      <c r="A306" s="83">
        <v>1.0</v>
      </c>
      <c r="B306" s="84" t="s">
        <v>50</v>
      </c>
      <c r="C306" s="85" t="s">
        <v>271</v>
      </c>
      <c r="D306" s="22">
        <v>3000.0</v>
      </c>
      <c r="E306" s="15">
        <f t="shared" si="59"/>
        <v>3000</v>
      </c>
      <c r="F306" s="16"/>
      <c r="G306" s="25"/>
      <c r="H306" s="37"/>
      <c r="I306" s="87">
        <v>2000.0</v>
      </c>
      <c r="J306" s="16">
        <f t="shared" si="60"/>
        <v>2000</v>
      </c>
      <c r="K306" s="16">
        <f t="shared" si="61"/>
        <v>1000</v>
      </c>
      <c r="L306" s="36">
        <f t="shared" si="62"/>
        <v>0.3333333333</v>
      </c>
      <c r="M306" s="2"/>
      <c r="N306" s="3"/>
      <c r="O306" s="2"/>
      <c r="P306" s="3"/>
      <c r="Q306" s="3"/>
      <c r="R306" s="2"/>
      <c r="S306" s="3"/>
      <c r="T306" s="3"/>
      <c r="U306" s="1"/>
      <c r="V306" s="3"/>
      <c r="W306" s="3"/>
      <c r="X306" s="3"/>
      <c r="Y306" s="3"/>
      <c r="Z306" s="3"/>
    </row>
    <row r="307" ht="15.75" customHeight="1">
      <c r="A307" s="83">
        <v>2.0</v>
      </c>
      <c r="B307" s="84" t="s">
        <v>5</v>
      </c>
      <c r="C307" s="85" t="s">
        <v>259</v>
      </c>
      <c r="D307" s="22">
        <v>5500.0</v>
      </c>
      <c r="E307" s="15">
        <f t="shared" si="59"/>
        <v>11000</v>
      </c>
      <c r="F307" s="16"/>
      <c r="G307" s="25"/>
      <c r="H307" s="37"/>
      <c r="I307" s="87">
        <v>4000.0</v>
      </c>
      <c r="J307" s="16">
        <f t="shared" si="60"/>
        <v>8000</v>
      </c>
      <c r="K307" s="16">
        <f t="shared" si="61"/>
        <v>3000</v>
      </c>
      <c r="L307" s="36">
        <f t="shared" si="62"/>
        <v>0.2727272727</v>
      </c>
      <c r="M307" s="2"/>
      <c r="N307" s="3"/>
      <c r="O307" s="2"/>
      <c r="P307" s="3"/>
      <c r="Q307" s="3"/>
      <c r="R307" s="2"/>
      <c r="S307" s="3"/>
      <c r="T307" s="3"/>
      <c r="U307" s="1"/>
      <c r="V307" s="3"/>
      <c r="W307" s="3"/>
      <c r="X307" s="3"/>
      <c r="Y307" s="3"/>
      <c r="Z307" s="3"/>
    </row>
    <row r="308" ht="15.75" customHeight="1">
      <c r="A308" s="83">
        <v>0.5</v>
      </c>
      <c r="B308" s="84" t="s">
        <v>18</v>
      </c>
      <c r="C308" s="85" t="s">
        <v>119</v>
      </c>
      <c r="D308" s="22">
        <v>52000.0</v>
      </c>
      <c r="E308" s="15">
        <f t="shared" si="59"/>
        <v>26000</v>
      </c>
      <c r="F308" s="16"/>
      <c r="H308" s="25"/>
      <c r="I308" s="87">
        <v>40000.0</v>
      </c>
      <c r="J308" s="16">
        <f t="shared" si="60"/>
        <v>20000</v>
      </c>
      <c r="K308" s="16">
        <f t="shared" si="61"/>
        <v>6000</v>
      </c>
      <c r="L308" s="36">
        <f t="shared" si="62"/>
        <v>0.2307692308</v>
      </c>
      <c r="N308" s="3"/>
      <c r="O308" s="2"/>
      <c r="P308" s="3"/>
      <c r="Q308" s="3"/>
      <c r="R308" s="2"/>
      <c r="S308" s="3"/>
      <c r="T308" s="3"/>
      <c r="U308" s="1"/>
      <c r="V308" s="3"/>
      <c r="W308" s="3"/>
      <c r="X308" s="3"/>
      <c r="Y308" s="3"/>
      <c r="Z308" s="3"/>
    </row>
    <row r="309" ht="15.75" customHeight="1">
      <c r="A309" s="83">
        <v>0.5</v>
      </c>
      <c r="B309" s="84" t="s">
        <v>18</v>
      </c>
      <c r="C309" s="85" t="s">
        <v>32</v>
      </c>
      <c r="D309" s="22">
        <v>23000.0</v>
      </c>
      <c r="E309" s="15">
        <f t="shared" si="59"/>
        <v>11500</v>
      </c>
      <c r="F309" s="16"/>
      <c r="H309" s="25"/>
      <c r="I309" s="87">
        <v>20000.0</v>
      </c>
      <c r="J309" s="16">
        <f t="shared" si="60"/>
        <v>10000</v>
      </c>
      <c r="K309" s="16">
        <f t="shared" si="61"/>
        <v>1500</v>
      </c>
      <c r="L309" s="36">
        <f t="shared" si="62"/>
        <v>0.1304347826</v>
      </c>
      <c r="N309" s="3"/>
      <c r="O309" s="2"/>
      <c r="P309" s="3"/>
      <c r="Q309" s="3"/>
      <c r="R309" s="2"/>
      <c r="S309" s="3"/>
      <c r="T309" s="3"/>
      <c r="U309" s="1"/>
      <c r="V309" s="3"/>
      <c r="W309" s="3"/>
      <c r="X309" s="3"/>
      <c r="Y309" s="3"/>
      <c r="Z309" s="3"/>
    </row>
    <row r="310" ht="15.75" customHeight="1">
      <c r="A310" s="83">
        <v>1.0</v>
      </c>
      <c r="B310" s="84" t="s">
        <v>18</v>
      </c>
      <c r="C310" s="85" t="s">
        <v>72</v>
      </c>
      <c r="D310" s="22">
        <v>36000.0</v>
      </c>
      <c r="E310" s="15">
        <f t="shared" si="59"/>
        <v>36000</v>
      </c>
      <c r="F310" s="16"/>
      <c r="H310" s="25"/>
      <c r="I310" s="87">
        <v>27000.0</v>
      </c>
      <c r="J310" s="16">
        <f t="shared" si="60"/>
        <v>27000</v>
      </c>
      <c r="K310" s="16">
        <f t="shared" si="61"/>
        <v>9000</v>
      </c>
      <c r="L310" s="36">
        <f t="shared" si="62"/>
        <v>0.25</v>
      </c>
      <c r="N310" s="3"/>
      <c r="O310" s="2"/>
      <c r="P310" s="3"/>
      <c r="Q310" s="3"/>
      <c r="R310" s="2"/>
      <c r="S310" s="3"/>
      <c r="T310" s="3"/>
      <c r="U310" s="1"/>
      <c r="V310" s="3"/>
      <c r="W310" s="3"/>
      <c r="X310" s="3"/>
      <c r="Y310" s="3"/>
      <c r="Z310" s="3"/>
    </row>
    <row r="311" ht="15.75" customHeight="1">
      <c r="A311" s="13"/>
      <c r="B311" s="12"/>
      <c r="C311" s="14"/>
      <c r="D311" s="15"/>
      <c r="E311" s="16"/>
      <c r="F311" s="16"/>
      <c r="H311" s="25"/>
      <c r="I311" s="16"/>
      <c r="J311" s="16"/>
      <c r="K311" s="16"/>
      <c r="L311" s="36"/>
      <c r="N311" s="3"/>
      <c r="O311" s="2"/>
      <c r="P311" s="3"/>
      <c r="Q311" s="3"/>
      <c r="R311" s="2"/>
      <c r="S311" s="3"/>
      <c r="T311" s="3"/>
      <c r="U311" s="1"/>
      <c r="V311" s="3"/>
      <c r="W311" s="3"/>
      <c r="X311" s="3"/>
      <c r="Y311" s="3"/>
      <c r="Z311" s="3"/>
    </row>
    <row r="312" ht="15.75" customHeight="1">
      <c r="A312" s="13"/>
      <c r="B312" s="12"/>
      <c r="C312" s="14"/>
      <c r="D312" s="15"/>
      <c r="E312" s="16">
        <f>SUM(E296:E311)</f>
        <v>216100</v>
      </c>
      <c r="F312" s="16"/>
      <c r="G312" s="25"/>
      <c r="H312" s="25"/>
      <c r="I312" s="16"/>
      <c r="J312" s="16"/>
      <c r="K312" s="16">
        <f>SUM(K296:K310)</f>
        <v>58657.14286</v>
      </c>
      <c r="L312" s="110">
        <f>K312/E312</f>
        <v>0.2714351821</v>
      </c>
      <c r="M312" s="2"/>
      <c r="N312" s="3"/>
      <c r="O312" s="2"/>
      <c r="P312" s="3"/>
      <c r="Q312" s="3"/>
      <c r="R312" s="2"/>
      <c r="S312" s="3"/>
      <c r="T312" s="3"/>
      <c r="U312" s="1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30" t="s">
        <v>120</v>
      </c>
      <c r="B315" s="31">
        <f>E312+E290+E266+E244+E222+F208+E177+F154+E118+F91+F57+E20</f>
        <v>4248685.725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30" t="s">
        <v>121</v>
      </c>
      <c r="B317" s="108">
        <f>K312+K290+K266+K244+K222+K208+K177+K154+K118+K91+K57+K20</f>
        <v>1559823.306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39" t="s">
        <v>122</v>
      </c>
      <c r="B319" s="99">
        <f>E120+E93+E59+E22</f>
        <v>44535.4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6.25" customHeight="1">
      <c r="A321" s="30" t="s">
        <v>123</v>
      </c>
      <c r="B321" s="41">
        <f>B317/B315</f>
        <v>0.3671307804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2" t="s">
        <v>124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</sheetData>
  <mergeCells count="7">
    <mergeCell ref="I26:K26"/>
    <mergeCell ref="I62:K62"/>
    <mergeCell ref="A122:C122"/>
    <mergeCell ref="I122:K122"/>
    <mergeCell ref="A181:C181"/>
    <mergeCell ref="I181:K181"/>
    <mergeCell ref="A323:B323"/>
  </mergeCells>
  <conditionalFormatting sqref="L1:L25 L95:L157 L178:L180 L209:L210 L223:L225 L245:L247 L267:L268 L291:L292 L313:L783">
    <cfRule type="cellIs" dxfId="0" priority="1" operator="lessThan">
      <formula>"20%"</formula>
    </cfRule>
  </conditionalFormatting>
  <conditionalFormatting sqref="L1:L25 L95:L157 L178:L180 L209:L210 L223:L225 L245:L247 L267:L268 L291:L292 L313:L783">
    <cfRule type="cellIs" dxfId="1" priority="2" operator="between">
      <formula>"20.01%"</formula>
      <formula>"25%"</formula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 ht="15.75" customHeight="1">
      <c r="A2" s="5" t="s">
        <v>313</v>
      </c>
      <c r="E2" s="86" t="s">
        <v>74</v>
      </c>
      <c r="F2" s="82">
        <v>46077.0</v>
      </c>
      <c r="G2" s="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 ht="15.75" customHeight="1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 ht="15.75" customHeight="1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102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1.0</v>
      </c>
      <c r="B5" s="84" t="s">
        <v>50</v>
      </c>
      <c r="C5" s="85" t="s">
        <v>16</v>
      </c>
      <c r="D5" s="22">
        <v>1000.0</v>
      </c>
      <c r="E5" s="15">
        <f t="shared" ref="E5:E30" si="1">A5*D5</f>
        <v>1000</v>
      </c>
      <c r="F5" s="15">
        <f t="shared" ref="F5:F30" si="2">E5*1.105</f>
        <v>1105</v>
      </c>
      <c r="G5" s="101"/>
      <c r="H5" s="101"/>
      <c r="I5" s="22">
        <f>5000/12</f>
        <v>416.6666667</v>
      </c>
      <c r="J5" s="15">
        <f t="shared" ref="J5:J30" si="3">I5*A5</f>
        <v>416.6666667</v>
      </c>
      <c r="K5" s="15">
        <f t="shared" ref="K5:K30" si="4">F5-J5</f>
        <v>688.3333333</v>
      </c>
      <c r="L5" s="110">
        <f t="shared" ref="L5:L30" si="5">IFERROR(K5/E5, 0)</f>
        <v>0.6883333333</v>
      </c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4.0</v>
      </c>
      <c r="B6" s="84" t="s">
        <v>33</v>
      </c>
      <c r="C6" s="85" t="s">
        <v>55</v>
      </c>
      <c r="D6" s="22">
        <v>2800.0</v>
      </c>
      <c r="E6" s="15">
        <f t="shared" si="1"/>
        <v>11200</v>
      </c>
      <c r="F6" s="15">
        <f t="shared" si="2"/>
        <v>12376</v>
      </c>
      <c r="G6" s="101"/>
      <c r="H6" s="101"/>
      <c r="I6" s="87">
        <f>39000/18</f>
        <v>2166.666667</v>
      </c>
      <c r="J6" s="15">
        <f t="shared" si="3"/>
        <v>8666.666667</v>
      </c>
      <c r="K6" s="15">
        <f t="shared" si="4"/>
        <v>3709.333333</v>
      </c>
      <c r="L6" s="110">
        <f t="shared" si="5"/>
        <v>0.3311904762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4.0</v>
      </c>
      <c r="B7" s="84" t="s">
        <v>33</v>
      </c>
      <c r="C7" s="85" t="s">
        <v>180</v>
      </c>
      <c r="D7" s="22">
        <v>1600.0</v>
      </c>
      <c r="E7" s="15">
        <f t="shared" si="1"/>
        <v>6400</v>
      </c>
      <c r="F7" s="15">
        <f t="shared" si="2"/>
        <v>7072</v>
      </c>
      <c r="G7" s="101"/>
      <c r="H7" s="101"/>
      <c r="I7" s="22">
        <f>11000/11</f>
        <v>1000</v>
      </c>
      <c r="J7" s="15">
        <f t="shared" si="3"/>
        <v>4000</v>
      </c>
      <c r="K7" s="15">
        <f t="shared" si="4"/>
        <v>3072</v>
      </c>
      <c r="L7" s="110">
        <f t="shared" si="5"/>
        <v>0.48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1.0</v>
      </c>
      <c r="B8" s="84" t="s">
        <v>33</v>
      </c>
      <c r="C8" s="85" t="s">
        <v>23</v>
      </c>
      <c r="D8" s="22">
        <v>1400.0</v>
      </c>
      <c r="E8" s="15">
        <f t="shared" si="1"/>
        <v>1400</v>
      </c>
      <c r="F8" s="15">
        <f t="shared" si="2"/>
        <v>1547</v>
      </c>
      <c r="G8" s="101"/>
      <c r="H8" s="101"/>
      <c r="I8" s="22">
        <v>1000.0</v>
      </c>
      <c r="J8" s="15">
        <f t="shared" si="3"/>
        <v>1000</v>
      </c>
      <c r="K8" s="15">
        <f t="shared" si="4"/>
        <v>547</v>
      </c>
      <c r="L8" s="110">
        <f t="shared" si="5"/>
        <v>0.3907142857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4.0</v>
      </c>
      <c r="B9" s="84" t="s">
        <v>38</v>
      </c>
      <c r="C9" s="85" t="s">
        <v>179</v>
      </c>
      <c r="D9" s="22">
        <v>21000.0</v>
      </c>
      <c r="E9" s="15">
        <f t="shared" si="1"/>
        <v>84000</v>
      </c>
      <c r="F9" s="15">
        <f t="shared" si="2"/>
        <v>92820</v>
      </c>
      <c r="G9" s="101"/>
      <c r="H9" s="101"/>
      <c r="I9" s="22">
        <v>18000.0</v>
      </c>
      <c r="J9" s="15">
        <f t="shared" si="3"/>
        <v>72000</v>
      </c>
      <c r="K9" s="15">
        <f t="shared" si="4"/>
        <v>20820</v>
      </c>
      <c r="L9" s="110">
        <f t="shared" si="5"/>
        <v>0.2478571429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2.0</v>
      </c>
      <c r="B10" s="84" t="s">
        <v>5</v>
      </c>
      <c r="C10" s="85" t="s">
        <v>95</v>
      </c>
      <c r="D10" s="22">
        <v>2500.0</v>
      </c>
      <c r="E10" s="15">
        <f t="shared" si="1"/>
        <v>5000</v>
      </c>
      <c r="F10" s="15">
        <f t="shared" si="2"/>
        <v>5525</v>
      </c>
      <c r="G10" s="101"/>
      <c r="H10" s="101"/>
      <c r="I10" s="22">
        <f>12000/8</f>
        <v>1500</v>
      </c>
      <c r="J10" s="15">
        <f t="shared" si="3"/>
        <v>3000</v>
      </c>
      <c r="K10" s="15">
        <f t="shared" si="4"/>
        <v>2525</v>
      </c>
      <c r="L10" s="110">
        <f t="shared" si="5"/>
        <v>0.505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8.0</v>
      </c>
      <c r="B11" s="84" t="s">
        <v>33</v>
      </c>
      <c r="C11" s="85" t="s">
        <v>45</v>
      </c>
      <c r="D11" s="22">
        <v>1000.0</v>
      </c>
      <c r="E11" s="15">
        <f t="shared" si="1"/>
        <v>8000</v>
      </c>
      <c r="F11" s="15">
        <f t="shared" si="2"/>
        <v>8840</v>
      </c>
      <c r="G11" s="101"/>
      <c r="H11" s="113"/>
      <c r="I11" s="22">
        <f>8000/14</f>
        <v>571.4285714</v>
      </c>
      <c r="J11" s="15">
        <f t="shared" si="3"/>
        <v>4571.428571</v>
      </c>
      <c r="K11" s="15">
        <f t="shared" si="4"/>
        <v>4268.571429</v>
      </c>
      <c r="L11" s="110">
        <f t="shared" si="5"/>
        <v>0.5335714286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2.0</v>
      </c>
      <c r="B12" s="84" t="s">
        <v>33</v>
      </c>
      <c r="C12" s="85" t="s">
        <v>67</v>
      </c>
      <c r="D12" s="22">
        <v>800.0</v>
      </c>
      <c r="E12" s="15">
        <f t="shared" si="1"/>
        <v>1600</v>
      </c>
      <c r="F12" s="15">
        <f t="shared" si="2"/>
        <v>1768</v>
      </c>
      <c r="G12" s="101"/>
      <c r="H12" s="101"/>
      <c r="I12" s="22">
        <f>8000/16</f>
        <v>500</v>
      </c>
      <c r="J12" s="15">
        <f t="shared" si="3"/>
        <v>1000</v>
      </c>
      <c r="K12" s="15">
        <f t="shared" si="4"/>
        <v>768</v>
      </c>
      <c r="L12" s="110">
        <f t="shared" si="5"/>
        <v>0.48</v>
      </c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4.5</v>
      </c>
      <c r="B13" s="84" t="s">
        <v>33</v>
      </c>
      <c r="C13" s="85" t="s">
        <v>279</v>
      </c>
      <c r="D13" s="22">
        <v>4000.0</v>
      </c>
      <c r="E13" s="15">
        <f t="shared" si="1"/>
        <v>18000</v>
      </c>
      <c r="F13" s="15">
        <f t="shared" si="2"/>
        <v>19890</v>
      </c>
      <c r="G13" s="101"/>
      <c r="H13" s="101"/>
      <c r="I13" s="22">
        <f>25000/8</f>
        <v>3125</v>
      </c>
      <c r="J13" s="15">
        <f t="shared" si="3"/>
        <v>14062.5</v>
      </c>
      <c r="K13" s="15">
        <f t="shared" si="4"/>
        <v>5827.5</v>
      </c>
      <c r="L13" s="110">
        <f t="shared" si="5"/>
        <v>0.32375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1.0</v>
      </c>
      <c r="B14" s="84" t="s">
        <v>33</v>
      </c>
      <c r="C14" s="85" t="s">
        <v>20</v>
      </c>
      <c r="D14" s="22">
        <v>3500.0</v>
      </c>
      <c r="E14" s="15">
        <f t="shared" si="1"/>
        <v>3500</v>
      </c>
      <c r="F14" s="15">
        <f t="shared" si="2"/>
        <v>3867.5</v>
      </c>
      <c r="G14" s="101"/>
      <c r="H14" s="101"/>
      <c r="I14" s="22">
        <f>18000/8</f>
        <v>2250</v>
      </c>
      <c r="J14" s="15">
        <f t="shared" si="3"/>
        <v>2250</v>
      </c>
      <c r="K14" s="15">
        <f t="shared" si="4"/>
        <v>1617.5</v>
      </c>
      <c r="L14" s="110">
        <f t="shared" si="5"/>
        <v>0.4621428571</v>
      </c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8.0</v>
      </c>
      <c r="B15" s="84" t="s">
        <v>50</v>
      </c>
      <c r="C15" s="85" t="s">
        <v>103</v>
      </c>
      <c r="D15" s="22">
        <v>1600.0</v>
      </c>
      <c r="E15" s="15">
        <f t="shared" si="1"/>
        <v>12800</v>
      </c>
      <c r="F15" s="15">
        <f t="shared" si="2"/>
        <v>14144</v>
      </c>
      <c r="G15" s="101"/>
      <c r="H15" s="101"/>
      <c r="I15" s="22">
        <f>8000/10</f>
        <v>800</v>
      </c>
      <c r="J15" s="15">
        <f t="shared" si="3"/>
        <v>6400</v>
      </c>
      <c r="K15" s="15">
        <f t="shared" si="4"/>
        <v>7744</v>
      </c>
      <c r="L15" s="110">
        <f t="shared" si="5"/>
        <v>0.605</v>
      </c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2.0</v>
      </c>
      <c r="B16" s="84" t="s">
        <v>50</v>
      </c>
      <c r="C16" s="85" t="s">
        <v>308</v>
      </c>
      <c r="D16" s="22">
        <v>2000.0</v>
      </c>
      <c r="E16" s="15">
        <f t="shared" si="1"/>
        <v>4000</v>
      </c>
      <c r="F16" s="15">
        <f t="shared" si="2"/>
        <v>4420</v>
      </c>
      <c r="G16" s="101"/>
      <c r="H16" s="101"/>
      <c r="I16" s="22">
        <v>1000.0</v>
      </c>
      <c r="J16" s="15">
        <f t="shared" si="3"/>
        <v>2000</v>
      </c>
      <c r="K16" s="15">
        <f t="shared" si="4"/>
        <v>2420</v>
      </c>
      <c r="L16" s="110">
        <f t="shared" si="5"/>
        <v>0.605</v>
      </c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2.0</v>
      </c>
      <c r="B17" s="84" t="s">
        <v>33</v>
      </c>
      <c r="C17" s="85" t="s">
        <v>233</v>
      </c>
      <c r="D17" s="22">
        <v>2800.0</v>
      </c>
      <c r="E17" s="15">
        <f t="shared" si="1"/>
        <v>5600</v>
      </c>
      <c r="F17" s="15">
        <f t="shared" si="2"/>
        <v>6188</v>
      </c>
      <c r="G17" s="101"/>
      <c r="H17" s="101"/>
      <c r="I17" s="22">
        <f>10000/6</f>
        <v>1666.666667</v>
      </c>
      <c r="J17" s="15">
        <f t="shared" si="3"/>
        <v>3333.333333</v>
      </c>
      <c r="K17" s="15">
        <f t="shared" si="4"/>
        <v>2854.666667</v>
      </c>
      <c r="L17" s="110">
        <f t="shared" si="5"/>
        <v>0.5097619048</v>
      </c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2.0</v>
      </c>
      <c r="B18" s="84" t="s">
        <v>33</v>
      </c>
      <c r="C18" s="85" t="s">
        <v>78</v>
      </c>
      <c r="D18" s="22">
        <v>4500.0</v>
      </c>
      <c r="E18" s="15">
        <f t="shared" si="1"/>
        <v>9000</v>
      </c>
      <c r="F18" s="15">
        <f t="shared" si="2"/>
        <v>9945</v>
      </c>
      <c r="G18" s="101"/>
      <c r="H18" s="101"/>
      <c r="I18" s="87">
        <f>60000/17</f>
        <v>3529.411765</v>
      </c>
      <c r="J18" s="15">
        <f t="shared" si="3"/>
        <v>7058.823529</v>
      </c>
      <c r="K18" s="15">
        <f t="shared" si="4"/>
        <v>2886.176471</v>
      </c>
      <c r="L18" s="110">
        <f t="shared" si="5"/>
        <v>0.3206862745</v>
      </c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2.0</v>
      </c>
      <c r="B19" s="84" t="s">
        <v>33</v>
      </c>
      <c r="C19" s="85" t="s">
        <v>232</v>
      </c>
      <c r="D19" s="22">
        <v>4000.0</v>
      </c>
      <c r="E19" s="15">
        <f t="shared" si="1"/>
        <v>8000</v>
      </c>
      <c r="F19" s="15">
        <f t="shared" si="2"/>
        <v>8840</v>
      </c>
      <c r="G19" s="101"/>
      <c r="H19" s="113"/>
      <c r="I19" s="22">
        <f>65000/17</f>
        <v>3823.529412</v>
      </c>
      <c r="J19" s="15">
        <f t="shared" si="3"/>
        <v>7647.058824</v>
      </c>
      <c r="K19" s="15">
        <f t="shared" si="4"/>
        <v>1192.941176</v>
      </c>
      <c r="L19" s="110">
        <f t="shared" si="5"/>
        <v>0.1491176471</v>
      </c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3.0</v>
      </c>
      <c r="B20" s="84" t="s">
        <v>18</v>
      </c>
      <c r="C20" s="85" t="s">
        <v>356</v>
      </c>
      <c r="D20" s="22">
        <v>24000.0</v>
      </c>
      <c r="E20" s="15">
        <f t="shared" si="1"/>
        <v>72000</v>
      </c>
      <c r="F20" s="15">
        <f t="shared" si="2"/>
        <v>79560</v>
      </c>
      <c r="G20" s="101"/>
      <c r="H20" s="101"/>
      <c r="I20" s="22">
        <v>20000.0</v>
      </c>
      <c r="J20" s="15">
        <f t="shared" si="3"/>
        <v>60000</v>
      </c>
      <c r="K20" s="15">
        <f t="shared" si="4"/>
        <v>19560</v>
      </c>
      <c r="L20" s="110">
        <f t="shared" si="5"/>
        <v>0.2716666667</v>
      </c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83">
        <v>3.0</v>
      </c>
      <c r="B21" s="84" t="s">
        <v>5</v>
      </c>
      <c r="C21" s="85" t="s">
        <v>87</v>
      </c>
      <c r="D21" s="22">
        <v>1300.0</v>
      </c>
      <c r="E21" s="15">
        <f t="shared" si="1"/>
        <v>3900</v>
      </c>
      <c r="F21" s="15">
        <f t="shared" si="2"/>
        <v>4309.5</v>
      </c>
      <c r="G21" s="101"/>
      <c r="H21" s="113"/>
      <c r="I21" s="22">
        <f>62000/80</f>
        <v>775</v>
      </c>
      <c r="J21" s="15">
        <f t="shared" si="3"/>
        <v>2325</v>
      </c>
      <c r="K21" s="15">
        <f t="shared" si="4"/>
        <v>1984.5</v>
      </c>
      <c r="L21" s="110">
        <f t="shared" si="5"/>
        <v>0.5088461538</v>
      </c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83">
        <v>5.0</v>
      </c>
      <c r="B22" s="84" t="s">
        <v>33</v>
      </c>
      <c r="C22" s="85" t="s">
        <v>119</v>
      </c>
      <c r="D22" s="22">
        <v>3800.0</v>
      </c>
      <c r="E22" s="15">
        <f t="shared" si="1"/>
        <v>19000</v>
      </c>
      <c r="F22" s="15">
        <f t="shared" si="2"/>
        <v>20995</v>
      </c>
      <c r="G22" s="101"/>
      <c r="H22" s="101"/>
      <c r="I22" s="22">
        <f>42000/14</f>
        <v>3000</v>
      </c>
      <c r="J22" s="15">
        <f t="shared" si="3"/>
        <v>15000</v>
      </c>
      <c r="K22" s="15">
        <f t="shared" si="4"/>
        <v>5995</v>
      </c>
      <c r="L22" s="110">
        <f t="shared" si="5"/>
        <v>0.3155263158</v>
      </c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>
        <v>1.0</v>
      </c>
      <c r="B23" s="84" t="s">
        <v>33</v>
      </c>
      <c r="C23" s="85" t="s">
        <v>89</v>
      </c>
      <c r="D23" s="22">
        <v>6000.0</v>
      </c>
      <c r="E23" s="15">
        <f t="shared" si="1"/>
        <v>6000</v>
      </c>
      <c r="F23" s="15">
        <f t="shared" si="2"/>
        <v>6630</v>
      </c>
      <c r="G23" s="101"/>
      <c r="H23" s="101"/>
      <c r="I23" s="22">
        <v>4000.0</v>
      </c>
      <c r="J23" s="15">
        <f t="shared" si="3"/>
        <v>4000</v>
      </c>
      <c r="K23" s="15">
        <f t="shared" si="4"/>
        <v>2630</v>
      </c>
      <c r="L23" s="110">
        <f t="shared" si="5"/>
        <v>0.4383333333</v>
      </c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83">
        <v>1.0</v>
      </c>
      <c r="B24" s="84" t="s">
        <v>50</v>
      </c>
      <c r="C24" s="85" t="s">
        <v>69</v>
      </c>
      <c r="D24" s="22">
        <v>2000.0</v>
      </c>
      <c r="E24" s="15">
        <f t="shared" si="1"/>
        <v>2000</v>
      </c>
      <c r="F24" s="15">
        <f t="shared" si="2"/>
        <v>2210</v>
      </c>
      <c r="G24" s="101"/>
      <c r="H24" s="101"/>
      <c r="I24" s="87">
        <v>2200.0</v>
      </c>
      <c r="J24" s="15">
        <f t="shared" si="3"/>
        <v>2200</v>
      </c>
      <c r="K24" s="15">
        <f t="shared" si="4"/>
        <v>10</v>
      </c>
      <c r="L24" s="110">
        <f t="shared" si="5"/>
        <v>0.005</v>
      </c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83">
        <v>2.0</v>
      </c>
      <c r="B25" s="84" t="s">
        <v>33</v>
      </c>
      <c r="C25" s="85" t="s">
        <v>99</v>
      </c>
      <c r="D25" s="22">
        <v>1800.0</v>
      </c>
      <c r="E25" s="15">
        <f t="shared" si="1"/>
        <v>3600</v>
      </c>
      <c r="F25" s="15">
        <f t="shared" si="2"/>
        <v>3978</v>
      </c>
      <c r="G25" s="101"/>
      <c r="H25" s="101"/>
      <c r="I25" s="22">
        <v>1000.0</v>
      </c>
      <c r="J25" s="15">
        <f t="shared" si="3"/>
        <v>2000</v>
      </c>
      <c r="K25" s="15">
        <f t="shared" si="4"/>
        <v>1978</v>
      </c>
      <c r="L25" s="110">
        <f t="shared" si="5"/>
        <v>0.5494444444</v>
      </c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83">
        <v>1.0</v>
      </c>
      <c r="B26" s="84" t="s">
        <v>33</v>
      </c>
      <c r="C26" s="85" t="s">
        <v>240</v>
      </c>
      <c r="D26" s="22">
        <v>1800.0</v>
      </c>
      <c r="E26" s="15">
        <f t="shared" si="1"/>
        <v>1800</v>
      </c>
      <c r="F26" s="15">
        <f t="shared" si="2"/>
        <v>1989</v>
      </c>
      <c r="G26" s="101"/>
      <c r="H26" s="101"/>
      <c r="I26" s="22">
        <v>1000.0</v>
      </c>
      <c r="J26" s="15">
        <f t="shared" si="3"/>
        <v>1000</v>
      </c>
      <c r="K26" s="15">
        <f t="shared" si="4"/>
        <v>989</v>
      </c>
      <c r="L26" s="110">
        <f t="shared" si="5"/>
        <v>0.5494444444</v>
      </c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83">
        <v>10.0</v>
      </c>
      <c r="B27" s="84" t="s">
        <v>50</v>
      </c>
      <c r="C27" s="85" t="s">
        <v>65</v>
      </c>
      <c r="D27" s="22">
        <v>500.0</v>
      </c>
      <c r="E27" s="15">
        <f t="shared" si="1"/>
        <v>5000</v>
      </c>
      <c r="F27" s="15">
        <f t="shared" si="2"/>
        <v>5525</v>
      </c>
      <c r="G27" s="101"/>
      <c r="H27" s="113" t="s">
        <v>13</v>
      </c>
      <c r="I27" s="22">
        <v>216.0</v>
      </c>
      <c r="J27" s="15">
        <f t="shared" si="3"/>
        <v>2160</v>
      </c>
      <c r="K27" s="15">
        <f t="shared" si="4"/>
        <v>3365</v>
      </c>
      <c r="L27" s="110">
        <f t="shared" si="5"/>
        <v>0.673</v>
      </c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83">
        <v>10.0</v>
      </c>
      <c r="B28" s="84" t="s">
        <v>33</v>
      </c>
      <c r="C28" s="85" t="s">
        <v>64</v>
      </c>
      <c r="D28" s="22">
        <v>2300.0</v>
      </c>
      <c r="E28" s="15">
        <f t="shared" si="1"/>
        <v>23000</v>
      </c>
      <c r="F28" s="15">
        <f t="shared" si="2"/>
        <v>25415</v>
      </c>
      <c r="G28" s="101"/>
      <c r="H28" s="113"/>
      <c r="I28" s="22">
        <f>20000/15</f>
        <v>1333.333333</v>
      </c>
      <c r="J28" s="15">
        <f t="shared" si="3"/>
        <v>13333.33333</v>
      </c>
      <c r="K28" s="15">
        <f t="shared" si="4"/>
        <v>12081.66667</v>
      </c>
      <c r="L28" s="110">
        <f t="shared" si="5"/>
        <v>0.5252898551</v>
      </c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83">
        <v>1.0</v>
      </c>
      <c r="B29" s="84" t="s">
        <v>38</v>
      </c>
      <c r="C29" s="85" t="s">
        <v>96</v>
      </c>
      <c r="D29" s="22">
        <v>13000.0</v>
      </c>
      <c r="E29" s="15">
        <f t="shared" si="1"/>
        <v>13000</v>
      </c>
      <c r="F29" s="15">
        <f t="shared" si="2"/>
        <v>14365</v>
      </c>
      <c r="G29" s="101"/>
      <c r="H29" s="113"/>
      <c r="I29" s="22">
        <v>8000.0</v>
      </c>
      <c r="J29" s="15">
        <f t="shared" si="3"/>
        <v>8000</v>
      </c>
      <c r="K29" s="15">
        <f t="shared" si="4"/>
        <v>6365</v>
      </c>
      <c r="L29" s="110">
        <f t="shared" si="5"/>
        <v>0.4896153846</v>
      </c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83">
        <v>1.0</v>
      </c>
      <c r="B30" s="84" t="s">
        <v>33</v>
      </c>
      <c r="C30" s="85" t="s">
        <v>96</v>
      </c>
      <c r="D30" s="22">
        <v>1400.0</v>
      </c>
      <c r="E30" s="15">
        <f t="shared" si="1"/>
        <v>1400</v>
      </c>
      <c r="F30" s="15">
        <f t="shared" si="2"/>
        <v>1547</v>
      </c>
      <c r="G30" s="101"/>
      <c r="H30" s="113"/>
      <c r="I30" s="22">
        <v>900.0</v>
      </c>
      <c r="J30" s="15">
        <f t="shared" si="3"/>
        <v>900</v>
      </c>
      <c r="K30" s="15">
        <f t="shared" si="4"/>
        <v>647</v>
      </c>
      <c r="L30" s="110">
        <f t="shared" si="5"/>
        <v>0.4621428571</v>
      </c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>
      <c r="A31" s="103"/>
      <c r="B31" s="101"/>
      <c r="C31" s="104"/>
      <c r="D31" s="101"/>
      <c r="E31" s="101"/>
      <c r="F31" s="101"/>
      <c r="G31" s="101"/>
      <c r="H31" s="101"/>
      <c r="I31" s="101"/>
      <c r="J31" s="101"/>
      <c r="K31" s="101"/>
      <c r="L31" s="105"/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>
      <c r="A32" s="103"/>
      <c r="B32" s="101"/>
      <c r="C32" s="104"/>
      <c r="D32" s="101"/>
      <c r="E32" s="15">
        <f t="shared" ref="E32:F32" si="6">SUM(E5:E30)</f>
        <v>330200</v>
      </c>
      <c r="F32" s="15">
        <f t="shared" si="6"/>
        <v>364871</v>
      </c>
      <c r="G32" s="101"/>
      <c r="H32" s="101"/>
      <c r="I32" s="101"/>
      <c r="J32" s="101"/>
      <c r="K32" s="15">
        <f>SUM(K5:K30)</f>
        <v>116546.1891</v>
      </c>
      <c r="L32" s="110">
        <f>IFERROR(K32/E32, 0)</f>
        <v>0.352956357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>
      <c r="A33" s="91"/>
      <c r="B33" s="92"/>
      <c r="C33" s="93"/>
      <c r="D33" s="22"/>
      <c r="E33" s="15"/>
      <c r="F33" s="15"/>
      <c r="G33" s="3"/>
      <c r="H33" s="3"/>
      <c r="I33" s="22"/>
      <c r="J33" s="15"/>
      <c r="K33" s="15"/>
      <c r="L33" s="36"/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>
      <c r="A34" s="91"/>
      <c r="B34" s="92"/>
      <c r="C34" s="93"/>
      <c r="D34" s="22"/>
      <c r="E34" s="15"/>
      <c r="F34" s="15"/>
      <c r="G34" s="3"/>
      <c r="H34" s="3"/>
      <c r="I34" s="22"/>
      <c r="J34" s="15"/>
      <c r="K34" s="15"/>
      <c r="L34" s="36"/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>
      <c r="A35" s="5" t="s">
        <v>230</v>
      </c>
      <c r="D35" s="3"/>
      <c r="E35" s="86" t="s">
        <v>285</v>
      </c>
      <c r="F35" s="82">
        <v>46077.0</v>
      </c>
      <c r="G35" s="3"/>
      <c r="H35" s="3"/>
      <c r="I35" s="8" t="s">
        <v>3</v>
      </c>
      <c r="L35" s="4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>
      <c r="A36" s="1"/>
      <c r="B36" s="3"/>
      <c r="C36" s="9"/>
      <c r="D36" s="3"/>
      <c r="E36" s="3"/>
      <c r="F36" s="3"/>
      <c r="G36" s="3"/>
      <c r="H36" s="3"/>
      <c r="I36" s="3"/>
      <c r="J36" s="3"/>
      <c r="K36" s="3"/>
      <c r="L36" s="4"/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>
      <c r="A37" s="5" t="s">
        <v>4</v>
      </c>
      <c r="B37" s="10" t="s">
        <v>5</v>
      </c>
      <c r="C37" s="11" t="s">
        <v>6</v>
      </c>
      <c r="D37" s="10" t="s">
        <v>7</v>
      </c>
      <c r="E37" s="10" t="s">
        <v>8</v>
      </c>
      <c r="F37" s="10" t="s">
        <v>9</v>
      </c>
      <c r="G37" s="3"/>
      <c r="H37" s="3"/>
      <c r="I37" s="10" t="s">
        <v>260</v>
      </c>
      <c r="J37" s="10" t="s">
        <v>8</v>
      </c>
      <c r="K37" s="10" t="s">
        <v>10</v>
      </c>
      <c r="L37" s="4"/>
      <c r="M37" s="1"/>
      <c r="N37" s="3"/>
      <c r="O37" s="2"/>
      <c r="P37" s="3"/>
      <c r="Q37" s="3"/>
      <c r="R37" s="9"/>
      <c r="S37" s="3"/>
      <c r="T37" s="3"/>
      <c r="U37" s="1"/>
      <c r="V37" s="3"/>
      <c r="W37" s="3"/>
      <c r="X37" s="3"/>
      <c r="Y37" s="3"/>
      <c r="Z37" s="3"/>
    </row>
    <row r="38" ht="15.75" customHeight="1">
      <c r="A38" s="91">
        <v>4.0</v>
      </c>
      <c r="B38" s="92" t="s">
        <v>33</v>
      </c>
      <c r="C38" s="93" t="s">
        <v>55</v>
      </c>
      <c r="D38" s="22">
        <v>2800.0</v>
      </c>
      <c r="E38" s="15">
        <f t="shared" ref="E38:E69" si="7">A38*D38</f>
        <v>11200</v>
      </c>
      <c r="F38" s="15">
        <f>E38*1.105</f>
        <v>12376</v>
      </c>
      <c r="G38" s="3"/>
      <c r="H38" s="3"/>
      <c r="I38" s="15">
        <f>39000/18</f>
        <v>2166.666667</v>
      </c>
      <c r="J38" s="15">
        <f t="shared" ref="J38:J69" si="8">I38*A38</f>
        <v>8666.666667</v>
      </c>
      <c r="K38" s="15">
        <f t="shared" ref="K38:K69" si="9">F38-J38</f>
        <v>3709.333333</v>
      </c>
      <c r="L38" s="116">
        <f t="shared" ref="L38:L69" si="10">IFERROR(K38/E38, 0)</f>
        <v>0.3311904762</v>
      </c>
      <c r="M38" s="1"/>
      <c r="N38" s="3"/>
      <c r="O38" s="2"/>
      <c r="P38" s="3"/>
      <c r="Q38" s="3"/>
      <c r="R38" s="9"/>
      <c r="S38" s="3"/>
      <c r="T38" s="3"/>
      <c r="U38" s="1"/>
      <c r="V38" s="3"/>
      <c r="W38" s="3"/>
      <c r="X38" s="3"/>
      <c r="Y38" s="3"/>
      <c r="Z38" s="3"/>
    </row>
    <row r="39" ht="15.75" customHeight="1">
      <c r="A39" s="91">
        <v>2.0</v>
      </c>
      <c r="B39" s="92" t="s">
        <v>231</v>
      </c>
      <c r="C39" s="93" t="s">
        <v>277</v>
      </c>
      <c r="D39" s="22">
        <v>4500.0</v>
      </c>
      <c r="E39" s="15">
        <f t="shared" si="7"/>
        <v>9000</v>
      </c>
      <c r="F39" s="15">
        <f>E39*1.21</f>
        <v>10890</v>
      </c>
      <c r="G39" s="3"/>
      <c r="H39" s="3"/>
      <c r="I39" s="15">
        <f>48000/12</f>
        <v>4000</v>
      </c>
      <c r="J39" s="15">
        <f t="shared" si="8"/>
        <v>8000</v>
      </c>
      <c r="K39" s="15">
        <f t="shared" si="9"/>
        <v>2890</v>
      </c>
      <c r="L39" s="116">
        <f t="shared" si="10"/>
        <v>0.3211111111</v>
      </c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 ht="15.75" customHeight="1">
      <c r="A40" s="91">
        <v>2.0</v>
      </c>
      <c r="B40" s="92" t="s">
        <v>5</v>
      </c>
      <c r="C40" s="93" t="s">
        <v>176</v>
      </c>
      <c r="D40" s="22">
        <v>900.0</v>
      </c>
      <c r="E40" s="15">
        <f t="shared" si="7"/>
        <v>1800</v>
      </c>
      <c r="F40" s="15">
        <f t="shared" ref="F40:F69" si="11">E40*1.105</f>
        <v>1989</v>
      </c>
      <c r="G40" s="3"/>
      <c r="H40" s="3"/>
      <c r="I40" s="15">
        <f>23000/50</f>
        <v>460</v>
      </c>
      <c r="J40" s="15">
        <f t="shared" si="8"/>
        <v>920</v>
      </c>
      <c r="K40" s="15">
        <f t="shared" si="9"/>
        <v>1069</v>
      </c>
      <c r="L40" s="116">
        <f t="shared" si="10"/>
        <v>0.5938888889</v>
      </c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 ht="15.75" customHeight="1">
      <c r="A41" s="91">
        <v>2.0</v>
      </c>
      <c r="B41" s="92" t="s">
        <v>50</v>
      </c>
      <c r="C41" s="93" t="s">
        <v>16</v>
      </c>
      <c r="D41" s="22">
        <v>1000.0</v>
      </c>
      <c r="E41" s="15">
        <f t="shared" si="7"/>
        <v>2000</v>
      </c>
      <c r="F41" s="15">
        <f t="shared" si="11"/>
        <v>2210</v>
      </c>
      <c r="G41" s="3"/>
      <c r="H41" s="3"/>
      <c r="I41" s="15">
        <f>5000/12</f>
        <v>416.6666667</v>
      </c>
      <c r="J41" s="15">
        <f t="shared" si="8"/>
        <v>833.3333333</v>
      </c>
      <c r="K41" s="15">
        <f t="shared" si="9"/>
        <v>1376.666667</v>
      </c>
      <c r="L41" s="116">
        <f t="shared" si="10"/>
        <v>0.6883333333</v>
      </c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 ht="15.75" customHeight="1">
      <c r="A42" s="91">
        <v>1.0</v>
      </c>
      <c r="B42" s="92" t="s">
        <v>38</v>
      </c>
      <c r="C42" s="93" t="s">
        <v>180</v>
      </c>
      <c r="D42" s="22">
        <v>16000.0</v>
      </c>
      <c r="E42" s="15">
        <f t="shared" si="7"/>
        <v>16000</v>
      </c>
      <c r="F42" s="15">
        <f t="shared" si="11"/>
        <v>17680</v>
      </c>
      <c r="G42" s="3"/>
      <c r="H42" s="3"/>
      <c r="I42" s="22">
        <v>11000.0</v>
      </c>
      <c r="J42" s="15">
        <f t="shared" si="8"/>
        <v>11000</v>
      </c>
      <c r="K42" s="15">
        <f t="shared" si="9"/>
        <v>6680</v>
      </c>
      <c r="L42" s="116">
        <f t="shared" si="10"/>
        <v>0.4175</v>
      </c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 ht="15.75" customHeight="1">
      <c r="A43" s="91">
        <v>3.0</v>
      </c>
      <c r="B43" s="92" t="s">
        <v>33</v>
      </c>
      <c r="C43" s="93" t="s">
        <v>180</v>
      </c>
      <c r="D43" s="22">
        <v>1600.0</v>
      </c>
      <c r="E43" s="15">
        <f t="shared" si="7"/>
        <v>4800</v>
      </c>
      <c r="F43" s="15">
        <f t="shared" si="11"/>
        <v>5304</v>
      </c>
      <c r="G43" s="3"/>
      <c r="H43" s="3"/>
      <c r="I43" s="22">
        <v>1000.0</v>
      </c>
      <c r="J43" s="15">
        <f t="shared" si="8"/>
        <v>3000</v>
      </c>
      <c r="K43" s="15">
        <f t="shared" si="9"/>
        <v>2304</v>
      </c>
      <c r="L43" s="116">
        <f t="shared" si="10"/>
        <v>0.48</v>
      </c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 ht="15.75" customHeight="1">
      <c r="A44" s="91">
        <v>1.0</v>
      </c>
      <c r="B44" s="92" t="s">
        <v>33</v>
      </c>
      <c r="C44" s="93" t="s">
        <v>95</v>
      </c>
      <c r="D44" s="22">
        <v>2500.0</v>
      </c>
      <c r="E44" s="15">
        <f t="shared" si="7"/>
        <v>2500</v>
      </c>
      <c r="F44" s="15">
        <f t="shared" si="11"/>
        <v>2762.5</v>
      </c>
      <c r="G44" s="3"/>
      <c r="H44" s="3"/>
      <c r="I44" s="22">
        <f>12000/8</f>
        <v>1500</v>
      </c>
      <c r="J44" s="15">
        <f t="shared" si="8"/>
        <v>1500</v>
      </c>
      <c r="K44" s="15">
        <f t="shared" si="9"/>
        <v>1262.5</v>
      </c>
      <c r="L44" s="116">
        <f t="shared" si="10"/>
        <v>0.505</v>
      </c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 ht="15.75" customHeight="1">
      <c r="A45" s="91">
        <v>1.0</v>
      </c>
      <c r="B45" s="92" t="s">
        <v>38</v>
      </c>
      <c r="C45" s="93" t="s">
        <v>45</v>
      </c>
      <c r="D45" s="22">
        <v>13000.0</v>
      </c>
      <c r="E45" s="15">
        <f t="shared" si="7"/>
        <v>13000</v>
      </c>
      <c r="F45" s="15">
        <f t="shared" si="11"/>
        <v>14365</v>
      </c>
      <c r="G45" s="3"/>
      <c r="H45" s="3"/>
      <c r="I45" s="22">
        <v>8000.0</v>
      </c>
      <c r="J45" s="15">
        <f t="shared" si="8"/>
        <v>8000</v>
      </c>
      <c r="K45" s="15">
        <f t="shared" si="9"/>
        <v>6365</v>
      </c>
      <c r="L45" s="116">
        <f t="shared" si="10"/>
        <v>0.4896153846</v>
      </c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 ht="15.75" customHeight="1">
      <c r="A46" s="91">
        <v>5.5</v>
      </c>
      <c r="B46" s="92" t="s">
        <v>33</v>
      </c>
      <c r="C46" s="93" t="s">
        <v>174</v>
      </c>
      <c r="D46" s="22">
        <v>1600.0</v>
      </c>
      <c r="E46" s="15">
        <f t="shared" si="7"/>
        <v>8800</v>
      </c>
      <c r="F46" s="15">
        <f t="shared" si="11"/>
        <v>9724</v>
      </c>
      <c r="G46" s="3"/>
      <c r="H46" s="3"/>
      <c r="I46" s="15">
        <f>18000/17</f>
        <v>1058.823529</v>
      </c>
      <c r="J46" s="15">
        <f t="shared" si="8"/>
        <v>5823.529412</v>
      </c>
      <c r="K46" s="15">
        <f t="shared" si="9"/>
        <v>3900.470588</v>
      </c>
      <c r="L46" s="116">
        <f t="shared" si="10"/>
        <v>0.4432352941</v>
      </c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 ht="15.75" customHeight="1">
      <c r="A47" s="91">
        <v>1.0</v>
      </c>
      <c r="B47" s="92" t="s">
        <v>33</v>
      </c>
      <c r="C47" s="93" t="s">
        <v>67</v>
      </c>
      <c r="D47" s="22">
        <v>800.0</v>
      </c>
      <c r="E47" s="15">
        <f t="shared" si="7"/>
        <v>800</v>
      </c>
      <c r="F47" s="15">
        <f t="shared" si="11"/>
        <v>884</v>
      </c>
      <c r="G47" s="3"/>
      <c r="H47" s="3"/>
      <c r="I47" s="22">
        <f>8000/17</f>
        <v>470.5882353</v>
      </c>
      <c r="J47" s="15">
        <f t="shared" si="8"/>
        <v>470.5882353</v>
      </c>
      <c r="K47" s="15">
        <f t="shared" si="9"/>
        <v>413.4117647</v>
      </c>
      <c r="L47" s="116">
        <f t="shared" si="10"/>
        <v>0.5167647059</v>
      </c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 ht="15.75" customHeight="1">
      <c r="A48" s="91">
        <v>3.0</v>
      </c>
      <c r="B48" s="92" t="s">
        <v>33</v>
      </c>
      <c r="C48" s="93" t="s">
        <v>279</v>
      </c>
      <c r="D48" s="22">
        <v>4000.0</v>
      </c>
      <c r="E48" s="15">
        <f t="shared" si="7"/>
        <v>12000</v>
      </c>
      <c r="F48" s="15">
        <f t="shared" si="11"/>
        <v>13260</v>
      </c>
      <c r="G48" s="3"/>
      <c r="H48" s="3"/>
      <c r="I48" s="15">
        <f>25000/8</f>
        <v>3125</v>
      </c>
      <c r="J48" s="15">
        <f t="shared" si="8"/>
        <v>9375</v>
      </c>
      <c r="K48" s="15">
        <f t="shared" si="9"/>
        <v>3885</v>
      </c>
      <c r="L48" s="116">
        <f t="shared" si="10"/>
        <v>0.32375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 ht="15.75" customHeight="1">
      <c r="A49" s="91">
        <v>7.0</v>
      </c>
      <c r="B49" s="92" t="s">
        <v>50</v>
      </c>
      <c r="C49" s="93" t="s">
        <v>103</v>
      </c>
      <c r="D49" s="22">
        <v>1600.0</v>
      </c>
      <c r="E49" s="15">
        <f t="shared" si="7"/>
        <v>11200</v>
      </c>
      <c r="F49" s="15">
        <f t="shared" si="11"/>
        <v>12376</v>
      </c>
      <c r="G49" s="3"/>
      <c r="H49" s="3"/>
      <c r="I49" s="22">
        <f>8000/10</f>
        <v>800</v>
      </c>
      <c r="J49" s="15">
        <f t="shared" si="8"/>
        <v>5600</v>
      </c>
      <c r="K49" s="15">
        <f t="shared" si="9"/>
        <v>6776</v>
      </c>
      <c r="L49" s="116">
        <f t="shared" si="10"/>
        <v>0.605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 ht="15.75" customHeight="1">
      <c r="A50" s="91">
        <v>0.5</v>
      </c>
      <c r="B50" s="92" t="s">
        <v>18</v>
      </c>
      <c r="C50" s="93" t="s">
        <v>78</v>
      </c>
      <c r="D50" s="22">
        <v>70000.0</v>
      </c>
      <c r="E50" s="15">
        <f t="shared" si="7"/>
        <v>35000</v>
      </c>
      <c r="F50" s="15">
        <f t="shared" si="11"/>
        <v>38675</v>
      </c>
      <c r="G50" s="3"/>
      <c r="H50" s="3"/>
      <c r="I50" s="22">
        <v>60000.0</v>
      </c>
      <c r="J50" s="15">
        <f t="shared" si="8"/>
        <v>30000</v>
      </c>
      <c r="K50" s="15">
        <f t="shared" si="9"/>
        <v>8675</v>
      </c>
      <c r="L50" s="116">
        <f t="shared" si="10"/>
        <v>0.2478571429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 ht="15.75" customHeight="1">
      <c r="A51" s="91">
        <v>1.0</v>
      </c>
      <c r="B51" s="92" t="s">
        <v>18</v>
      </c>
      <c r="C51" s="93" t="s">
        <v>356</v>
      </c>
      <c r="D51" s="22">
        <v>24000.0</v>
      </c>
      <c r="E51" s="15">
        <f t="shared" si="7"/>
        <v>24000</v>
      </c>
      <c r="F51" s="15">
        <f t="shared" si="11"/>
        <v>26520</v>
      </c>
      <c r="G51" s="3"/>
      <c r="H51" s="3"/>
      <c r="I51" s="22">
        <v>20000.0</v>
      </c>
      <c r="J51" s="15">
        <f t="shared" si="8"/>
        <v>20000</v>
      </c>
      <c r="K51" s="15">
        <f t="shared" si="9"/>
        <v>6520</v>
      </c>
      <c r="L51" s="116">
        <f t="shared" si="10"/>
        <v>0.2716666667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 ht="15.75" customHeight="1">
      <c r="A52" s="91">
        <v>4.0</v>
      </c>
      <c r="B52" s="92" t="s">
        <v>38</v>
      </c>
      <c r="C52" s="93" t="s">
        <v>179</v>
      </c>
      <c r="D52" s="22">
        <v>21000.0</v>
      </c>
      <c r="E52" s="15">
        <f t="shared" si="7"/>
        <v>84000</v>
      </c>
      <c r="F52" s="15">
        <f t="shared" si="11"/>
        <v>92820</v>
      </c>
      <c r="G52" s="3"/>
      <c r="H52" s="3"/>
      <c r="I52" s="22">
        <v>18000.0</v>
      </c>
      <c r="J52" s="15">
        <f t="shared" si="8"/>
        <v>72000</v>
      </c>
      <c r="K52" s="15">
        <f t="shared" si="9"/>
        <v>20820</v>
      </c>
      <c r="L52" s="116">
        <f t="shared" si="10"/>
        <v>0.2478571429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 ht="15.75" customHeight="1">
      <c r="A53" s="91">
        <v>1.0</v>
      </c>
      <c r="B53" s="92" t="s">
        <v>50</v>
      </c>
      <c r="C53" s="93" t="s">
        <v>171</v>
      </c>
      <c r="D53" s="22">
        <v>3000.0</v>
      </c>
      <c r="E53" s="15">
        <f t="shared" si="7"/>
        <v>3000</v>
      </c>
      <c r="F53" s="15">
        <f t="shared" si="11"/>
        <v>3315</v>
      </c>
      <c r="G53" s="3"/>
      <c r="H53" s="3"/>
      <c r="I53" s="15">
        <f>4000/6</f>
        <v>666.6666667</v>
      </c>
      <c r="J53" s="15">
        <f t="shared" si="8"/>
        <v>666.6666667</v>
      </c>
      <c r="K53" s="15">
        <f t="shared" si="9"/>
        <v>2648.333333</v>
      </c>
      <c r="L53" s="116">
        <f t="shared" si="10"/>
        <v>0.8827777778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 ht="15.75" customHeight="1">
      <c r="A54" s="91">
        <v>2.5</v>
      </c>
      <c r="B54" s="10" t="s">
        <v>33</v>
      </c>
      <c r="C54" s="93" t="s">
        <v>24</v>
      </c>
      <c r="D54" s="22">
        <v>4000.0</v>
      </c>
      <c r="E54" s="15">
        <f t="shared" si="7"/>
        <v>10000</v>
      </c>
      <c r="F54" s="15">
        <f t="shared" si="11"/>
        <v>11050</v>
      </c>
      <c r="G54" s="3"/>
      <c r="H54" s="3"/>
      <c r="I54" s="15">
        <f>20000/7</f>
        <v>2857.142857</v>
      </c>
      <c r="J54" s="15">
        <f t="shared" si="8"/>
        <v>7142.857143</v>
      </c>
      <c r="K54" s="15">
        <f t="shared" si="9"/>
        <v>3907.142857</v>
      </c>
      <c r="L54" s="116">
        <f t="shared" si="10"/>
        <v>0.3907142857</v>
      </c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 ht="15.75" customHeight="1">
      <c r="A55" s="91">
        <v>5.0</v>
      </c>
      <c r="B55" s="92" t="s">
        <v>33</v>
      </c>
      <c r="C55" s="93" t="s">
        <v>119</v>
      </c>
      <c r="D55" s="22">
        <v>3800.0</v>
      </c>
      <c r="E55" s="15">
        <f t="shared" si="7"/>
        <v>19000</v>
      </c>
      <c r="F55" s="15">
        <f t="shared" si="11"/>
        <v>20995</v>
      </c>
      <c r="G55" s="3"/>
      <c r="H55" s="3"/>
      <c r="I55" s="22">
        <f>42000/14</f>
        <v>3000</v>
      </c>
      <c r="J55" s="15">
        <f t="shared" si="8"/>
        <v>15000</v>
      </c>
      <c r="K55" s="15">
        <f t="shared" si="9"/>
        <v>5995</v>
      </c>
      <c r="L55" s="116">
        <f t="shared" si="10"/>
        <v>0.3155263158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 ht="15.75" customHeight="1">
      <c r="A56" s="91">
        <v>1.0</v>
      </c>
      <c r="B56" s="10" t="s">
        <v>33</v>
      </c>
      <c r="C56" s="93" t="s">
        <v>69</v>
      </c>
      <c r="D56" s="22">
        <v>2000.0</v>
      </c>
      <c r="E56" s="15">
        <f t="shared" si="7"/>
        <v>2000</v>
      </c>
      <c r="F56" s="15">
        <f t="shared" si="11"/>
        <v>2210</v>
      </c>
      <c r="G56" s="3"/>
      <c r="H56" s="3"/>
      <c r="I56" s="22">
        <v>2200.0</v>
      </c>
      <c r="J56" s="15">
        <f t="shared" si="8"/>
        <v>2200</v>
      </c>
      <c r="K56" s="15">
        <f t="shared" si="9"/>
        <v>10</v>
      </c>
      <c r="L56" s="116">
        <f t="shared" si="10"/>
        <v>0.005</v>
      </c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 ht="15.75" customHeight="1">
      <c r="A57" s="91">
        <v>1.0</v>
      </c>
      <c r="B57" s="10" t="s">
        <v>33</v>
      </c>
      <c r="C57" s="93" t="s">
        <v>99</v>
      </c>
      <c r="D57" s="22">
        <v>1800.0</v>
      </c>
      <c r="E57" s="15">
        <f t="shared" si="7"/>
        <v>1800</v>
      </c>
      <c r="F57" s="15">
        <f t="shared" si="11"/>
        <v>1989</v>
      </c>
      <c r="G57" s="3"/>
      <c r="H57" s="3"/>
      <c r="I57" s="22">
        <v>1000.0</v>
      </c>
      <c r="J57" s="15">
        <f t="shared" si="8"/>
        <v>1000</v>
      </c>
      <c r="K57" s="15">
        <f t="shared" si="9"/>
        <v>989</v>
      </c>
      <c r="L57" s="116">
        <f t="shared" si="10"/>
        <v>0.5494444444</v>
      </c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 ht="15.75" customHeight="1">
      <c r="A58" s="91">
        <v>1.2</v>
      </c>
      <c r="B58" s="10" t="s">
        <v>33</v>
      </c>
      <c r="C58" s="93" t="s">
        <v>98</v>
      </c>
      <c r="D58" s="22">
        <v>1800.0</v>
      </c>
      <c r="E58" s="15">
        <f t="shared" si="7"/>
        <v>2160</v>
      </c>
      <c r="F58" s="15">
        <f t="shared" si="11"/>
        <v>2386.8</v>
      </c>
      <c r="G58" s="3"/>
      <c r="H58" s="3"/>
      <c r="I58" s="22">
        <v>1000.0</v>
      </c>
      <c r="J58" s="15">
        <f t="shared" si="8"/>
        <v>1200</v>
      </c>
      <c r="K58" s="15">
        <f t="shared" si="9"/>
        <v>1186.8</v>
      </c>
      <c r="L58" s="116">
        <f t="shared" si="10"/>
        <v>0.5494444444</v>
      </c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 ht="15.75" customHeight="1">
      <c r="A59" s="91">
        <v>10.0</v>
      </c>
      <c r="B59" s="92" t="s">
        <v>33</v>
      </c>
      <c r="C59" s="93" t="s">
        <v>64</v>
      </c>
      <c r="D59" s="22">
        <v>2300.0</v>
      </c>
      <c r="E59" s="15">
        <f t="shared" si="7"/>
        <v>23000</v>
      </c>
      <c r="F59" s="15">
        <f t="shared" si="11"/>
        <v>25415</v>
      </c>
      <c r="G59" s="3"/>
      <c r="H59" s="3"/>
      <c r="I59" s="121">
        <f>20000/15</f>
        <v>1333.333333</v>
      </c>
      <c r="J59" s="15">
        <f t="shared" si="8"/>
        <v>13333.33333</v>
      </c>
      <c r="K59" s="15">
        <f t="shared" si="9"/>
        <v>12081.66667</v>
      </c>
      <c r="L59" s="116">
        <f t="shared" si="10"/>
        <v>0.5252898551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 ht="15.75" customHeight="1">
      <c r="A60" s="91">
        <v>1.0</v>
      </c>
      <c r="B60" s="92" t="s">
        <v>38</v>
      </c>
      <c r="C60" s="93" t="s">
        <v>47</v>
      </c>
      <c r="D60" s="22">
        <v>13000.0</v>
      </c>
      <c r="E60" s="15">
        <f t="shared" si="7"/>
        <v>13000</v>
      </c>
      <c r="F60" s="15">
        <f t="shared" si="11"/>
        <v>14365</v>
      </c>
      <c r="G60" s="3"/>
      <c r="H60" s="3"/>
      <c r="I60" s="121">
        <v>8000.0</v>
      </c>
      <c r="J60" s="15">
        <f t="shared" si="8"/>
        <v>8000</v>
      </c>
      <c r="K60" s="15">
        <f t="shared" si="9"/>
        <v>6365</v>
      </c>
      <c r="L60" s="116">
        <f t="shared" si="10"/>
        <v>0.4896153846</v>
      </c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 ht="15.75" customHeight="1">
      <c r="A61" s="91">
        <v>3.0</v>
      </c>
      <c r="B61" s="10" t="s">
        <v>33</v>
      </c>
      <c r="C61" s="93" t="s">
        <v>47</v>
      </c>
      <c r="D61" s="22">
        <v>1400.0</v>
      </c>
      <c r="E61" s="15">
        <f t="shared" si="7"/>
        <v>4200</v>
      </c>
      <c r="F61" s="15">
        <f t="shared" si="11"/>
        <v>4641</v>
      </c>
      <c r="G61" s="3"/>
      <c r="H61" s="3"/>
      <c r="I61" s="121">
        <f>8000/8</f>
        <v>1000</v>
      </c>
      <c r="J61" s="15">
        <f t="shared" si="8"/>
        <v>3000</v>
      </c>
      <c r="K61" s="15">
        <f t="shared" si="9"/>
        <v>1641</v>
      </c>
      <c r="L61" s="116">
        <f t="shared" si="10"/>
        <v>0.3907142857</v>
      </c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 ht="15.75" customHeight="1">
      <c r="A62" s="91">
        <v>3.5</v>
      </c>
      <c r="B62" s="10" t="s">
        <v>33</v>
      </c>
      <c r="C62" s="93" t="s">
        <v>192</v>
      </c>
      <c r="D62" s="22">
        <v>1000.0</v>
      </c>
      <c r="E62" s="15">
        <f t="shared" si="7"/>
        <v>3500</v>
      </c>
      <c r="F62" s="15">
        <f t="shared" si="11"/>
        <v>3867.5</v>
      </c>
      <c r="G62" s="3"/>
      <c r="H62" s="3"/>
      <c r="I62" s="86">
        <f>11000/15</f>
        <v>733.3333333</v>
      </c>
      <c r="J62" s="15">
        <f t="shared" si="8"/>
        <v>2566.666667</v>
      </c>
      <c r="K62" s="15">
        <f t="shared" si="9"/>
        <v>1300.833333</v>
      </c>
      <c r="L62" s="116">
        <f t="shared" si="10"/>
        <v>0.3716666667</v>
      </c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 ht="15.75" customHeight="1">
      <c r="A63" s="91">
        <v>6.0</v>
      </c>
      <c r="B63" s="92" t="s">
        <v>5</v>
      </c>
      <c r="C63" s="93" t="s">
        <v>87</v>
      </c>
      <c r="D63" s="22">
        <v>1300.0</v>
      </c>
      <c r="E63" s="15">
        <f t="shared" si="7"/>
        <v>7800</v>
      </c>
      <c r="F63" s="15">
        <f t="shared" si="11"/>
        <v>8619</v>
      </c>
      <c r="G63" s="3"/>
      <c r="H63" s="3"/>
      <c r="I63" s="3">
        <f>62000/80</f>
        <v>775</v>
      </c>
      <c r="J63" s="15">
        <f t="shared" si="8"/>
        <v>4650</v>
      </c>
      <c r="K63" s="15">
        <f t="shared" si="9"/>
        <v>3969</v>
      </c>
      <c r="L63" s="116">
        <f t="shared" si="10"/>
        <v>0.5088461538</v>
      </c>
      <c r="M63" s="1"/>
      <c r="N63" s="3"/>
      <c r="O63" s="2"/>
      <c r="P63" s="3"/>
      <c r="Q63" s="3"/>
      <c r="R63" s="9"/>
      <c r="S63" s="3"/>
      <c r="T63" s="3"/>
      <c r="U63" s="1"/>
      <c r="V63" s="3"/>
      <c r="W63" s="3"/>
      <c r="X63" s="3"/>
      <c r="Y63" s="3"/>
      <c r="Z63" s="3"/>
    </row>
    <row r="64" ht="15.75" customHeight="1">
      <c r="A64" s="91">
        <v>1.0</v>
      </c>
      <c r="B64" s="92" t="s">
        <v>50</v>
      </c>
      <c r="C64" s="93" t="s">
        <v>308</v>
      </c>
      <c r="D64" s="22">
        <v>2000.0</v>
      </c>
      <c r="E64" s="15">
        <f t="shared" si="7"/>
        <v>2000</v>
      </c>
      <c r="F64" s="15">
        <f t="shared" si="11"/>
        <v>2210</v>
      </c>
      <c r="G64" s="3"/>
      <c r="H64" s="3"/>
      <c r="I64" s="86">
        <v>1000.0</v>
      </c>
      <c r="J64" s="15">
        <f t="shared" si="8"/>
        <v>1000</v>
      </c>
      <c r="K64" s="15">
        <f t="shared" si="9"/>
        <v>1210</v>
      </c>
      <c r="L64" s="116">
        <f t="shared" si="10"/>
        <v>0.605</v>
      </c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 ht="15.75" customHeight="1">
      <c r="A65" s="91">
        <v>0.5</v>
      </c>
      <c r="B65" s="92" t="s">
        <v>33</v>
      </c>
      <c r="C65" s="93" t="s">
        <v>23</v>
      </c>
      <c r="D65" s="22">
        <v>1400.0</v>
      </c>
      <c r="E65" s="15">
        <f t="shared" si="7"/>
        <v>700</v>
      </c>
      <c r="F65" s="15">
        <f t="shared" si="11"/>
        <v>773.5</v>
      </c>
      <c r="G65" s="3"/>
      <c r="H65" s="3"/>
      <c r="I65" s="86">
        <v>1000.0</v>
      </c>
      <c r="J65" s="15">
        <f t="shared" si="8"/>
        <v>500</v>
      </c>
      <c r="K65" s="15">
        <f t="shared" si="9"/>
        <v>273.5</v>
      </c>
      <c r="L65" s="116">
        <f t="shared" si="10"/>
        <v>0.3907142857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 ht="15.75" customHeight="1">
      <c r="A66" s="91">
        <v>0.75</v>
      </c>
      <c r="B66" s="92" t="s">
        <v>33</v>
      </c>
      <c r="C66" s="93" t="s">
        <v>22</v>
      </c>
      <c r="D66" s="22">
        <v>1000.0</v>
      </c>
      <c r="E66" s="15">
        <f t="shared" si="7"/>
        <v>750</v>
      </c>
      <c r="F66" s="15">
        <f t="shared" si="11"/>
        <v>828.75</v>
      </c>
      <c r="G66" s="3"/>
      <c r="H66" s="3"/>
      <c r="I66" s="3">
        <f>10000/14</f>
        <v>714.2857143</v>
      </c>
      <c r="J66" s="15">
        <f t="shared" si="8"/>
        <v>535.7142857</v>
      </c>
      <c r="K66" s="15">
        <f t="shared" si="9"/>
        <v>293.0357143</v>
      </c>
      <c r="L66" s="116">
        <f t="shared" si="10"/>
        <v>0.3907142857</v>
      </c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 ht="15.75" customHeight="1">
      <c r="A67" s="91">
        <v>0.8</v>
      </c>
      <c r="B67" s="92" t="s">
        <v>33</v>
      </c>
      <c r="C67" s="93" t="s">
        <v>20</v>
      </c>
      <c r="D67" s="22">
        <v>3500.0</v>
      </c>
      <c r="E67" s="15">
        <f t="shared" si="7"/>
        <v>2800</v>
      </c>
      <c r="F67" s="15">
        <f t="shared" si="11"/>
        <v>3094</v>
      </c>
      <c r="G67" s="3"/>
      <c r="H67" s="3"/>
      <c r="I67" s="3">
        <f>18000/8</f>
        <v>2250</v>
      </c>
      <c r="J67" s="15">
        <f t="shared" si="8"/>
        <v>1800</v>
      </c>
      <c r="K67" s="15">
        <f t="shared" si="9"/>
        <v>1294</v>
      </c>
      <c r="L67" s="116">
        <f t="shared" si="10"/>
        <v>0.4621428571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 ht="15.75" customHeight="1">
      <c r="A68" s="91">
        <v>2.0</v>
      </c>
      <c r="B68" s="92" t="s">
        <v>33</v>
      </c>
      <c r="C68" s="93" t="s">
        <v>233</v>
      </c>
      <c r="D68" s="22">
        <v>2800.0</v>
      </c>
      <c r="E68" s="15">
        <f t="shared" si="7"/>
        <v>5600</v>
      </c>
      <c r="F68" s="15">
        <f t="shared" si="11"/>
        <v>6188</v>
      </c>
      <c r="G68" s="3"/>
      <c r="H68" s="3"/>
      <c r="I68" s="3">
        <f>10000/6</f>
        <v>1666.666667</v>
      </c>
      <c r="J68" s="15">
        <f t="shared" si="8"/>
        <v>3333.333333</v>
      </c>
      <c r="K68" s="15">
        <f t="shared" si="9"/>
        <v>2854.666667</v>
      </c>
      <c r="L68" s="116">
        <f t="shared" si="10"/>
        <v>0.5097619048</v>
      </c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 ht="15.75" customHeight="1">
      <c r="A69" s="91">
        <v>15.0</v>
      </c>
      <c r="B69" s="92" t="s">
        <v>50</v>
      </c>
      <c r="C69" s="93" t="s">
        <v>65</v>
      </c>
      <c r="D69" s="22">
        <v>500.0</v>
      </c>
      <c r="E69" s="15">
        <f t="shared" si="7"/>
        <v>7500</v>
      </c>
      <c r="F69" s="15">
        <f t="shared" si="11"/>
        <v>8287.5</v>
      </c>
      <c r="G69" s="3"/>
      <c r="H69" s="3"/>
      <c r="I69" s="3">
        <f>216</f>
        <v>216</v>
      </c>
      <c r="J69" s="15">
        <f t="shared" si="8"/>
        <v>3240</v>
      </c>
      <c r="K69" s="15">
        <f t="shared" si="9"/>
        <v>5047.5</v>
      </c>
      <c r="L69" s="116">
        <f t="shared" si="10"/>
        <v>0.673</v>
      </c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117"/>
      <c r="B70" s="3"/>
      <c r="C70" s="2"/>
      <c r="D70" s="3"/>
      <c r="E70" s="3"/>
      <c r="F70" s="3"/>
      <c r="G70" s="3"/>
      <c r="H70" s="3"/>
      <c r="I70" s="3"/>
      <c r="J70" s="3"/>
      <c r="K70" s="3"/>
      <c r="L70" s="118"/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117"/>
      <c r="B71" s="3"/>
      <c r="C71" s="2"/>
      <c r="D71" s="3"/>
      <c r="E71" s="15">
        <f t="shared" ref="E71:F71" si="12">SUM(E38:E69)</f>
        <v>344910</v>
      </c>
      <c r="F71" s="15">
        <f t="shared" si="12"/>
        <v>382070.55</v>
      </c>
      <c r="G71" s="3"/>
      <c r="H71" s="3"/>
      <c r="I71" s="3"/>
      <c r="J71" s="3"/>
      <c r="K71" s="15">
        <f>SUM(K38:K69)</f>
        <v>127712.8609</v>
      </c>
      <c r="L71" s="116">
        <f>IFERROR(K71/E71, 0)</f>
        <v>0.3702788</v>
      </c>
      <c r="M71" s="1"/>
      <c r="N71" s="3"/>
      <c r="O71" s="2"/>
      <c r="P71" s="3"/>
      <c r="Q71" s="3"/>
      <c r="R71" s="9"/>
      <c r="S71" s="3"/>
      <c r="T71" s="3"/>
      <c r="U71" s="1"/>
      <c r="V71" s="3"/>
      <c r="W71" s="3"/>
      <c r="X71" s="3"/>
      <c r="Y71" s="3"/>
      <c r="Z71" s="3"/>
    </row>
    <row r="72">
      <c r="A72" s="91"/>
      <c r="B72" s="92"/>
      <c r="C72" s="93"/>
      <c r="D72" s="22"/>
      <c r="E72" s="15"/>
      <c r="F72" s="15"/>
      <c r="G72" s="3"/>
      <c r="H72" s="3"/>
      <c r="I72" s="22"/>
      <c r="J72" s="15"/>
      <c r="K72" s="15"/>
      <c r="L72" s="36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>
      <c r="A73" s="91"/>
      <c r="B73" s="92"/>
      <c r="C73" s="93"/>
      <c r="D73" s="22"/>
      <c r="E73" s="15"/>
      <c r="F73" s="15"/>
      <c r="G73" s="3"/>
      <c r="H73" s="3"/>
      <c r="I73" s="22"/>
      <c r="J73" s="15"/>
      <c r="K73" s="15"/>
      <c r="L73" s="36"/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91"/>
      <c r="B74" s="92"/>
      <c r="C74" s="93"/>
      <c r="D74" s="22"/>
      <c r="E74" s="15"/>
      <c r="F74" s="15"/>
      <c r="G74" s="3"/>
      <c r="H74" s="3"/>
      <c r="I74" s="22"/>
      <c r="J74" s="15"/>
      <c r="K74" s="15"/>
      <c r="L74" s="36"/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5" t="s">
        <v>309</v>
      </c>
      <c r="D75" s="3"/>
      <c r="E75" s="86" t="s">
        <v>74</v>
      </c>
      <c r="F75" s="82">
        <v>46077.0</v>
      </c>
      <c r="G75" s="3"/>
      <c r="H75" s="3"/>
      <c r="I75" s="8" t="s">
        <v>3</v>
      </c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1"/>
      <c r="B76" s="3"/>
      <c r="C76" s="9"/>
      <c r="D76" s="3"/>
      <c r="E76" s="3"/>
      <c r="F76" s="3"/>
      <c r="G76" s="3"/>
      <c r="H76" s="3"/>
      <c r="I76" s="3"/>
      <c r="J76" s="3"/>
      <c r="K76" s="3"/>
      <c r="L76" s="4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5" t="s">
        <v>4</v>
      </c>
      <c r="B77" s="10" t="s">
        <v>5</v>
      </c>
      <c r="C77" s="96" t="s">
        <v>6</v>
      </c>
      <c r="D77" s="10" t="s">
        <v>7</v>
      </c>
      <c r="E77" s="10" t="s">
        <v>8</v>
      </c>
      <c r="F77" s="10" t="s">
        <v>9</v>
      </c>
      <c r="G77" s="3"/>
      <c r="H77" s="3"/>
      <c r="I77" s="10" t="s">
        <v>260</v>
      </c>
      <c r="J77" s="10" t="s">
        <v>8</v>
      </c>
      <c r="K77" s="10" t="s">
        <v>10</v>
      </c>
      <c r="L77" s="4"/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91">
        <v>4.0</v>
      </c>
      <c r="B78" s="92" t="s">
        <v>38</v>
      </c>
      <c r="C78" s="93" t="s">
        <v>179</v>
      </c>
      <c r="D78" s="22">
        <v>21000.0</v>
      </c>
      <c r="E78" s="15">
        <f t="shared" ref="E78:E102" si="13">A78*D78</f>
        <v>84000</v>
      </c>
      <c r="F78" s="15">
        <f t="shared" ref="F78:F101" si="14">E78*1.105</f>
        <v>92820</v>
      </c>
      <c r="G78" s="3"/>
      <c r="H78" s="3"/>
      <c r="I78" s="22">
        <v>18000.0</v>
      </c>
      <c r="J78" s="15">
        <f t="shared" ref="J78:J102" si="15">I78*A78</f>
        <v>72000</v>
      </c>
      <c r="K78" s="15">
        <f t="shared" ref="K78:K102" si="16">F78-J78</f>
        <v>20820</v>
      </c>
      <c r="L78" s="116">
        <f t="shared" ref="L78:L102" si="17">IFERROR(K78/E78, 0)</f>
        <v>0.2478571429</v>
      </c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91">
        <v>1.0</v>
      </c>
      <c r="B79" s="92" t="s">
        <v>38</v>
      </c>
      <c r="C79" s="93" t="s">
        <v>180</v>
      </c>
      <c r="D79" s="22">
        <v>16000.0</v>
      </c>
      <c r="E79" s="15">
        <f t="shared" si="13"/>
        <v>16000</v>
      </c>
      <c r="F79" s="15">
        <f t="shared" si="14"/>
        <v>17680</v>
      </c>
      <c r="G79" s="3"/>
      <c r="H79" s="3"/>
      <c r="I79" s="22">
        <v>11000.0</v>
      </c>
      <c r="J79" s="15">
        <f t="shared" si="15"/>
        <v>11000</v>
      </c>
      <c r="K79" s="15">
        <f t="shared" si="16"/>
        <v>6680</v>
      </c>
      <c r="L79" s="116">
        <f t="shared" si="17"/>
        <v>0.4175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91">
        <v>1.0</v>
      </c>
      <c r="B80" s="92" t="s">
        <v>38</v>
      </c>
      <c r="C80" s="93" t="s">
        <v>45</v>
      </c>
      <c r="D80" s="22">
        <v>13000.0</v>
      </c>
      <c r="E80" s="15">
        <f t="shared" si="13"/>
        <v>13000</v>
      </c>
      <c r="F80" s="15">
        <f t="shared" si="14"/>
        <v>14365</v>
      </c>
      <c r="G80" s="3"/>
      <c r="H80" s="3"/>
      <c r="I80" s="22">
        <v>8000.0</v>
      </c>
      <c r="J80" s="15">
        <f t="shared" si="15"/>
        <v>8000</v>
      </c>
      <c r="K80" s="15">
        <f t="shared" si="16"/>
        <v>6365</v>
      </c>
      <c r="L80" s="116">
        <f t="shared" si="17"/>
        <v>0.4896153846</v>
      </c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91">
        <v>1.0</v>
      </c>
      <c r="B81" s="92" t="s">
        <v>38</v>
      </c>
      <c r="C81" s="93" t="s">
        <v>47</v>
      </c>
      <c r="D81" s="22">
        <v>13000.0</v>
      </c>
      <c r="E81" s="15">
        <f t="shared" si="13"/>
        <v>13000</v>
      </c>
      <c r="F81" s="15">
        <f t="shared" si="14"/>
        <v>14365</v>
      </c>
      <c r="G81" s="3"/>
      <c r="H81" s="3"/>
      <c r="I81" s="22">
        <v>8000.0</v>
      </c>
      <c r="J81" s="15">
        <f t="shared" si="15"/>
        <v>8000</v>
      </c>
      <c r="K81" s="15">
        <f t="shared" si="16"/>
        <v>6365</v>
      </c>
      <c r="L81" s="116">
        <f t="shared" si="17"/>
        <v>0.4896153846</v>
      </c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91">
        <v>8.0</v>
      </c>
      <c r="B82" s="92" t="s">
        <v>33</v>
      </c>
      <c r="C82" s="93" t="s">
        <v>64</v>
      </c>
      <c r="D82" s="22">
        <v>2300.0</v>
      </c>
      <c r="E82" s="15">
        <f t="shared" si="13"/>
        <v>18400</v>
      </c>
      <c r="F82" s="15">
        <f t="shared" si="14"/>
        <v>20332</v>
      </c>
      <c r="G82" s="3"/>
      <c r="H82" s="3"/>
      <c r="I82" s="22">
        <f>20000/15</f>
        <v>1333.333333</v>
      </c>
      <c r="J82" s="15">
        <f t="shared" si="15"/>
        <v>10666.66667</v>
      </c>
      <c r="K82" s="15">
        <f t="shared" si="16"/>
        <v>9665.333333</v>
      </c>
      <c r="L82" s="116">
        <f t="shared" si="17"/>
        <v>0.5252898551</v>
      </c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91">
        <v>2.0</v>
      </c>
      <c r="B83" s="92" t="s">
        <v>33</v>
      </c>
      <c r="C83" s="93" t="s">
        <v>192</v>
      </c>
      <c r="D83" s="22">
        <v>1000.0</v>
      </c>
      <c r="E83" s="15">
        <f t="shared" si="13"/>
        <v>2000</v>
      </c>
      <c r="F83" s="15">
        <f t="shared" si="14"/>
        <v>2210</v>
      </c>
      <c r="G83" s="3"/>
      <c r="H83" s="3"/>
      <c r="I83" s="22">
        <f>11000/15</f>
        <v>733.3333333</v>
      </c>
      <c r="J83" s="15">
        <f t="shared" si="15"/>
        <v>1466.666667</v>
      </c>
      <c r="K83" s="15">
        <f t="shared" si="16"/>
        <v>743.3333333</v>
      </c>
      <c r="L83" s="116">
        <f t="shared" si="17"/>
        <v>0.3716666667</v>
      </c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91">
        <v>6.0</v>
      </c>
      <c r="B84" s="92" t="s">
        <v>50</v>
      </c>
      <c r="C84" s="93" t="s">
        <v>103</v>
      </c>
      <c r="D84" s="22">
        <v>1600.0</v>
      </c>
      <c r="E84" s="15">
        <f t="shared" si="13"/>
        <v>9600</v>
      </c>
      <c r="F84" s="15">
        <f t="shared" si="14"/>
        <v>10608</v>
      </c>
      <c r="G84" s="3"/>
      <c r="H84" s="3"/>
      <c r="I84" s="22">
        <v>800.0</v>
      </c>
      <c r="J84" s="15">
        <f t="shared" si="15"/>
        <v>4800</v>
      </c>
      <c r="K84" s="15">
        <f t="shared" si="16"/>
        <v>5808</v>
      </c>
      <c r="L84" s="116">
        <f t="shared" si="17"/>
        <v>0.605</v>
      </c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91">
        <v>2.0</v>
      </c>
      <c r="B85" s="92" t="s">
        <v>33</v>
      </c>
      <c r="C85" s="93" t="s">
        <v>279</v>
      </c>
      <c r="D85" s="22">
        <v>4000.0</v>
      </c>
      <c r="E85" s="15">
        <f t="shared" si="13"/>
        <v>8000</v>
      </c>
      <c r="F85" s="15">
        <f t="shared" si="14"/>
        <v>8840</v>
      </c>
      <c r="G85" s="3"/>
      <c r="H85" s="3"/>
      <c r="I85" s="22">
        <f>25000/8</f>
        <v>3125</v>
      </c>
      <c r="J85" s="15">
        <f t="shared" si="15"/>
        <v>6250</v>
      </c>
      <c r="K85" s="15">
        <f t="shared" si="16"/>
        <v>2590</v>
      </c>
      <c r="L85" s="116">
        <f t="shared" si="17"/>
        <v>0.32375</v>
      </c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91">
        <v>2.0</v>
      </c>
      <c r="B86" s="92" t="s">
        <v>33</v>
      </c>
      <c r="C86" s="93" t="s">
        <v>24</v>
      </c>
      <c r="D86" s="22">
        <v>4000.0</v>
      </c>
      <c r="E86" s="15">
        <f t="shared" si="13"/>
        <v>8000</v>
      </c>
      <c r="F86" s="15">
        <f t="shared" si="14"/>
        <v>8840</v>
      </c>
      <c r="G86" s="3"/>
      <c r="H86" s="3"/>
      <c r="I86" s="22">
        <f>20000/7</f>
        <v>2857.142857</v>
      </c>
      <c r="J86" s="15">
        <f t="shared" si="15"/>
        <v>5714.285714</v>
      </c>
      <c r="K86" s="15">
        <f t="shared" si="16"/>
        <v>3125.714286</v>
      </c>
      <c r="L86" s="116">
        <f t="shared" si="17"/>
        <v>0.3907142857</v>
      </c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91">
        <v>2.0</v>
      </c>
      <c r="B87" s="92" t="s">
        <v>33</v>
      </c>
      <c r="C87" s="93" t="s">
        <v>174</v>
      </c>
      <c r="D87" s="22">
        <v>1600.0</v>
      </c>
      <c r="E87" s="15">
        <f t="shared" si="13"/>
        <v>3200</v>
      </c>
      <c r="F87" s="15">
        <f t="shared" si="14"/>
        <v>3536</v>
      </c>
      <c r="G87" s="3"/>
      <c r="H87" s="3"/>
      <c r="I87" s="22">
        <f>18000/17</f>
        <v>1058.823529</v>
      </c>
      <c r="J87" s="15">
        <f t="shared" si="15"/>
        <v>2117.647059</v>
      </c>
      <c r="K87" s="15">
        <f t="shared" si="16"/>
        <v>1418.352941</v>
      </c>
      <c r="L87" s="116">
        <f t="shared" si="17"/>
        <v>0.4432352941</v>
      </c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91">
        <v>1.0</v>
      </c>
      <c r="B88" s="92" t="s">
        <v>33</v>
      </c>
      <c r="C88" s="93" t="s">
        <v>67</v>
      </c>
      <c r="D88" s="22">
        <v>800.0</v>
      </c>
      <c r="E88" s="15">
        <f t="shared" si="13"/>
        <v>800</v>
      </c>
      <c r="F88" s="15">
        <f t="shared" si="14"/>
        <v>884</v>
      </c>
      <c r="G88" s="3"/>
      <c r="H88" s="3"/>
      <c r="I88" s="22">
        <f>8000/17</f>
        <v>470.5882353</v>
      </c>
      <c r="J88" s="15">
        <f t="shared" si="15"/>
        <v>470.5882353</v>
      </c>
      <c r="K88" s="15">
        <f t="shared" si="16"/>
        <v>413.4117647</v>
      </c>
      <c r="L88" s="116">
        <f t="shared" si="17"/>
        <v>0.5167647059</v>
      </c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91">
        <v>3.0</v>
      </c>
      <c r="B89" s="92" t="s">
        <v>5</v>
      </c>
      <c r="C89" s="93" t="s">
        <v>87</v>
      </c>
      <c r="D89" s="22">
        <v>1300.0</v>
      </c>
      <c r="E89" s="15">
        <f t="shared" si="13"/>
        <v>3900</v>
      </c>
      <c r="F89" s="15">
        <f t="shared" si="14"/>
        <v>4309.5</v>
      </c>
      <c r="G89" s="3"/>
      <c r="H89" s="3"/>
      <c r="I89" s="22">
        <f>62000/80</f>
        <v>775</v>
      </c>
      <c r="J89" s="15">
        <f t="shared" si="15"/>
        <v>2325</v>
      </c>
      <c r="K89" s="15">
        <f t="shared" si="16"/>
        <v>1984.5</v>
      </c>
      <c r="L89" s="116">
        <f t="shared" si="17"/>
        <v>0.5088461538</v>
      </c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91">
        <v>0.2</v>
      </c>
      <c r="B90" s="92" t="s">
        <v>33</v>
      </c>
      <c r="C90" s="93" t="s">
        <v>20</v>
      </c>
      <c r="D90" s="22">
        <v>3500.0</v>
      </c>
      <c r="E90" s="15">
        <f t="shared" si="13"/>
        <v>700</v>
      </c>
      <c r="F90" s="15">
        <f t="shared" si="14"/>
        <v>773.5</v>
      </c>
      <c r="G90" s="3"/>
      <c r="H90" s="3"/>
      <c r="I90" s="22">
        <f>18000/8</f>
        <v>2250</v>
      </c>
      <c r="J90" s="15">
        <f t="shared" si="15"/>
        <v>450</v>
      </c>
      <c r="K90" s="15">
        <f t="shared" si="16"/>
        <v>323.5</v>
      </c>
      <c r="L90" s="116">
        <f t="shared" si="17"/>
        <v>0.4621428571</v>
      </c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91">
        <v>1.0</v>
      </c>
      <c r="B91" s="92" t="s">
        <v>50</v>
      </c>
      <c r="C91" s="93" t="s">
        <v>308</v>
      </c>
      <c r="D91" s="22">
        <v>2000.0</v>
      </c>
      <c r="E91" s="15">
        <f t="shared" si="13"/>
        <v>2000</v>
      </c>
      <c r="F91" s="15">
        <f t="shared" si="14"/>
        <v>2210</v>
      </c>
      <c r="G91" s="3"/>
      <c r="H91" s="3"/>
      <c r="I91" s="22">
        <v>1000.0</v>
      </c>
      <c r="J91" s="15">
        <f t="shared" si="15"/>
        <v>1000</v>
      </c>
      <c r="K91" s="15">
        <f t="shared" si="16"/>
        <v>1210</v>
      </c>
      <c r="L91" s="116">
        <f t="shared" si="17"/>
        <v>0.605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91">
        <v>0.5</v>
      </c>
      <c r="B92" s="92" t="s">
        <v>33</v>
      </c>
      <c r="C92" s="93" t="s">
        <v>236</v>
      </c>
      <c r="D92" s="22">
        <v>5000.0</v>
      </c>
      <c r="E92" s="15">
        <f t="shared" si="13"/>
        <v>2500</v>
      </c>
      <c r="F92" s="15">
        <f t="shared" si="14"/>
        <v>2762.5</v>
      </c>
      <c r="G92" s="3"/>
      <c r="H92" s="3"/>
      <c r="I92" s="22">
        <v>3400.0</v>
      </c>
      <c r="J92" s="15">
        <f t="shared" si="15"/>
        <v>1700</v>
      </c>
      <c r="K92" s="15">
        <f t="shared" si="16"/>
        <v>1062.5</v>
      </c>
      <c r="L92" s="116">
        <f t="shared" si="17"/>
        <v>0.425</v>
      </c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91">
        <v>2.0</v>
      </c>
      <c r="B93" s="92" t="s">
        <v>50</v>
      </c>
      <c r="C93" s="93" t="s">
        <v>16</v>
      </c>
      <c r="D93" s="22">
        <v>1000.0</v>
      </c>
      <c r="E93" s="15">
        <f t="shared" si="13"/>
        <v>2000</v>
      </c>
      <c r="F93" s="15">
        <f t="shared" si="14"/>
        <v>2210</v>
      </c>
      <c r="G93" s="3"/>
      <c r="H93" s="3"/>
      <c r="I93" s="22">
        <f>5000/12</f>
        <v>416.6666667</v>
      </c>
      <c r="J93" s="15">
        <f t="shared" si="15"/>
        <v>833.3333333</v>
      </c>
      <c r="K93" s="15">
        <f t="shared" si="16"/>
        <v>1376.666667</v>
      </c>
      <c r="L93" s="116">
        <f t="shared" si="17"/>
        <v>0.6883333333</v>
      </c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91">
        <v>1.0</v>
      </c>
      <c r="B94" s="92" t="s">
        <v>50</v>
      </c>
      <c r="C94" s="93" t="s">
        <v>104</v>
      </c>
      <c r="D94" s="22">
        <v>2500.0</v>
      </c>
      <c r="E94" s="15">
        <f t="shared" si="13"/>
        <v>2500</v>
      </c>
      <c r="F94" s="15">
        <f t="shared" si="14"/>
        <v>2762.5</v>
      </c>
      <c r="G94" s="3"/>
      <c r="H94" s="3"/>
      <c r="I94" s="22">
        <v>1000.0</v>
      </c>
      <c r="J94" s="15">
        <f t="shared" si="15"/>
        <v>1000</v>
      </c>
      <c r="K94" s="15">
        <f t="shared" si="16"/>
        <v>1762.5</v>
      </c>
      <c r="L94" s="116">
        <f t="shared" si="17"/>
        <v>0.705</v>
      </c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 ht="15.75" customHeight="1">
      <c r="A95" s="91">
        <v>1.0</v>
      </c>
      <c r="B95" s="92" t="s">
        <v>50</v>
      </c>
      <c r="C95" s="93" t="s">
        <v>171</v>
      </c>
      <c r="D95" s="22">
        <v>3000.0</v>
      </c>
      <c r="E95" s="15">
        <f t="shared" si="13"/>
        <v>3000</v>
      </c>
      <c r="F95" s="15">
        <f t="shared" si="14"/>
        <v>3315</v>
      </c>
      <c r="G95" s="3"/>
      <c r="H95" s="3"/>
      <c r="I95" s="22">
        <v>666.0</v>
      </c>
      <c r="J95" s="15">
        <f t="shared" si="15"/>
        <v>666</v>
      </c>
      <c r="K95" s="15">
        <f t="shared" si="16"/>
        <v>2649</v>
      </c>
      <c r="L95" s="116">
        <f t="shared" si="17"/>
        <v>0.883</v>
      </c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91">
        <v>2.0</v>
      </c>
      <c r="B96" s="92" t="s">
        <v>18</v>
      </c>
      <c r="C96" s="93" t="s">
        <v>356</v>
      </c>
      <c r="D96" s="22">
        <v>24000.0</v>
      </c>
      <c r="E96" s="15">
        <f t="shared" si="13"/>
        <v>48000</v>
      </c>
      <c r="F96" s="15">
        <f t="shared" si="14"/>
        <v>53040</v>
      </c>
      <c r="G96" s="3"/>
      <c r="H96" s="3"/>
      <c r="I96" s="22">
        <v>20000.0</v>
      </c>
      <c r="J96" s="15">
        <f t="shared" si="15"/>
        <v>40000</v>
      </c>
      <c r="K96" s="15">
        <f t="shared" si="16"/>
        <v>13040</v>
      </c>
      <c r="L96" s="116">
        <f t="shared" si="17"/>
        <v>0.2716666667</v>
      </c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 ht="15.75" customHeight="1">
      <c r="A97" s="91">
        <v>7.0</v>
      </c>
      <c r="B97" s="92" t="s">
        <v>33</v>
      </c>
      <c r="C97" s="93" t="s">
        <v>119</v>
      </c>
      <c r="D97" s="22">
        <v>3800.0</v>
      </c>
      <c r="E97" s="15">
        <f t="shared" si="13"/>
        <v>26600</v>
      </c>
      <c r="F97" s="15">
        <f t="shared" si="14"/>
        <v>29393</v>
      </c>
      <c r="G97" s="3"/>
      <c r="H97" s="3"/>
      <c r="I97" s="22">
        <f>42000/14</f>
        <v>3000</v>
      </c>
      <c r="J97" s="15">
        <f t="shared" si="15"/>
        <v>21000</v>
      </c>
      <c r="K97" s="15">
        <f t="shared" si="16"/>
        <v>8393</v>
      </c>
      <c r="L97" s="116">
        <f t="shared" si="17"/>
        <v>0.3155263158</v>
      </c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 ht="15.75" customHeight="1">
      <c r="A98" s="91">
        <v>4.0</v>
      </c>
      <c r="B98" s="92" t="s">
        <v>33</v>
      </c>
      <c r="C98" s="93" t="s">
        <v>78</v>
      </c>
      <c r="D98" s="22">
        <v>4500.0</v>
      </c>
      <c r="E98" s="15">
        <f t="shared" si="13"/>
        <v>18000</v>
      </c>
      <c r="F98" s="15">
        <f t="shared" si="14"/>
        <v>19890</v>
      </c>
      <c r="G98" s="3"/>
      <c r="H98" s="3"/>
      <c r="I98" s="22">
        <f>60000/18</f>
        <v>3333.333333</v>
      </c>
      <c r="J98" s="15">
        <f t="shared" si="15"/>
        <v>13333.33333</v>
      </c>
      <c r="K98" s="15">
        <f t="shared" si="16"/>
        <v>6556.666667</v>
      </c>
      <c r="L98" s="116">
        <f t="shared" si="17"/>
        <v>0.3642592593</v>
      </c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 ht="15.75" customHeight="1">
      <c r="A99" s="91">
        <v>4.0</v>
      </c>
      <c r="B99" s="92" t="s">
        <v>33</v>
      </c>
      <c r="C99" s="93" t="s">
        <v>232</v>
      </c>
      <c r="D99" s="22">
        <v>4000.0</v>
      </c>
      <c r="E99" s="15">
        <f t="shared" si="13"/>
        <v>16000</v>
      </c>
      <c r="F99" s="15">
        <f t="shared" si="14"/>
        <v>17680</v>
      </c>
      <c r="G99" s="3"/>
      <c r="H99" s="3"/>
      <c r="I99" s="22">
        <f>65000/18</f>
        <v>3611.111111</v>
      </c>
      <c r="J99" s="15">
        <f t="shared" si="15"/>
        <v>14444.44444</v>
      </c>
      <c r="K99" s="15">
        <f t="shared" si="16"/>
        <v>3235.555556</v>
      </c>
      <c r="L99" s="116">
        <f t="shared" si="17"/>
        <v>0.2022222222</v>
      </c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 ht="15.75" customHeight="1">
      <c r="A100" s="91">
        <v>3.0</v>
      </c>
      <c r="B100" s="92" t="s">
        <v>33</v>
      </c>
      <c r="C100" s="93" t="s">
        <v>56</v>
      </c>
      <c r="D100" s="22">
        <v>2200.0</v>
      </c>
      <c r="E100" s="15">
        <f t="shared" si="13"/>
        <v>6600</v>
      </c>
      <c r="F100" s="15">
        <f t="shared" si="14"/>
        <v>7293</v>
      </c>
      <c r="G100" s="3"/>
      <c r="H100" s="3"/>
      <c r="I100" s="22">
        <f>23000/15</f>
        <v>1533.333333</v>
      </c>
      <c r="J100" s="15">
        <f t="shared" si="15"/>
        <v>4600</v>
      </c>
      <c r="K100" s="15">
        <f t="shared" si="16"/>
        <v>2693</v>
      </c>
      <c r="L100" s="116">
        <f t="shared" si="17"/>
        <v>0.408030303</v>
      </c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 ht="15.75" customHeight="1">
      <c r="A101" s="91">
        <v>1.0</v>
      </c>
      <c r="B101" s="92" t="s">
        <v>5</v>
      </c>
      <c r="C101" s="93" t="s">
        <v>95</v>
      </c>
      <c r="D101" s="22">
        <v>2500.0</v>
      </c>
      <c r="E101" s="15">
        <f t="shared" si="13"/>
        <v>2500</v>
      </c>
      <c r="F101" s="15">
        <f t="shared" si="14"/>
        <v>2762.5</v>
      </c>
      <c r="G101" s="3"/>
      <c r="H101" s="3"/>
      <c r="I101" s="22">
        <f>12000/8</f>
        <v>1500</v>
      </c>
      <c r="J101" s="15">
        <f t="shared" si="15"/>
        <v>1500</v>
      </c>
      <c r="K101" s="15">
        <f t="shared" si="16"/>
        <v>1262.5</v>
      </c>
      <c r="L101" s="116">
        <f t="shared" si="17"/>
        <v>0.505</v>
      </c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 ht="15.75" customHeight="1">
      <c r="A102" s="91">
        <v>0.5</v>
      </c>
      <c r="B102" s="92" t="s">
        <v>18</v>
      </c>
      <c r="C102" s="93" t="s">
        <v>277</v>
      </c>
      <c r="D102" s="22">
        <v>52000.0</v>
      </c>
      <c r="E102" s="15">
        <f t="shared" si="13"/>
        <v>26000</v>
      </c>
      <c r="F102" s="15">
        <f>E102*1.21</f>
        <v>31460</v>
      </c>
      <c r="G102" s="3"/>
      <c r="H102" s="3"/>
      <c r="I102" s="22">
        <v>52000.0</v>
      </c>
      <c r="J102" s="15">
        <f t="shared" si="15"/>
        <v>26000</v>
      </c>
      <c r="K102" s="15">
        <f t="shared" si="16"/>
        <v>5460</v>
      </c>
      <c r="L102" s="116">
        <f t="shared" si="17"/>
        <v>0.21</v>
      </c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117"/>
      <c r="B103" s="3"/>
      <c r="C103" s="2"/>
      <c r="D103" s="3"/>
      <c r="E103" s="3"/>
      <c r="F103" s="3"/>
      <c r="G103" s="3"/>
      <c r="H103" s="3"/>
      <c r="I103" s="3"/>
      <c r="J103" s="3"/>
      <c r="K103" s="3"/>
      <c r="L103" s="118"/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117"/>
      <c r="B104" s="3"/>
      <c r="C104" s="2"/>
      <c r="D104" s="3"/>
      <c r="E104" s="15">
        <f t="shared" ref="E104:F104" si="18">SUM(E78:E102)</f>
        <v>336300</v>
      </c>
      <c r="F104" s="15">
        <f t="shared" si="18"/>
        <v>374341.5</v>
      </c>
      <c r="G104" s="3"/>
      <c r="H104" s="3"/>
      <c r="I104" s="3"/>
      <c r="J104" s="3"/>
      <c r="K104" s="15">
        <f>SUM(K78:K102)</f>
        <v>115003.5345</v>
      </c>
      <c r="L104" s="116">
        <f>IFERROR(K104/E104, 0)</f>
        <v>0.3419670965</v>
      </c>
      <c r="M104" s="1"/>
      <c r="N104" s="3"/>
      <c r="O104" s="2"/>
      <c r="P104" s="3"/>
      <c r="Q104" s="3"/>
      <c r="R104" s="9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83"/>
      <c r="B105" s="84"/>
      <c r="C105" s="85"/>
      <c r="D105" s="22"/>
      <c r="E105" s="15"/>
      <c r="F105" s="16"/>
      <c r="G105" s="25"/>
      <c r="H105" s="37"/>
      <c r="I105" s="87"/>
      <c r="J105" s="16"/>
      <c r="K105" s="16"/>
      <c r="L105" s="110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 t="s">
        <v>314</v>
      </c>
      <c r="E107" s="86" t="s">
        <v>74</v>
      </c>
      <c r="F107" s="82">
        <v>46077.0</v>
      </c>
      <c r="G107" s="6"/>
      <c r="H107" s="3"/>
      <c r="I107" s="8" t="s">
        <v>3</v>
      </c>
      <c r="L107" s="4"/>
      <c r="M107" s="2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1"/>
      <c r="B108" s="3"/>
      <c r="C108" s="9"/>
      <c r="D108" s="3"/>
      <c r="E108" s="3"/>
      <c r="F108" s="3"/>
      <c r="G108" s="3"/>
      <c r="H108" s="3"/>
      <c r="I108" s="3"/>
      <c r="J108" s="3"/>
      <c r="K108" s="3"/>
      <c r="L108" s="4"/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5" t="s">
        <v>4</v>
      </c>
      <c r="B109" s="10" t="s">
        <v>5</v>
      </c>
      <c r="C109" s="96" t="s">
        <v>6</v>
      </c>
      <c r="D109" s="10" t="s">
        <v>7</v>
      </c>
      <c r="E109" s="10" t="s">
        <v>8</v>
      </c>
      <c r="F109" s="10" t="s">
        <v>9</v>
      </c>
      <c r="G109" s="101"/>
      <c r="H109" s="101"/>
      <c r="I109" s="10" t="s">
        <v>260</v>
      </c>
      <c r="J109" s="10" t="s">
        <v>8</v>
      </c>
      <c r="K109" s="10" t="s">
        <v>10</v>
      </c>
      <c r="L109" s="102"/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>
      <c r="A110" s="83">
        <v>5.0</v>
      </c>
      <c r="B110" s="84" t="s">
        <v>33</v>
      </c>
      <c r="C110" s="85" t="s">
        <v>279</v>
      </c>
      <c r="D110" s="22">
        <v>4000.0</v>
      </c>
      <c r="E110" s="15">
        <f t="shared" ref="E110:E140" si="19">A110*D110</f>
        <v>20000</v>
      </c>
      <c r="F110" s="15">
        <f t="shared" ref="F110:F140" si="20">E110*1.105</f>
        <v>22100</v>
      </c>
      <c r="G110" s="101"/>
      <c r="H110" s="101"/>
      <c r="I110" s="22">
        <f>25000/8</f>
        <v>3125</v>
      </c>
      <c r="J110" s="15">
        <f t="shared" ref="J110:J140" si="21">I110*A110</f>
        <v>15625</v>
      </c>
      <c r="K110" s="15">
        <f t="shared" ref="K110:K140" si="22">F110-J110</f>
        <v>6475</v>
      </c>
      <c r="L110" s="110">
        <f t="shared" ref="L110:L140" si="23">IFERROR(K110/E110, 0)</f>
        <v>0.32375</v>
      </c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83">
        <v>1.0</v>
      </c>
      <c r="B111" s="84" t="s">
        <v>33</v>
      </c>
      <c r="C111" s="85" t="s">
        <v>23</v>
      </c>
      <c r="D111" s="22">
        <v>1400.0</v>
      </c>
      <c r="E111" s="15">
        <f t="shared" si="19"/>
        <v>1400</v>
      </c>
      <c r="F111" s="15">
        <f t="shared" si="20"/>
        <v>1547</v>
      </c>
      <c r="G111" s="101"/>
      <c r="H111" s="101"/>
      <c r="I111" s="87">
        <v>1000.0</v>
      </c>
      <c r="J111" s="15">
        <f t="shared" si="21"/>
        <v>1000</v>
      </c>
      <c r="K111" s="15">
        <f t="shared" si="22"/>
        <v>547</v>
      </c>
      <c r="L111" s="110">
        <f t="shared" si="23"/>
        <v>0.3907142857</v>
      </c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83">
        <v>1.0</v>
      </c>
      <c r="B112" s="84" t="s">
        <v>38</v>
      </c>
      <c r="C112" s="85" t="s">
        <v>45</v>
      </c>
      <c r="D112" s="22">
        <v>13000.0</v>
      </c>
      <c r="E112" s="15">
        <f t="shared" si="19"/>
        <v>13000</v>
      </c>
      <c r="F112" s="15">
        <f t="shared" si="20"/>
        <v>14365</v>
      </c>
      <c r="G112" s="101"/>
      <c r="H112" s="101"/>
      <c r="I112" s="22">
        <v>8000.0</v>
      </c>
      <c r="J112" s="15">
        <f t="shared" si="21"/>
        <v>8000</v>
      </c>
      <c r="K112" s="15">
        <f t="shared" si="22"/>
        <v>6365</v>
      </c>
      <c r="L112" s="110">
        <f t="shared" si="23"/>
        <v>0.4896153846</v>
      </c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83">
        <v>5.0</v>
      </c>
      <c r="B113" s="84" t="s">
        <v>38</v>
      </c>
      <c r="C113" s="85" t="s">
        <v>179</v>
      </c>
      <c r="D113" s="22">
        <v>21000.0</v>
      </c>
      <c r="E113" s="15">
        <f t="shared" si="19"/>
        <v>105000</v>
      </c>
      <c r="F113" s="15">
        <f t="shared" si="20"/>
        <v>116025</v>
      </c>
      <c r="G113" s="101"/>
      <c r="H113" s="101"/>
      <c r="I113" s="22">
        <v>18000.0</v>
      </c>
      <c r="J113" s="15">
        <f t="shared" si="21"/>
        <v>90000</v>
      </c>
      <c r="K113" s="15">
        <f t="shared" si="22"/>
        <v>26025</v>
      </c>
      <c r="L113" s="110">
        <f t="shared" si="23"/>
        <v>0.2478571429</v>
      </c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83">
        <v>4.0</v>
      </c>
      <c r="B114" s="84" t="s">
        <v>33</v>
      </c>
      <c r="C114" s="93" t="s">
        <v>192</v>
      </c>
      <c r="D114" s="22">
        <v>1000.0</v>
      </c>
      <c r="E114" s="15">
        <f t="shared" si="19"/>
        <v>4000</v>
      </c>
      <c r="F114" s="15">
        <f t="shared" si="20"/>
        <v>4420</v>
      </c>
      <c r="G114" s="101"/>
      <c r="H114" s="101"/>
      <c r="I114" s="22">
        <f>11000/15</f>
        <v>733.3333333</v>
      </c>
      <c r="J114" s="15">
        <f t="shared" si="21"/>
        <v>2933.333333</v>
      </c>
      <c r="K114" s="15">
        <f t="shared" si="22"/>
        <v>1486.666667</v>
      </c>
      <c r="L114" s="110">
        <f t="shared" si="23"/>
        <v>0.3716666667</v>
      </c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83">
        <v>2.0</v>
      </c>
      <c r="B115" s="84" t="s">
        <v>33</v>
      </c>
      <c r="C115" s="85" t="s">
        <v>180</v>
      </c>
      <c r="D115" s="22">
        <v>1600.0</v>
      </c>
      <c r="E115" s="15">
        <f t="shared" si="19"/>
        <v>3200</v>
      </c>
      <c r="F115" s="15">
        <f t="shared" si="20"/>
        <v>3536</v>
      </c>
      <c r="G115" s="101"/>
      <c r="H115" s="101"/>
      <c r="I115" s="22">
        <v>1000.0</v>
      </c>
      <c r="J115" s="15">
        <f t="shared" si="21"/>
        <v>2000</v>
      </c>
      <c r="K115" s="15">
        <f t="shared" si="22"/>
        <v>1536</v>
      </c>
      <c r="L115" s="110">
        <f t="shared" si="23"/>
        <v>0.48</v>
      </c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83">
        <v>2.0</v>
      </c>
      <c r="B116" s="84" t="s">
        <v>38</v>
      </c>
      <c r="C116" s="85" t="s">
        <v>96</v>
      </c>
      <c r="D116" s="22">
        <v>13000.0</v>
      </c>
      <c r="E116" s="15">
        <f t="shared" si="19"/>
        <v>26000</v>
      </c>
      <c r="F116" s="15">
        <f t="shared" si="20"/>
        <v>28730</v>
      </c>
      <c r="G116" s="101"/>
      <c r="H116" s="113"/>
      <c r="I116" s="22">
        <v>8000.0</v>
      </c>
      <c r="J116" s="15">
        <f t="shared" si="21"/>
        <v>16000</v>
      </c>
      <c r="K116" s="15">
        <f t="shared" si="22"/>
        <v>12730</v>
      </c>
      <c r="L116" s="110">
        <f t="shared" si="23"/>
        <v>0.4896153846</v>
      </c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>
        <v>2.5</v>
      </c>
      <c r="B117" s="84" t="s">
        <v>33</v>
      </c>
      <c r="C117" s="85" t="s">
        <v>22</v>
      </c>
      <c r="D117" s="22">
        <v>1000.0</v>
      </c>
      <c r="E117" s="15">
        <f t="shared" si="19"/>
        <v>2500</v>
      </c>
      <c r="F117" s="15">
        <f t="shared" si="20"/>
        <v>2762.5</v>
      </c>
      <c r="G117" s="101"/>
      <c r="H117" s="101"/>
      <c r="I117" s="22">
        <f>10000/14</f>
        <v>714.2857143</v>
      </c>
      <c r="J117" s="15">
        <f t="shared" si="21"/>
        <v>1785.714286</v>
      </c>
      <c r="K117" s="15">
        <f t="shared" si="22"/>
        <v>976.7857143</v>
      </c>
      <c r="L117" s="110">
        <f t="shared" si="23"/>
        <v>0.3907142857</v>
      </c>
      <c r="M117" s="1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83">
        <v>4.0</v>
      </c>
      <c r="B118" s="84" t="s">
        <v>33</v>
      </c>
      <c r="C118" s="85" t="s">
        <v>174</v>
      </c>
      <c r="D118" s="22">
        <v>1600.0</v>
      </c>
      <c r="E118" s="15">
        <f t="shared" si="19"/>
        <v>6400</v>
      </c>
      <c r="F118" s="15">
        <f t="shared" si="20"/>
        <v>7072</v>
      </c>
      <c r="G118" s="101"/>
      <c r="H118" s="101"/>
      <c r="I118" s="22">
        <f>18000/17</f>
        <v>1058.823529</v>
      </c>
      <c r="J118" s="15">
        <f t="shared" si="21"/>
        <v>4235.294118</v>
      </c>
      <c r="K118" s="15">
        <f t="shared" si="22"/>
        <v>2836.705882</v>
      </c>
      <c r="L118" s="110">
        <f t="shared" si="23"/>
        <v>0.4432352941</v>
      </c>
      <c r="M118" s="1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3.0</v>
      </c>
      <c r="B119" s="84" t="s">
        <v>33</v>
      </c>
      <c r="C119" s="85" t="s">
        <v>67</v>
      </c>
      <c r="D119" s="22">
        <v>800.0</v>
      </c>
      <c r="E119" s="15">
        <f t="shared" si="19"/>
        <v>2400</v>
      </c>
      <c r="F119" s="15">
        <f t="shared" si="20"/>
        <v>2652</v>
      </c>
      <c r="G119" s="101"/>
      <c r="H119" s="101"/>
      <c r="I119" s="22">
        <f>8000/17</f>
        <v>470.5882353</v>
      </c>
      <c r="J119" s="15">
        <f t="shared" si="21"/>
        <v>1411.764706</v>
      </c>
      <c r="K119" s="15">
        <f t="shared" si="22"/>
        <v>1240.235294</v>
      </c>
      <c r="L119" s="110">
        <f t="shared" si="23"/>
        <v>0.5167647059</v>
      </c>
      <c r="M119" s="1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83">
        <v>12.0</v>
      </c>
      <c r="B120" s="84" t="s">
        <v>33</v>
      </c>
      <c r="C120" s="85" t="s">
        <v>64</v>
      </c>
      <c r="D120" s="22">
        <v>2300.0</v>
      </c>
      <c r="E120" s="15">
        <f t="shared" si="19"/>
        <v>27600</v>
      </c>
      <c r="F120" s="15">
        <f t="shared" si="20"/>
        <v>30498</v>
      </c>
      <c r="G120" s="101"/>
      <c r="H120" s="101"/>
      <c r="I120" s="22">
        <f>20000/15</f>
        <v>1333.333333</v>
      </c>
      <c r="J120" s="15">
        <f t="shared" si="21"/>
        <v>16000</v>
      </c>
      <c r="K120" s="15">
        <f t="shared" si="22"/>
        <v>14498</v>
      </c>
      <c r="L120" s="110">
        <f t="shared" si="23"/>
        <v>0.5252898551</v>
      </c>
      <c r="M120" s="1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83">
        <v>2.05</v>
      </c>
      <c r="B121" s="84" t="s">
        <v>33</v>
      </c>
      <c r="C121" s="85" t="s">
        <v>98</v>
      </c>
      <c r="D121" s="22">
        <v>1800.0</v>
      </c>
      <c r="E121" s="15">
        <f t="shared" si="19"/>
        <v>3690</v>
      </c>
      <c r="F121" s="15">
        <f t="shared" si="20"/>
        <v>4077.45</v>
      </c>
      <c r="G121" s="101"/>
      <c r="H121" s="101"/>
      <c r="I121" s="22">
        <v>1000.0</v>
      </c>
      <c r="J121" s="15">
        <f t="shared" si="21"/>
        <v>2050</v>
      </c>
      <c r="K121" s="15">
        <f t="shared" si="22"/>
        <v>2027.45</v>
      </c>
      <c r="L121" s="110">
        <f t="shared" si="23"/>
        <v>0.5494444444</v>
      </c>
      <c r="M121" s="1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83">
        <v>2.9</v>
      </c>
      <c r="B122" s="84" t="s">
        <v>33</v>
      </c>
      <c r="C122" s="85" t="s">
        <v>99</v>
      </c>
      <c r="D122" s="22">
        <v>1800.0</v>
      </c>
      <c r="E122" s="15">
        <f t="shared" si="19"/>
        <v>5220</v>
      </c>
      <c r="F122" s="15">
        <f t="shared" si="20"/>
        <v>5768.1</v>
      </c>
      <c r="G122" s="101"/>
      <c r="H122" s="101"/>
      <c r="I122" s="22">
        <v>1000.0</v>
      </c>
      <c r="J122" s="15">
        <f t="shared" si="21"/>
        <v>2900</v>
      </c>
      <c r="K122" s="15">
        <f t="shared" si="22"/>
        <v>2868.1</v>
      </c>
      <c r="L122" s="110">
        <f t="shared" si="23"/>
        <v>0.5494444444</v>
      </c>
      <c r="M122" s="1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83">
        <v>2.0</v>
      </c>
      <c r="B123" s="84" t="s">
        <v>5</v>
      </c>
      <c r="C123" s="85" t="s">
        <v>176</v>
      </c>
      <c r="D123" s="22">
        <v>900.0</v>
      </c>
      <c r="E123" s="15">
        <f t="shared" si="19"/>
        <v>1800</v>
      </c>
      <c r="F123" s="15">
        <f t="shared" si="20"/>
        <v>1989</v>
      </c>
      <c r="G123" s="101"/>
      <c r="H123" s="101"/>
      <c r="I123" s="87">
        <v>460.0</v>
      </c>
      <c r="J123" s="15">
        <f t="shared" si="21"/>
        <v>920</v>
      </c>
      <c r="K123" s="15">
        <f t="shared" si="22"/>
        <v>1069</v>
      </c>
      <c r="L123" s="110">
        <f t="shared" si="23"/>
        <v>0.5938888889</v>
      </c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83">
        <v>3.0</v>
      </c>
      <c r="B124" s="84" t="s">
        <v>5</v>
      </c>
      <c r="C124" s="85" t="s">
        <v>95</v>
      </c>
      <c r="D124" s="22">
        <v>2500.0</v>
      </c>
      <c r="E124" s="15">
        <f t="shared" si="19"/>
        <v>7500</v>
      </c>
      <c r="F124" s="15">
        <f t="shared" si="20"/>
        <v>8287.5</v>
      </c>
      <c r="G124" s="101"/>
      <c r="H124" s="113"/>
      <c r="I124" s="22">
        <f>12000/8</f>
        <v>1500</v>
      </c>
      <c r="J124" s="15">
        <f t="shared" si="21"/>
        <v>4500</v>
      </c>
      <c r="K124" s="15">
        <f t="shared" si="22"/>
        <v>3787.5</v>
      </c>
      <c r="L124" s="110">
        <f t="shared" si="23"/>
        <v>0.505</v>
      </c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3">
        <v>1.0</v>
      </c>
      <c r="B125" s="84" t="s">
        <v>33</v>
      </c>
      <c r="C125" s="85" t="s">
        <v>26</v>
      </c>
      <c r="D125" s="22">
        <v>4000.0</v>
      </c>
      <c r="E125" s="15">
        <f t="shared" si="19"/>
        <v>4000</v>
      </c>
      <c r="F125" s="15">
        <f t="shared" si="20"/>
        <v>4420</v>
      </c>
      <c r="G125" s="101"/>
      <c r="H125" s="101"/>
      <c r="I125" s="22">
        <f>22000/7</f>
        <v>3142.857143</v>
      </c>
      <c r="J125" s="15">
        <f t="shared" si="21"/>
        <v>3142.857143</v>
      </c>
      <c r="K125" s="15">
        <f t="shared" si="22"/>
        <v>1277.142857</v>
      </c>
      <c r="L125" s="110">
        <f t="shared" si="23"/>
        <v>0.3192857143</v>
      </c>
      <c r="M125" s="1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3">
        <v>4.0</v>
      </c>
      <c r="B126" s="84" t="s">
        <v>33</v>
      </c>
      <c r="C126" s="85" t="s">
        <v>24</v>
      </c>
      <c r="D126" s="22">
        <v>4000.0</v>
      </c>
      <c r="E126" s="15">
        <f t="shared" si="19"/>
        <v>16000</v>
      </c>
      <c r="F126" s="15">
        <f t="shared" si="20"/>
        <v>17680</v>
      </c>
      <c r="G126" s="101"/>
      <c r="H126" s="113"/>
      <c r="I126" s="22">
        <f>20000/7</f>
        <v>2857.142857</v>
      </c>
      <c r="J126" s="15">
        <f t="shared" si="21"/>
        <v>11428.57143</v>
      </c>
      <c r="K126" s="15">
        <f t="shared" si="22"/>
        <v>6251.428571</v>
      </c>
      <c r="L126" s="110">
        <f t="shared" si="23"/>
        <v>0.3907142857</v>
      </c>
      <c r="M126" s="1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>
        <v>1.0</v>
      </c>
      <c r="B127" s="84" t="s">
        <v>33</v>
      </c>
      <c r="C127" s="85" t="s">
        <v>25</v>
      </c>
      <c r="D127" s="22">
        <v>3100.0</v>
      </c>
      <c r="E127" s="15">
        <f t="shared" si="19"/>
        <v>3100</v>
      </c>
      <c r="F127" s="15">
        <f t="shared" si="20"/>
        <v>3425.5</v>
      </c>
      <c r="G127" s="101"/>
      <c r="H127" s="101"/>
      <c r="I127" s="22">
        <f>12000/7</f>
        <v>1714.285714</v>
      </c>
      <c r="J127" s="15">
        <f t="shared" si="21"/>
        <v>1714.285714</v>
      </c>
      <c r="K127" s="15">
        <f t="shared" si="22"/>
        <v>1711.214286</v>
      </c>
      <c r="L127" s="110">
        <f t="shared" si="23"/>
        <v>0.5520046083</v>
      </c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>
        <v>1.2</v>
      </c>
      <c r="B128" s="84" t="s">
        <v>33</v>
      </c>
      <c r="C128" s="85" t="s">
        <v>20</v>
      </c>
      <c r="D128" s="22">
        <v>3500.0</v>
      </c>
      <c r="E128" s="15">
        <f t="shared" si="19"/>
        <v>4200</v>
      </c>
      <c r="F128" s="15">
        <f t="shared" si="20"/>
        <v>4641</v>
      </c>
      <c r="G128" s="101"/>
      <c r="H128" s="101"/>
      <c r="I128" s="87">
        <f>18000/8</f>
        <v>2250</v>
      </c>
      <c r="J128" s="15">
        <f t="shared" si="21"/>
        <v>2700</v>
      </c>
      <c r="K128" s="15">
        <f t="shared" si="22"/>
        <v>1941</v>
      </c>
      <c r="L128" s="110">
        <f t="shared" si="23"/>
        <v>0.4621428571</v>
      </c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83">
        <v>8.0</v>
      </c>
      <c r="B129" s="84" t="s">
        <v>50</v>
      </c>
      <c r="C129" s="85" t="s">
        <v>103</v>
      </c>
      <c r="D129" s="22">
        <v>1600.0</v>
      </c>
      <c r="E129" s="15">
        <f t="shared" si="19"/>
        <v>12800</v>
      </c>
      <c r="F129" s="15">
        <f t="shared" si="20"/>
        <v>14144</v>
      </c>
      <c r="G129" s="101"/>
      <c r="H129" s="101"/>
      <c r="I129" s="22">
        <v>800.0</v>
      </c>
      <c r="J129" s="15">
        <f t="shared" si="21"/>
        <v>6400</v>
      </c>
      <c r="K129" s="15">
        <f t="shared" si="22"/>
        <v>7744</v>
      </c>
      <c r="L129" s="110">
        <f t="shared" si="23"/>
        <v>0.605</v>
      </c>
      <c r="M129" s="1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83">
        <v>2.0</v>
      </c>
      <c r="B130" s="84" t="s">
        <v>50</v>
      </c>
      <c r="C130" s="85" t="s">
        <v>308</v>
      </c>
      <c r="D130" s="22">
        <v>2000.0</v>
      </c>
      <c r="E130" s="15">
        <f t="shared" si="19"/>
        <v>4000</v>
      </c>
      <c r="F130" s="15">
        <f t="shared" si="20"/>
        <v>4420</v>
      </c>
      <c r="G130" s="101"/>
      <c r="H130" s="101"/>
      <c r="I130" s="22">
        <v>1000.0</v>
      </c>
      <c r="J130" s="15">
        <f t="shared" si="21"/>
        <v>2000</v>
      </c>
      <c r="K130" s="15">
        <f t="shared" si="22"/>
        <v>2420</v>
      </c>
      <c r="L130" s="110">
        <f t="shared" si="23"/>
        <v>0.605</v>
      </c>
      <c r="M130" s="1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83">
        <v>0.5</v>
      </c>
      <c r="B131" s="84" t="s">
        <v>33</v>
      </c>
      <c r="C131" s="85" t="s">
        <v>233</v>
      </c>
      <c r="D131" s="22">
        <v>2800.0</v>
      </c>
      <c r="E131" s="15">
        <f t="shared" si="19"/>
        <v>1400</v>
      </c>
      <c r="F131" s="15">
        <f t="shared" si="20"/>
        <v>1547</v>
      </c>
      <c r="G131" s="101"/>
      <c r="H131" s="101"/>
      <c r="I131" s="22">
        <f>10000/6</f>
        <v>1666.666667</v>
      </c>
      <c r="J131" s="15">
        <f t="shared" si="21"/>
        <v>833.3333333</v>
      </c>
      <c r="K131" s="15">
        <f t="shared" si="22"/>
        <v>713.6666667</v>
      </c>
      <c r="L131" s="110">
        <f t="shared" si="23"/>
        <v>0.5097619048</v>
      </c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83">
        <v>5.0</v>
      </c>
      <c r="B132" s="84" t="s">
        <v>50</v>
      </c>
      <c r="C132" s="85" t="s">
        <v>65</v>
      </c>
      <c r="D132" s="22">
        <v>500.0</v>
      </c>
      <c r="E132" s="15">
        <f t="shared" si="19"/>
        <v>2500</v>
      </c>
      <c r="F132" s="15">
        <f t="shared" si="20"/>
        <v>2762.5</v>
      </c>
      <c r="G132" s="101"/>
      <c r="H132" s="113"/>
      <c r="I132" s="22">
        <v>216.0</v>
      </c>
      <c r="J132" s="15">
        <f t="shared" si="21"/>
        <v>1080</v>
      </c>
      <c r="K132" s="15">
        <f t="shared" si="22"/>
        <v>1682.5</v>
      </c>
      <c r="L132" s="110">
        <f t="shared" si="23"/>
        <v>0.673</v>
      </c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83">
        <v>1.0</v>
      </c>
      <c r="B133" s="84" t="s">
        <v>50</v>
      </c>
      <c r="C133" s="85" t="s">
        <v>171</v>
      </c>
      <c r="D133" s="22">
        <v>3000.0</v>
      </c>
      <c r="E133" s="15">
        <f t="shared" si="19"/>
        <v>3000</v>
      </c>
      <c r="F133" s="15">
        <f t="shared" si="20"/>
        <v>3315</v>
      </c>
      <c r="G133" s="101"/>
      <c r="H133" s="113"/>
      <c r="I133" s="22">
        <v>666.0</v>
      </c>
      <c r="J133" s="15">
        <f t="shared" si="21"/>
        <v>666</v>
      </c>
      <c r="K133" s="15">
        <f t="shared" si="22"/>
        <v>2649</v>
      </c>
      <c r="L133" s="110">
        <f t="shared" si="23"/>
        <v>0.883</v>
      </c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83">
        <v>0.5</v>
      </c>
      <c r="B134" s="84" t="s">
        <v>50</v>
      </c>
      <c r="C134" s="85" t="s">
        <v>68</v>
      </c>
      <c r="D134" s="22">
        <v>4000.0</v>
      </c>
      <c r="E134" s="15">
        <f t="shared" si="19"/>
        <v>2000</v>
      </c>
      <c r="F134" s="15">
        <f t="shared" si="20"/>
        <v>2210</v>
      </c>
      <c r="G134" s="101"/>
      <c r="H134" s="113"/>
      <c r="I134" s="22">
        <v>2000.0</v>
      </c>
      <c r="J134" s="15">
        <f t="shared" si="21"/>
        <v>1000</v>
      </c>
      <c r="K134" s="15">
        <f t="shared" si="22"/>
        <v>1210</v>
      </c>
      <c r="L134" s="110">
        <f t="shared" si="23"/>
        <v>0.605</v>
      </c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83">
        <v>0.5</v>
      </c>
      <c r="B135" s="84" t="s">
        <v>50</v>
      </c>
      <c r="C135" s="85" t="s">
        <v>236</v>
      </c>
      <c r="D135" s="22">
        <v>5000.0</v>
      </c>
      <c r="E135" s="15">
        <f t="shared" si="19"/>
        <v>2500</v>
      </c>
      <c r="F135" s="15">
        <f t="shared" si="20"/>
        <v>2762.5</v>
      </c>
      <c r="G135" s="101"/>
      <c r="H135" s="113"/>
      <c r="I135" s="22">
        <v>3400.0</v>
      </c>
      <c r="J135" s="15">
        <f t="shared" si="21"/>
        <v>1700</v>
      </c>
      <c r="K135" s="15">
        <f t="shared" si="22"/>
        <v>1062.5</v>
      </c>
      <c r="L135" s="110">
        <f t="shared" si="23"/>
        <v>0.425</v>
      </c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83">
        <v>1.0</v>
      </c>
      <c r="B136" s="84" t="s">
        <v>33</v>
      </c>
      <c r="C136" s="85" t="s">
        <v>89</v>
      </c>
      <c r="D136" s="22">
        <v>6000.0</v>
      </c>
      <c r="E136" s="15">
        <f t="shared" si="19"/>
        <v>6000</v>
      </c>
      <c r="F136" s="15">
        <f t="shared" si="20"/>
        <v>6630</v>
      </c>
      <c r="G136" s="101"/>
      <c r="H136" s="113"/>
      <c r="I136" s="22">
        <v>4000.0</v>
      </c>
      <c r="J136" s="15">
        <f t="shared" si="21"/>
        <v>4000</v>
      </c>
      <c r="K136" s="15">
        <f t="shared" si="22"/>
        <v>2630</v>
      </c>
      <c r="L136" s="110">
        <f t="shared" si="23"/>
        <v>0.4383333333</v>
      </c>
      <c r="M136" s="1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83">
        <v>1.5</v>
      </c>
      <c r="B137" s="84" t="s">
        <v>18</v>
      </c>
      <c r="C137" s="85" t="s">
        <v>356</v>
      </c>
      <c r="D137" s="22">
        <v>24000.0</v>
      </c>
      <c r="E137" s="15">
        <f t="shared" si="19"/>
        <v>36000</v>
      </c>
      <c r="F137" s="15">
        <f t="shared" si="20"/>
        <v>39780</v>
      </c>
      <c r="G137" s="101"/>
      <c r="H137" s="113"/>
      <c r="I137" s="22">
        <v>20000.0</v>
      </c>
      <c r="J137" s="15">
        <f t="shared" si="21"/>
        <v>30000</v>
      </c>
      <c r="K137" s="15">
        <f t="shared" si="22"/>
        <v>9780</v>
      </c>
      <c r="L137" s="110">
        <f t="shared" si="23"/>
        <v>0.2716666667</v>
      </c>
      <c r="M137" s="1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83">
        <v>5.0</v>
      </c>
      <c r="B138" s="84" t="s">
        <v>33</v>
      </c>
      <c r="C138" s="85" t="s">
        <v>119</v>
      </c>
      <c r="D138" s="22">
        <v>3800.0</v>
      </c>
      <c r="E138" s="15">
        <f t="shared" si="19"/>
        <v>19000</v>
      </c>
      <c r="F138" s="15">
        <f t="shared" si="20"/>
        <v>20995</v>
      </c>
      <c r="G138" s="101"/>
      <c r="H138" s="113"/>
      <c r="I138" s="22">
        <f>42000/14</f>
        <v>3000</v>
      </c>
      <c r="J138" s="15">
        <f t="shared" si="21"/>
        <v>15000</v>
      </c>
      <c r="K138" s="15">
        <f t="shared" si="22"/>
        <v>5995</v>
      </c>
      <c r="L138" s="110">
        <f t="shared" si="23"/>
        <v>0.3155263158</v>
      </c>
      <c r="M138" s="1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83">
        <v>0.15</v>
      </c>
      <c r="B139" s="84" t="s">
        <v>33</v>
      </c>
      <c r="C139" s="85" t="s">
        <v>72</v>
      </c>
      <c r="D139" s="22">
        <v>2600.0</v>
      </c>
      <c r="E139" s="15">
        <f t="shared" si="19"/>
        <v>390</v>
      </c>
      <c r="F139" s="15">
        <f t="shared" si="20"/>
        <v>430.95</v>
      </c>
      <c r="G139" s="101"/>
      <c r="H139" s="113"/>
      <c r="I139" s="22">
        <f>27000/15</f>
        <v>1800</v>
      </c>
      <c r="J139" s="15">
        <f t="shared" si="21"/>
        <v>270</v>
      </c>
      <c r="K139" s="15">
        <f t="shared" si="22"/>
        <v>160.95</v>
      </c>
      <c r="L139" s="110">
        <f t="shared" si="23"/>
        <v>0.4126923077</v>
      </c>
      <c r="M139" s="1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83">
        <v>3.0</v>
      </c>
      <c r="B140" s="84" t="s">
        <v>5</v>
      </c>
      <c r="C140" s="85" t="s">
        <v>87</v>
      </c>
      <c r="D140" s="22">
        <v>1300.0</v>
      </c>
      <c r="E140" s="15">
        <f t="shared" si="19"/>
        <v>3900</v>
      </c>
      <c r="F140" s="15">
        <f t="shared" si="20"/>
        <v>4309.5</v>
      </c>
      <c r="G140" s="101"/>
      <c r="H140" s="113"/>
      <c r="I140" s="22">
        <f>62000/80</f>
        <v>775</v>
      </c>
      <c r="J140" s="15">
        <f t="shared" si="21"/>
        <v>2325</v>
      </c>
      <c r="K140" s="15">
        <f t="shared" si="22"/>
        <v>1984.5</v>
      </c>
      <c r="L140" s="110">
        <f t="shared" si="23"/>
        <v>0.5088461538</v>
      </c>
      <c r="M140" s="1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103"/>
      <c r="B141" s="101"/>
      <c r="C141" s="104"/>
      <c r="D141" s="101"/>
      <c r="E141" s="101"/>
      <c r="F141" s="101"/>
      <c r="G141" s="101"/>
      <c r="H141" s="101"/>
      <c r="I141" s="101"/>
      <c r="J141" s="101"/>
      <c r="K141" s="101"/>
      <c r="L141" s="105"/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103"/>
      <c r="B142" s="101"/>
      <c r="C142" s="104"/>
      <c r="D142" s="101"/>
      <c r="E142" s="15">
        <f t="shared" ref="E142:F142" si="24">SUM(E110:E140)</f>
        <v>350500</v>
      </c>
      <c r="F142" s="15">
        <f t="shared" si="24"/>
        <v>387302.5</v>
      </c>
      <c r="G142" s="101"/>
      <c r="H142" s="101"/>
      <c r="I142" s="101"/>
      <c r="J142" s="101"/>
      <c r="K142" s="15">
        <f>SUM(K110:K140)</f>
        <v>133681.3459</v>
      </c>
      <c r="L142" s="110">
        <f>IFERROR(K142/E142, 0)</f>
        <v>0.3814018429</v>
      </c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5"/>
      <c r="C144" s="5"/>
      <c r="E144" s="86"/>
      <c r="F144" s="82"/>
      <c r="G144" s="6"/>
      <c r="H144" s="3"/>
      <c r="I144" s="8"/>
      <c r="J144" s="8"/>
      <c r="K144" s="8"/>
      <c r="L144" s="4"/>
      <c r="M144" s="2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5" t="s">
        <v>234</v>
      </c>
      <c r="E145" s="86" t="s">
        <v>285</v>
      </c>
      <c r="F145" s="82">
        <v>46077.0</v>
      </c>
      <c r="G145" s="6"/>
      <c r="H145" s="3"/>
      <c r="I145" s="8" t="s">
        <v>3</v>
      </c>
      <c r="L145" s="4"/>
      <c r="M145" s="2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>
      <c r="A146" s="1"/>
      <c r="B146" s="3"/>
      <c r="C146" s="9"/>
      <c r="D146" s="3"/>
      <c r="E146" s="3"/>
      <c r="F146" s="3"/>
      <c r="G146" s="3"/>
      <c r="H146" s="3"/>
      <c r="I146" s="3"/>
      <c r="J146" s="3"/>
      <c r="K146" s="3"/>
      <c r="L146" s="4"/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5" t="s">
        <v>4</v>
      </c>
      <c r="B147" s="10" t="s">
        <v>5</v>
      </c>
      <c r="C147" s="96" t="s">
        <v>6</v>
      </c>
      <c r="D147" s="10" t="s">
        <v>7</v>
      </c>
      <c r="E147" s="10" t="s">
        <v>8</v>
      </c>
      <c r="F147" s="10" t="s">
        <v>9</v>
      </c>
      <c r="G147" s="101"/>
      <c r="H147" s="101"/>
      <c r="I147" s="10" t="s">
        <v>260</v>
      </c>
      <c r="J147" s="10" t="s">
        <v>8</v>
      </c>
      <c r="K147" s="10" t="s">
        <v>10</v>
      </c>
      <c r="L147" s="102"/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83">
        <v>3.0</v>
      </c>
      <c r="B148" s="84" t="s">
        <v>5</v>
      </c>
      <c r="C148" s="85" t="s">
        <v>176</v>
      </c>
      <c r="D148" s="22">
        <v>900.0</v>
      </c>
      <c r="E148" s="15">
        <f t="shared" ref="E148:E176" si="25">A148*D148</f>
        <v>2700</v>
      </c>
      <c r="F148" s="15">
        <f t="shared" ref="F148:F175" si="26">E148*1.105</f>
        <v>2983.5</v>
      </c>
      <c r="G148" s="101"/>
      <c r="H148" s="101"/>
      <c r="I148" s="22">
        <v>460.0</v>
      </c>
      <c r="J148" s="15">
        <f t="shared" ref="J148:J176" si="27">I148*A148</f>
        <v>1380</v>
      </c>
      <c r="K148" s="15">
        <f t="shared" ref="K148:K176" si="28">F148-J148</f>
        <v>1603.5</v>
      </c>
      <c r="L148" s="110">
        <f t="shared" ref="L148:L176" si="29">IFERROR(K148/E148, 0)</f>
        <v>0.5938888889</v>
      </c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>
      <c r="A149" s="83">
        <v>2.0</v>
      </c>
      <c r="B149" s="84" t="s">
        <v>50</v>
      </c>
      <c r="C149" s="85" t="s">
        <v>16</v>
      </c>
      <c r="D149" s="22">
        <v>1000.0</v>
      </c>
      <c r="E149" s="15">
        <f t="shared" si="25"/>
        <v>2000</v>
      </c>
      <c r="F149" s="15">
        <f t="shared" si="26"/>
        <v>2210</v>
      </c>
      <c r="G149" s="101"/>
      <c r="H149" s="101"/>
      <c r="I149" s="87">
        <f>5000/12</f>
        <v>416.6666667</v>
      </c>
      <c r="J149" s="15">
        <f t="shared" si="27"/>
        <v>833.3333333</v>
      </c>
      <c r="K149" s="15">
        <f t="shared" si="28"/>
        <v>1376.666667</v>
      </c>
      <c r="L149" s="110">
        <f t="shared" si="29"/>
        <v>0.6883333333</v>
      </c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>
      <c r="A150" s="83">
        <v>1.0</v>
      </c>
      <c r="B150" s="84" t="s">
        <v>50</v>
      </c>
      <c r="C150" s="85" t="s">
        <v>171</v>
      </c>
      <c r="D150" s="22">
        <v>3000.0</v>
      </c>
      <c r="E150" s="15">
        <f t="shared" si="25"/>
        <v>3000</v>
      </c>
      <c r="F150" s="15">
        <f t="shared" si="26"/>
        <v>3315</v>
      </c>
      <c r="G150" s="101"/>
      <c r="H150" s="101"/>
      <c r="I150" s="22">
        <v>666.0</v>
      </c>
      <c r="J150" s="15">
        <f t="shared" si="27"/>
        <v>666</v>
      </c>
      <c r="K150" s="15">
        <f t="shared" si="28"/>
        <v>2649</v>
      </c>
      <c r="L150" s="110">
        <f t="shared" si="29"/>
        <v>0.883</v>
      </c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>
      <c r="A151" s="83">
        <v>0.5</v>
      </c>
      <c r="B151" s="84" t="s">
        <v>50</v>
      </c>
      <c r="C151" s="85" t="s">
        <v>68</v>
      </c>
      <c r="D151" s="22">
        <v>4000.0</v>
      </c>
      <c r="E151" s="15">
        <f t="shared" si="25"/>
        <v>2000</v>
      </c>
      <c r="F151" s="15">
        <f t="shared" si="26"/>
        <v>2210</v>
      </c>
      <c r="G151" s="101"/>
      <c r="H151" s="101"/>
      <c r="I151" s="22">
        <v>2000.0</v>
      </c>
      <c r="J151" s="15">
        <f t="shared" si="27"/>
        <v>1000</v>
      </c>
      <c r="K151" s="15">
        <f t="shared" si="28"/>
        <v>1210</v>
      </c>
      <c r="L151" s="110">
        <f t="shared" si="29"/>
        <v>0.605</v>
      </c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>
      <c r="A152" s="83">
        <v>15.0</v>
      </c>
      <c r="B152" s="84" t="s">
        <v>33</v>
      </c>
      <c r="C152" s="85" t="s">
        <v>64</v>
      </c>
      <c r="D152" s="22">
        <v>2300.0</v>
      </c>
      <c r="E152" s="15">
        <f t="shared" si="25"/>
        <v>34500</v>
      </c>
      <c r="F152" s="15">
        <f t="shared" si="26"/>
        <v>38122.5</v>
      </c>
      <c r="G152" s="101"/>
      <c r="H152" s="101"/>
      <c r="I152" s="22">
        <f>20000/15</f>
        <v>1333.333333</v>
      </c>
      <c r="J152" s="15">
        <f t="shared" si="27"/>
        <v>20000</v>
      </c>
      <c r="K152" s="15">
        <f t="shared" si="28"/>
        <v>18122.5</v>
      </c>
      <c r="L152" s="110">
        <f t="shared" si="29"/>
        <v>0.5252898551</v>
      </c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>
      <c r="A153" s="83">
        <v>3.5</v>
      </c>
      <c r="B153" s="84" t="s">
        <v>33</v>
      </c>
      <c r="C153" s="85" t="s">
        <v>67</v>
      </c>
      <c r="D153" s="22">
        <v>800.0</v>
      </c>
      <c r="E153" s="15">
        <f t="shared" si="25"/>
        <v>2800</v>
      </c>
      <c r="F153" s="15">
        <f t="shared" si="26"/>
        <v>3094</v>
      </c>
      <c r="G153" s="101"/>
      <c r="H153" s="101"/>
      <c r="I153" s="22">
        <f>8000/17</f>
        <v>470.5882353</v>
      </c>
      <c r="J153" s="15">
        <f t="shared" si="27"/>
        <v>1647.058824</v>
      </c>
      <c r="K153" s="15">
        <f t="shared" si="28"/>
        <v>1446.941176</v>
      </c>
      <c r="L153" s="110">
        <f t="shared" si="29"/>
        <v>0.5167647059</v>
      </c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>
      <c r="A154" s="83">
        <v>4.0</v>
      </c>
      <c r="B154" s="84" t="s">
        <v>33</v>
      </c>
      <c r="C154" s="85" t="s">
        <v>55</v>
      </c>
      <c r="D154" s="22">
        <v>2800.0</v>
      </c>
      <c r="E154" s="15">
        <f t="shared" si="25"/>
        <v>11200</v>
      </c>
      <c r="F154" s="15">
        <f t="shared" si="26"/>
        <v>12376</v>
      </c>
      <c r="G154" s="101"/>
      <c r="H154" s="101"/>
      <c r="I154" s="22">
        <f>39000/18</f>
        <v>2166.666667</v>
      </c>
      <c r="J154" s="15">
        <f t="shared" si="27"/>
        <v>8666.666667</v>
      </c>
      <c r="K154" s="15">
        <f t="shared" si="28"/>
        <v>3709.333333</v>
      </c>
      <c r="L154" s="110">
        <f t="shared" si="29"/>
        <v>0.3311904762</v>
      </c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>
      <c r="A155" s="83">
        <v>3.0</v>
      </c>
      <c r="B155" s="84" t="s">
        <v>33</v>
      </c>
      <c r="C155" s="85" t="s">
        <v>233</v>
      </c>
      <c r="D155" s="22">
        <v>2800.0</v>
      </c>
      <c r="E155" s="15">
        <f t="shared" si="25"/>
        <v>8400</v>
      </c>
      <c r="F155" s="15">
        <f t="shared" si="26"/>
        <v>9282</v>
      </c>
      <c r="G155" s="101"/>
      <c r="H155" s="101"/>
      <c r="I155" s="22">
        <f>10000/6</f>
        <v>1666.666667</v>
      </c>
      <c r="J155" s="15">
        <f t="shared" si="27"/>
        <v>5000</v>
      </c>
      <c r="K155" s="15">
        <f t="shared" si="28"/>
        <v>4282</v>
      </c>
      <c r="L155" s="110">
        <f t="shared" si="29"/>
        <v>0.5097619048</v>
      </c>
      <c r="M155" s="1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>
      <c r="A156" s="83">
        <v>20.0</v>
      </c>
      <c r="B156" s="84" t="s">
        <v>50</v>
      </c>
      <c r="C156" s="85" t="s">
        <v>65</v>
      </c>
      <c r="D156" s="22">
        <v>500.0</v>
      </c>
      <c r="E156" s="15">
        <f t="shared" si="25"/>
        <v>10000</v>
      </c>
      <c r="F156" s="15">
        <f t="shared" si="26"/>
        <v>11050</v>
      </c>
      <c r="G156" s="101"/>
      <c r="H156" s="101"/>
      <c r="I156" s="22">
        <v>216.0</v>
      </c>
      <c r="J156" s="15">
        <f t="shared" si="27"/>
        <v>4320</v>
      </c>
      <c r="K156" s="15">
        <f t="shared" si="28"/>
        <v>6730</v>
      </c>
      <c r="L156" s="110">
        <f t="shared" si="29"/>
        <v>0.673</v>
      </c>
      <c r="M156" s="1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>
      <c r="A157" s="83">
        <v>1.0</v>
      </c>
      <c r="B157" s="84" t="s">
        <v>38</v>
      </c>
      <c r="C157" s="85" t="s">
        <v>45</v>
      </c>
      <c r="D157" s="22">
        <v>13000.0</v>
      </c>
      <c r="E157" s="15">
        <f t="shared" si="25"/>
        <v>13000</v>
      </c>
      <c r="F157" s="15">
        <f t="shared" si="26"/>
        <v>14365</v>
      </c>
      <c r="G157" s="101"/>
      <c r="H157" s="101"/>
      <c r="I157" s="22">
        <v>8000.0</v>
      </c>
      <c r="J157" s="15">
        <f t="shared" si="27"/>
        <v>8000</v>
      </c>
      <c r="K157" s="15">
        <f t="shared" si="28"/>
        <v>6365</v>
      </c>
      <c r="L157" s="110">
        <f t="shared" si="29"/>
        <v>0.4896153846</v>
      </c>
      <c r="M157" s="1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>
      <c r="A158" s="83">
        <v>0.4</v>
      </c>
      <c r="B158" s="84" t="s">
        <v>33</v>
      </c>
      <c r="C158" s="85" t="s">
        <v>236</v>
      </c>
      <c r="D158" s="22">
        <v>5000.0</v>
      </c>
      <c r="E158" s="15">
        <f t="shared" si="25"/>
        <v>2000</v>
      </c>
      <c r="F158" s="15">
        <f t="shared" si="26"/>
        <v>2210</v>
      </c>
      <c r="G158" s="101"/>
      <c r="H158" s="101"/>
      <c r="I158" s="22">
        <v>3400.0</v>
      </c>
      <c r="J158" s="15">
        <f t="shared" si="27"/>
        <v>1360</v>
      </c>
      <c r="K158" s="15">
        <f t="shared" si="28"/>
        <v>850</v>
      </c>
      <c r="L158" s="110">
        <f t="shared" si="29"/>
        <v>0.425</v>
      </c>
      <c r="M158" s="1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>
      <c r="A159" s="83">
        <v>1.0</v>
      </c>
      <c r="B159" s="84" t="s">
        <v>33</v>
      </c>
      <c r="C159" s="85" t="s">
        <v>177</v>
      </c>
      <c r="D159" s="22">
        <v>1000.0</v>
      </c>
      <c r="E159" s="15">
        <f t="shared" si="25"/>
        <v>1000</v>
      </c>
      <c r="F159" s="15">
        <f t="shared" si="26"/>
        <v>1105</v>
      </c>
      <c r="G159" s="101"/>
      <c r="H159" s="101"/>
      <c r="I159" s="22">
        <v>1500.0</v>
      </c>
      <c r="J159" s="15">
        <f t="shared" si="27"/>
        <v>1500</v>
      </c>
      <c r="K159" s="15">
        <f t="shared" si="28"/>
        <v>-395</v>
      </c>
      <c r="L159" s="110">
        <f t="shared" si="29"/>
        <v>-0.395</v>
      </c>
      <c r="M159" s="1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>
      <c r="A160" s="83">
        <v>1.0</v>
      </c>
      <c r="B160" s="84" t="s">
        <v>38</v>
      </c>
      <c r="C160" s="85" t="s">
        <v>47</v>
      </c>
      <c r="D160" s="22">
        <v>13000.0</v>
      </c>
      <c r="E160" s="15">
        <f t="shared" si="25"/>
        <v>13000</v>
      </c>
      <c r="F160" s="15">
        <f t="shared" si="26"/>
        <v>14365</v>
      </c>
      <c r="G160" s="101"/>
      <c r="H160" s="101"/>
      <c r="I160" s="22">
        <v>8000.0</v>
      </c>
      <c r="J160" s="15">
        <f t="shared" si="27"/>
        <v>8000</v>
      </c>
      <c r="K160" s="15">
        <f t="shared" si="28"/>
        <v>6365</v>
      </c>
      <c r="L160" s="110">
        <f t="shared" si="29"/>
        <v>0.4896153846</v>
      </c>
      <c r="M160" s="1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83">
        <v>1.2</v>
      </c>
      <c r="B161" s="84" t="s">
        <v>33</v>
      </c>
      <c r="C161" s="85" t="s">
        <v>20</v>
      </c>
      <c r="D161" s="22">
        <v>3500.0</v>
      </c>
      <c r="E161" s="15">
        <f t="shared" si="25"/>
        <v>4200</v>
      </c>
      <c r="F161" s="15">
        <f t="shared" si="26"/>
        <v>4641</v>
      </c>
      <c r="G161" s="101"/>
      <c r="H161" s="101"/>
      <c r="I161" s="22">
        <f>18000/8</f>
        <v>2250</v>
      </c>
      <c r="J161" s="15">
        <f t="shared" si="27"/>
        <v>2700</v>
      </c>
      <c r="K161" s="15">
        <f t="shared" si="28"/>
        <v>1941</v>
      </c>
      <c r="L161" s="110">
        <f t="shared" si="29"/>
        <v>0.4621428571</v>
      </c>
      <c r="M161" s="1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91">
        <v>3.0</v>
      </c>
      <c r="B162" s="92" t="s">
        <v>5</v>
      </c>
      <c r="C162" s="93" t="s">
        <v>87</v>
      </c>
      <c r="D162" s="22">
        <v>1300.0</v>
      </c>
      <c r="E162" s="15">
        <f t="shared" si="25"/>
        <v>3900</v>
      </c>
      <c r="F162" s="15">
        <f t="shared" si="26"/>
        <v>4309.5</v>
      </c>
      <c r="G162" s="3"/>
      <c r="H162" s="3"/>
      <c r="I162" s="15">
        <f>62000/80</f>
        <v>775</v>
      </c>
      <c r="J162" s="15">
        <f t="shared" si="27"/>
        <v>2325</v>
      </c>
      <c r="K162" s="15">
        <f t="shared" si="28"/>
        <v>1984.5</v>
      </c>
      <c r="L162" s="116">
        <f t="shared" si="29"/>
        <v>0.5088461538</v>
      </c>
      <c r="M162" s="1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91">
        <v>0.9</v>
      </c>
      <c r="B163" s="92" t="s">
        <v>33</v>
      </c>
      <c r="C163" s="93" t="s">
        <v>23</v>
      </c>
      <c r="D163" s="22">
        <v>1400.0</v>
      </c>
      <c r="E163" s="15">
        <f t="shared" si="25"/>
        <v>1260</v>
      </c>
      <c r="F163" s="15">
        <f t="shared" si="26"/>
        <v>1392.3</v>
      </c>
      <c r="G163" s="3"/>
      <c r="H163" s="3"/>
      <c r="I163" s="22">
        <v>1000.0</v>
      </c>
      <c r="J163" s="15">
        <f t="shared" si="27"/>
        <v>900</v>
      </c>
      <c r="K163" s="15">
        <f t="shared" si="28"/>
        <v>492.3</v>
      </c>
      <c r="L163" s="116">
        <f t="shared" si="29"/>
        <v>0.3907142857</v>
      </c>
      <c r="M163" s="1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91">
        <v>0.85</v>
      </c>
      <c r="B164" s="92" t="s">
        <v>33</v>
      </c>
      <c r="C164" s="93" t="s">
        <v>22</v>
      </c>
      <c r="D164" s="22">
        <v>1000.0</v>
      </c>
      <c r="E164" s="15">
        <f t="shared" si="25"/>
        <v>850</v>
      </c>
      <c r="F164" s="15">
        <f t="shared" si="26"/>
        <v>939.25</v>
      </c>
      <c r="G164" s="3"/>
      <c r="H164" s="3"/>
      <c r="I164" s="15">
        <f>10000/14</f>
        <v>714.2857143</v>
      </c>
      <c r="J164" s="15">
        <f t="shared" si="27"/>
        <v>607.1428571</v>
      </c>
      <c r="K164" s="15">
        <f t="shared" si="28"/>
        <v>332.1071429</v>
      </c>
      <c r="L164" s="116">
        <f t="shared" si="29"/>
        <v>0.3907142857</v>
      </c>
      <c r="M164" s="1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91">
        <v>2.0</v>
      </c>
      <c r="B165" s="92" t="s">
        <v>5</v>
      </c>
      <c r="C165" s="93" t="s">
        <v>95</v>
      </c>
      <c r="D165" s="22">
        <v>2500.0</v>
      </c>
      <c r="E165" s="15">
        <f t="shared" si="25"/>
        <v>5000</v>
      </c>
      <c r="F165" s="15">
        <f t="shared" si="26"/>
        <v>5525</v>
      </c>
      <c r="G165" s="3"/>
      <c r="H165" s="3"/>
      <c r="I165" s="15">
        <f>12000/8</f>
        <v>1500</v>
      </c>
      <c r="J165" s="15">
        <f t="shared" si="27"/>
        <v>3000</v>
      </c>
      <c r="K165" s="15">
        <f t="shared" si="28"/>
        <v>2525</v>
      </c>
      <c r="L165" s="116">
        <f t="shared" si="29"/>
        <v>0.505</v>
      </c>
      <c r="M165" s="1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91">
        <v>1.0</v>
      </c>
      <c r="B166" s="92" t="s">
        <v>50</v>
      </c>
      <c r="C166" s="93" t="s">
        <v>69</v>
      </c>
      <c r="D166" s="22">
        <v>2000.0</v>
      </c>
      <c r="E166" s="15">
        <f t="shared" si="25"/>
        <v>2000</v>
      </c>
      <c r="F166" s="15">
        <f t="shared" si="26"/>
        <v>2210</v>
      </c>
      <c r="G166" s="3"/>
      <c r="H166" s="3"/>
      <c r="I166" s="22">
        <v>2200.0</v>
      </c>
      <c r="J166" s="15">
        <f t="shared" si="27"/>
        <v>2200</v>
      </c>
      <c r="K166" s="15">
        <f t="shared" si="28"/>
        <v>10</v>
      </c>
      <c r="L166" s="116">
        <f t="shared" si="29"/>
        <v>0.005</v>
      </c>
      <c r="M166" s="1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91">
        <v>2.0</v>
      </c>
      <c r="B167" s="92" t="s">
        <v>33</v>
      </c>
      <c r="C167" s="93" t="s">
        <v>56</v>
      </c>
      <c r="D167" s="22">
        <v>2200.0</v>
      </c>
      <c r="E167" s="15">
        <f t="shared" si="25"/>
        <v>4400</v>
      </c>
      <c r="F167" s="15">
        <f t="shared" si="26"/>
        <v>4862</v>
      </c>
      <c r="G167" s="3"/>
      <c r="H167" s="3"/>
      <c r="I167" s="22">
        <f>23000/15</f>
        <v>1533.333333</v>
      </c>
      <c r="J167" s="15">
        <f t="shared" si="27"/>
        <v>3066.666667</v>
      </c>
      <c r="K167" s="15">
        <f t="shared" si="28"/>
        <v>1795.333333</v>
      </c>
      <c r="L167" s="116">
        <f t="shared" si="29"/>
        <v>0.408030303</v>
      </c>
      <c r="M167" s="1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A168" s="91">
        <v>2.0</v>
      </c>
      <c r="B168" s="92" t="s">
        <v>50</v>
      </c>
      <c r="C168" s="93" t="s">
        <v>308</v>
      </c>
      <c r="D168" s="22">
        <v>2000.0</v>
      </c>
      <c r="E168" s="15">
        <f t="shared" si="25"/>
        <v>4000</v>
      </c>
      <c r="F168" s="15">
        <f t="shared" si="26"/>
        <v>4420</v>
      </c>
      <c r="G168" s="3"/>
      <c r="H168" s="3"/>
      <c r="I168" s="22">
        <v>1000.0</v>
      </c>
      <c r="J168" s="15">
        <f t="shared" si="27"/>
        <v>2000</v>
      </c>
      <c r="K168" s="15">
        <f t="shared" si="28"/>
        <v>2420</v>
      </c>
      <c r="L168" s="116">
        <f t="shared" si="29"/>
        <v>0.605</v>
      </c>
      <c r="M168" s="1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91">
        <v>0.45</v>
      </c>
      <c r="B169" s="92" t="s">
        <v>33</v>
      </c>
      <c r="C169" s="93" t="s">
        <v>72</v>
      </c>
      <c r="D169" s="22">
        <v>2600.0</v>
      </c>
      <c r="E169" s="15">
        <f t="shared" si="25"/>
        <v>1170</v>
      </c>
      <c r="F169" s="15">
        <f t="shared" si="26"/>
        <v>1292.85</v>
      </c>
      <c r="G169" s="3"/>
      <c r="H169" s="3"/>
      <c r="I169" s="22">
        <f>27000/15</f>
        <v>1800</v>
      </c>
      <c r="J169" s="15">
        <f t="shared" si="27"/>
        <v>810</v>
      </c>
      <c r="K169" s="15">
        <f t="shared" si="28"/>
        <v>482.85</v>
      </c>
      <c r="L169" s="116">
        <f t="shared" si="29"/>
        <v>0.4126923077</v>
      </c>
      <c r="M169" s="1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91">
        <v>1.0</v>
      </c>
      <c r="B170" s="92" t="s">
        <v>18</v>
      </c>
      <c r="C170" s="93" t="s">
        <v>78</v>
      </c>
      <c r="D170" s="22">
        <v>70000.0</v>
      </c>
      <c r="E170" s="15">
        <f t="shared" si="25"/>
        <v>70000</v>
      </c>
      <c r="F170" s="15">
        <f t="shared" si="26"/>
        <v>77350</v>
      </c>
      <c r="G170" s="3"/>
      <c r="H170" s="3"/>
      <c r="I170" s="22">
        <v>60000.0</v>
      </c>
      <c r="J170" s="15">
        <f t="shared" si="27"/>
        <v>60000</v>
      </c>
      <c r="K170" s="15">
        <f t="shared" si="28"/>
        <v>17350</v>
      </c>
      <c r="L170" s="116">
        <f t="shared" si="29"/>
        <v>0.2478571429</v>
      </c>
      <c r="M170" s="1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91">
        <v>0.5</v>
      </c>
      <c r="B171" s="92" t="s">
        <v>18</v>
      </c>
      <c r="C171" s="93" t="s">
        <v>232</v>
      </c>
      <c r="D171" s="22">
        <v>65000.0</v>
      </c>
      <c r="E171" s="15">
        <f t="shared" si="25"/>
        <v>32500</v>
      </c>
      <c r="F171" s="15">
        <f t="shared" si="26"/>
        <v>35912.5</v>
      </c>
      <c r="G171" s="3"/>
      <c r="H171" s="3"/>
      <c r="I171" s="22">
        <v>65000.0</v>
      </c>
      <c r="J171" s="15">
        <f t="shared" si="27"/>
        <v>32500</v>
      </c>
      <c r="K171" s="15">
        <f t="shared" si="28"/>
        <v>3412.5</v>
      </c>
      <c r="L171" s="116">
        <f t="shared" si="29"/>
        <v>0.105</v>
      </c>
      <c r="M171" s="1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>
      <c r="A172" s="91">
        <v>2.0</v>
      </c>
      <c r="B172" s="92" t="s">
        <v>18</v>
      </c>
      <c r="C172" s="93" t="s">
        <v>356</v>
      </c>
      <c r="D172" s="22">
        <v>24000.0</v>
      </c>
      <c r="E172" s="15">
        <f t="shared" si="25"/>
        <v>48000</v>
      </c>
      <c r="F172" s="15">
        <f t="shared" si="26"/>
        <v>53040</v>
      </c>
      <c r="G172" s="3"/>
      <c r="H172" s="3"/>
      <c r="I172" s="22">
        <v>20000.0</v>
      </c>
      <c r="J172" s="15">
        <f t="shared" si="27"/>
        <v>40000</v>
      </c>
      <c r="K172" s="15">
        <f t="shared" si="28"/>
        <v>13040</v>
      </c>
      <c r="L172" s="116">
        <f t="shared" si="29"/>
        <v>0.2716666667</v>
      </c>
      <c r="M172" s="1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91">
        <v>5.0</v>
      </c>
      <c r="B173" s="92" t="s">
        <v>38</v>
      </c>
      <c r="C173" s="93" t="s">
        <v>179</v>
      </c>
      <c r="D173" s="22">
        <v>21000.0</v>
      </c>
      <c r="E173" s="15">
        <f t="shared" si="25"/>
        <v>105000</v>
      </c>
      <c r="F173" s="15">
        <f t="shared" si="26"/>
        <v>116025</v>
      </c>
      <c r="G173" s="3"/>
      <c r="H173" s="3"/>
      <c r="I173" s="22">
        <v>18000.0</v>
      </c>
      <c r="J173" s="15">
        <f t="shared" si="27"/>
        <v>90000</v>
      </c>
      <c r="K173" s="15">
        <f t="shared" si="28"/>
        <v>26025</v>
      </c>
      <c r="L173" s="116">
        <f t="shared" si="29"/>
        <v>0.2478571429</v>
      </c>
      <c r="M173" s="1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91">
        <v>4.0</v>
      </c>
      <c r="B174" s="92" t="s">
        <v>33</v>
      </c>
      <c r="C174" s="93" t="s">
        <v>192</v>
      </c>
      <c r="D174" s="22">
        <v>1000.0</v>
      </c>
      <c r="E174" s="15">
        <f t="shared" si="25"/>
        <v>4000</v>
      </c>
      <c r="F174" s="15">
        <f t="shared" si="26"/>
        <v>4420</v>
      </c>
      <c r="G174" s="3"/>
      <c r="H174" s="3"/>
      <c r="I174" s="15">
        <f>11000/15</f>
        <v>733.3333333</v>
      </c>
      <c r="J174" s="15">
        <f t="shared" si="27"/>
        <v>2933.333333</v>
      </c>
      <c r="K174" s="15">
        <f t="shared" si="28"/>
        <v>1486.666667</v>
      </c>
      <c r="L174" s="116">
        <f t="shared" si="29"/>
        <v>0.3716666667</v>
      </c>
      <c r="M174" s="1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>
      <c r="A175" s="83">
        <v>4.0</v>
      </c>
      <c r="B175" s="84" t="s">
        <v>33</v>
      </c>
      <c r="C175" s="85" t="s">
        <v>279</v>
      </c>
      <c r="D175" s="22">
        <v>4000.0</v>
      </c>
      <c r="E175" s="15">
        <f t="shared" si="25"/>
        <v>16000</v>
      </c>
      <c r="F175" s="15">
        <f t="shared" si="26"/>
        <v>17680</v>
      </c>
      <c r="G175" s="101"/>
      <c r="H175" s="101"/>
      <c r="I175" s="22">
        <f>25000/8</f>
        <v>3125</v>
      </c>
      <c r="J175" s="15">
        <f t="shared" si="27"/>
        <v>12500</v>
      </c>
      <c r="K175" s="15">
        <f t="shared" si="28"/>
        <v>5180</v>
      </c>
      <c r="L175" s="110">
        <f t="shared" si="29"/>
        <v>0.32375</v>
      </c>
      <c r="M175" s="1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83">
        <v>1.0</v>
      </c>
      <c r="B176" s="84" t="s">
        <v>18</v>
      </c>
      <c r="C176" s="85" t="s">
        <v>277</v>
      </c>
      <c r="D176" s="22">
        <v>52000.0</v>
      </c>
      <c r="E176" s="15">
        <f t="shared" si="25"/>
        <v>52000</v>
      </c>
      <c r="F176" s="15">
        <f>E176*1.21</f>
        <v>62920</v>
      </c>
      <c r="G176" s="101"/>
      <c r="H176" s="101"/>
      <c r="I176" s="22">
        <v>48000.0</v>
      </c>
      <c r="J176" s="15">
        <f t="shared" si="27"/>
        <v>48000</v>
      </c>
      <c r="K176" s="15">
        <f t="shared" si="28"/>
        <v>14920</v>
      </c>
      <c r="L176" s="110">
        <f t="shared" si="29"/>
        <v>0.2869230769</v>
      </c>
      <c r="M176" s="1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103"/>
      <c r="B177" s="101"/>
      <c r="C177" s="104"/>
      <c r="D177" s="101"/>
      <c r="E177" s="101"/>
      <c r="F177" s="101"/>
      <c r="G177" s="101"/>
      <c r="H177" s="101"/>
      <c r="I177" s="101"/>
      <c r="J177" s="101"/>
      <c r="K177" s="101"/>
      <c r="L177" s="105"/>
      <c r="M177" s="1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>
      <c r="A178" s="103"/>
      <c r="B178" s="101"/>
      <c r="C178" s="104"/>
      <c r="D178" s="22"/>
      <c r="E178" s="15">
        <f t="shared" ref="E178:F178" si="30">SUM(E148:E176)</f>
        <v>459880</v>
      </c>
      <c r="F178" s="15">
        <f t="shared" si="30"/>
        <v>513627.4</v>
      </c>
      <c r="G178" s="101"/>
      <c r="H178" s="101"/>
      <c r="I178" s="101"/>
      <c r="J178" s="101"/>
      <c r="K178" s="15">
        <f>SUM(K148:K176)</f>
        <v>147712.1983</v>
      </c>
      <c r="L178" s="110">
        <f>IFERROR(K178/E178, 0)</f>
        <v>0.3211972652</v>
      </c>
      <c r="M178" s="1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>
      <c r="A179" s="83"/>
      <c r="B179" s="84"/>
      <c r="C179" s="85"/>
      <c r="D179" s="22"/>
      <c r="E179" s="15"/>
      <c r="F179" s="22"/>
      <c r="G179" s="101"/>
      <c r="H179" s="101"/>
      <c r="I179" s="22"/>
      <c r="J179" s="15"/>
      <c r="K179" s="15"/>
      <c r="L179" s="110"/>
      <c r="M179" s="1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>
      <c r="A180" s="83"/>
      <c r="B180" s="84"/>
      <c r="C180" s="85"/>
      <c r="D180" s="22"/>
      <c r="E180" s="15"/>
      <c r="F180" s="22"/>
      <c r="G180" s="101"/>
      <c r="H180" s="101"/>
      <c r="I180" s="22"/>
      <c r="J180" s="15"/>
      <c r="K180" s="15"/>
      <c r="L180" s="110"/>
      <c r="M180" s="1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>
      <c r="A181" s="83"/>
      <c r="B181" s="84"/>
      <c r="C181" s="85"/>
      <c r="D181" s="22"/>
      <c r="E181" s="15"/>
      <c r="F181" s="22"/>
      <c r="G181" s="101"/>
      <c r="H181" s="101"/>
      <c r="I181" s="22"/>
      <c r="J181" s="15"/>
      <c r="K181" s="15"/>
      <c r="L181" s="110"/>
      <c r="M181" s="1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>
      <c r="A182" s="5" t="s">
        <v>238</v>
      </c>
      <c r="D182" s="3"/>
      <c r="E182" s="86" t="s">
        <v>285</v>
      </c>
      <c r="F182" s="82">
        <v>46077.0</v>
      </c>
      <c r="G182" s="3"/>
      <c r="H182" s="3"/>
      <c r="I182" s="8" t="s">
        <v>3</v>
      </c>
      <c r="L182" s="4"/>
      <c r="M182" s="1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>
      <c r="A183" s="1"/>
      <c r="B183" s="3"/>
      <c r="C183" s="9"/>
      <c r="D183" s="3"/>
      <c r="E183" s="3"/>
      <c r="F183" s="3"/>
      <c r="G183" s="3"/>
      <c r="H183" s="3"/>
      <c r="I183" s="3"/>
      <c r="J183" s="3"/>
      <c r="K183" s="3"/>
      <c r="L183" s="4"/>
      <c r="M183" s="1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>
      <c r="A184" s="5" t="s">
        <v>4</v>
      </c>
      <c r="B184" s="10" t="s">
        <v>5</v>
      </c>
      <c r="C184" s="96" t="s">
        <v>6</v>
      </c>
      <c r="D184" s="10" t="s">
        <v>7</v>
      </c>
      <c r="E184" s="10" t="s">
        <v>8</v>
      </c>
      <c r="F184" s="10" t="s">
        <v>9</v>
      </c>
      <c r="G184" s="3"/>
      <c r="H184" s="3"/>
      <c r="I184" s="10" t="s">
        <v>260</v>
      </c>
      <c r="J184" s="10" t="s">
        <v>8</v>
      </c>
      <c r="K184" s="10" t="s">
        <v>10</v>
      </c>
      <c r="L184" s="4"/>
      <c r="M184" s="1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>
      <c r="A185" s="91">
        <v>11.0</v>
      </c>
      <c r="B185" s="92" t="s">
        <v>33</v>
      </c>
      <c r="C185" s="93" t="s">
        <v>64</v>
      </c>
      <c r="D185" s="22">
        <v>2300.0</v>
      </c>
      <c r="E185" s="15">
        <f t="shared" ref="E185:E210" si="31">A185*D185</f>
        <v>25300</v>
      </c>
      <c r="F185" s="15">
        <f t="shared" ref="F185:F205" si="32">E185*1.105</f>
        <v>27956.5</v>
      </c>
      <c r="G185" s="3"/>
      <c r="H185" s="3"/>
      <c r="I185" s="22">
        <f>20000/15</f>
        <v>1333.333333</v>
      </c>
      <c r="J185" s="15">
        <f t="shared" ref="J185:J210" si="33">A185*I185</f>
        <v>14666.66667</v>
      </c>
      <c r="K185" s="15">
        <f t="shared" ref="K185:K210" si="34">F185-J185</f>
        <v>13289.83333</v>
      </c>
      <c r="L185" s="116">
        <f t="shared" ref="L185:L210" si="35">IFERROR(K185/E185, 0)</f>
        <v>0.5252898551</v>
      </c>
      <c r="M185" s="1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>
      <c r="A186" s="91">
        <v>1.5</v>
      </c>
      <c r="B186" s="92" t="s">
        <v>33</v>
      </c>
      <c r="C186" s="93" t="s">
        <v>23</v>
      </c>
      <c r="D186" s="22">
        <v>1400.0</v>
      </c>
      <c r="E186" s="15">
        <f t="shared" si="31"/>
        <v>2100</v>
      </c>
      <c r="F186" s="15">
        <f t="shared" si="32"/>
        <v>2320.5</v>
      </c>
      <c r="G186" s="3"/>
      <c r="H186" s="3"/>
      <c r="I186" s="22">
        <v>1000.0</v>
      </c>
      <c r="J186" s="15">
        <f t="shared" si="33"/>
        <v>1500</v>
      </c>
      <c r="K186" s="15">
        <f t="shared" si="34"/>
        <v>820.5</v>
      </c>
      <c r="L186" s="116">
        <f t="shared" si="35"/>
        <v>0.3907142857</v>
      </c>
      <c r="M186" s="1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>
      <c r="A187" s="91">
        <v>2.0</v>
      </c>
      <c r="B187" s="92" t="s">
        <v>38</v>
      </c>
      <c r="C187" s="93" t="s">
        <v>47</v>
      </c>
      <c r="D187" s="22">
        <v>13000.0</v>
      </c>
      <c r="E187" s="15">
        <f t="shared" si="31"/>
        <v>26000</v>
      </c>
      <c r="F187" s="15">
        <f t="shared" si="32"/>
        <v>28730</v>
      </c>
      <c r="G187" s="3"/>
      <c r="H187" s="3"/>
      <c r="I187" s="22">
        <v>8000.0</v>
      </c>
      <c r="J187" s="15">
        <f t="shared" si="33"/>
        <v>16000</v>
      </c>
      <c r="K187" s="15">
        <f t="shared" si="34"/>
        <v>12730</v>
      </c>
      <c r="L187" s="116">
        <f t="shared" si="35"/>
        <v>0.4896153846</v>
      </c>
      <c r="M187" s="1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>
      <c r="A188" s="91">
        <v>2.0</v>
      </c>
      <c r="B188" s="92" t="s">
        <v>33</v>
      </c>
      <c r="C188" s="93" t="s">
        <v>24</v>
      </c>
      <c r="D188" s="22">
        <v>4000.0</v>
      </c>
      <c r="E188" s="15">
        <f t="shared" si="31"/>
        <v>8000</v>
      </c>
      <c r="F188" s="15">
        <f t="shared" si="32"/>
        <v>8840</v>
      </c>
      <c r="G188" s="3"/>
      <c r="H188" s="3"/>
      <c r="I188" s="22">
        <f>20000/7</f>
        <v>2857.142857</v>
      </c>
      <c r="J188" s="15">
        <f t="shared" si="33"/>
        <v>5714.285714</v>
      </c>
      <c r="K188" s="15">
        <f t="shared" si="34"/>
        <v>3125.714286</v>
      </c>
      <c r="L188" s="116">
        <f t="shared" si="35"/>
        <v>0.3907142857</v>
      </c>
      <c r="M188" s="1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>
      <c r="A189" s="91">
        <v>0.5</v>
      </c>
      <c r="B189" s="92" t="s">
        <v>33</v>
      </c>
      <c r="C189" s="93" t="s">
        <v>25</v>
      </c>
      <c r="D189" s="22">
        <v>3100.0</v>
      </c>
      <c r="E189" s="15">
        <f t="shared" si="31"/>
        <v>1550</v>
      </c>
      <c r="F189" s="15">
        <f t="shared" si="32"/>
        <v>1712.75</v>
      </c>
      <c r="G189" s="3"/>
      <c r="H189" s="3"/>
      <c r="I189" s="15">
        <f>12000/7</f>
        <v>1714.285714</v>
      </c>
      <c r="J189" s="15">
        <f t="shared" si="33"/>
        <v>857.1428571</v>
      </c>
      <c r="K189" s="15">
        <f t="shared" si="34"/>
        <v>855.6071429</v>
      </c>
      <c r="L189" s="116">
        <f t="shared" si="35"/>
        <v>0.5520046083</v>
      </c>
      <c r="M189" s="1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>
      <c r="A190" s="91">
        <v>0.5</v>
      </c>
      <c r="B190" s="92" t="s">
        <v>33</v>
      </c>
      <c r="C190" s="93" t="s">
        <v>26</v>
      </c>
      <c r="D190" s="22">
        <v>4000.0</v>
      </c>
      <c r="E190" s="15">
        <f t="shared" si="31"/>
        <v>2000</v>
      </c>
      <c r="F190" s="15">
        <f t="shared" si="32"/>
        <v>2210</v>
      </c>
      <c r="G190" s="3"/>
      <c r="H190" s="3"/>
      <c r="I190" s="22">
        <f>22000/7</f>
        <v>3142.857143</v>
      </c>
      <c r="J190" s="15">
        <f t="shared" si="33"/>
        <v>1571.428571</v>
      </c>
      <c r="K190" s="15">
        <f t="shared" si="34"/>
        <v>638.5714286</v>
      </c>
      <c r="L190" s="116">
        <f t="shared" si="35"/>
        <v>0.3192857143</v>
      </c>
      <c r="M190" s="1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>
      <c r="A191" s="91">
        <v>1.0</v>
      </c>
      <c r="B191" s="92" t="s">
        <v>38</v>
      </c>
      <c r="C191" s="93" t="s">
        <v>45</v>
      </c>
      <c r="D191" s="22">
        <v>13000.0</v>
      </c>
      <c r="E191" s="15">
        <f t="shared" si="31"/>
        <v>13000</v>
      </c>
      <c r="F191" s="15">
        <f t="shared" si="32"/>
        <v>14365</v>
      </c>
      <c r="G191" s="3"/>
      <c r="H191" s="3"/>
      <c r="I191" s="22">
        <v>8000.0</v>
      </c>
      <c r="J191" s="15">
        <f t="shared" si="33"/>
        <v>8000</v>
      </c>
      <c r="K191" s="15">
        <f t="shared" si="34"/>
        <v>6365</v>
      </c>
      <c r="L191" s="116">
        <f t="shared" si="35"/>
        <v>0.4896153846</v>
      </c>
      <c r="M191" s="1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91">
        <v>4.0</v>
      </c>
      <c r="B192" s="92" t="s">
        <v>33</v>
      </c>
      <c r="C192" s="93" t="s">
        <v>192</v>
      </c>
      <c r="D192" s="22">
        <v>1000.0</v>
      </c>
      <c r="E192" s="15">
        <f t="shared" si="31"/>
        <v>4000</v>
      </c>
      <c r="F192" s="15">
        <f t="shared" si="32"/>
        <v>4420</v>
      </c>
      <c r="G192" s="3"/>
      <c r="H192" s="3"/>
      <c r="I192" s="22">
        <f>11000/14</f>
        <v>785.7142857</v>
      </c>
      <c r="J192" s="15">
        <f t="shared" si="33"/>
        <v>3142.857143</v>
      </c>
      <c r="K192" s="15">
        <f t="shared" si="34"/>
        <v>1277.142857</v>
      </c>
      <c r="L192" s="116">
        <f t="shared" si="35"/>
        <v>0.3192857143</v>
      </c>
      <c r="M192" s="1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>
      <c r="A193" s="91">
        <v>1.0</v>
      </c>
      <c r="B193" s="92" t="s">
        <v>33</v>
      </c>
      <c r="C193" s="93" t="s">
        <v>69</v>
      </c>
      <c r="D193" s="22">
        <v>2000.0</v>
      </c>
      <c r="E193" s="15">
        <f t="shared" si="31"/>
        <v>2000</v>
      </c>
      <c r="F193" s="15">
        <f t="shared" si="32"/>
        <v>2210</v>
      </c>
      <c r="G193" s="3"/>
      <c r="H193" s="3"/>
      <c r="I193" s="22">
        <v>2200.0</v>
      </c>
      <c r="J193" s="15">
        <f t="shared" si="33"/>
        <v>2200</v>
      </c>
      <c r="K193" s="15">
        <f t="shared" si="34"/>
        <v>10</v>
      </c>
      <c r="L193" s="116">
        <f t="shared" si="35"/>
        <v>0.005</v>
      </c>
      <c r="M193" s="1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91">
        <v>2.0</v>
      </c>
      <c r="B194" s="92" t="s">
        <v>5</v>
      </c>
      <c r="C194" s="93" t="s">
        <v>95</v>
      </c>
      <c r="D194" s="22">
        <v>2500.0</v>
      </c>
      <c r="E194" s="15">
        <f t="shared" si="31"/>
        <v>5000</v>
      </c>
      <c r="F194" s="15">
        <f t="shared" si="32"/>
        <v>5525</v>
      </c>
      <c r="G194" s="3"/>
      <c r="H194" s="3"/>
      <c r="I194" s="22">
        <f>12000/8</f>
        <v>1500</v>
      </c>
      <c r="J194" s="15">
        <f t="shared" si="33"/>
        <v>3000</v>
      </c>
      <c r="K194" s="15">
        <f t="shared" si="34"/>
        <v>2525</v>
      </c>
      <c r="L194" s="116">
        <f t="shared" si="35"/>
        <v>0.505</v>
      </c>
      <c r="M194" s="1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91">
        <v>0.5</v>
      </c>
      <c r="B195" s="92" t="s">
        <v>33</v>
      </c>
      <c r="C195" s="93" t="s">
        <v>67</v>
      </c>
      <c r="D195" s="22">
        <v>800.0</v>
      </c>
      <c r="E195" s="15">
        <f t="shared" si="31"/>
        <v>400</v>
      </c>
      <c r="F195" s="15">
        <f t="shared" si="32"/>
        <v>442</v>
      </c>
      <c r="G195" s="3"/>
      <c r="H195" s="3"/>
      <c r="I195" s="22">
        <f>8000/17</f>
        <v>470.5882353</v>
      </c>
      <c r="J195" s="15">
        <f t="shared" si="33"/>
        <v>235.2941176</v>
      </c>
      <c r="K195" s="15">
        <f t="shared" si="34"/>
        <v>206.7058824</v>
      </c>
      <c r="L195" s="116">
        <f t="shared" si="35"/>
        <v>0.5167647059</v>
      </c>
      <c r="M195" s="1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>
      <c r="A196" s="91">
        <v>0.5</v>
      </c>
      <c r="B196" s="92" t="s">
        <v>33</v>
      </c>
      <c r="C196" s="93" t="s">
        <v>174</v>
      </c>
      <c r="D196" s="22">
        <v>1600.0</v>
      </c>
      <c r="E196" s="15">
        <f t="shared" si="31"/>
        <v>800</v>
      </c>
      <c r="F196" s="15">
        <f t="shared" si="32"/>
        <v>884</v>
      </c>
      <c r="G196" s="3"/>
      <c r="H196" s="3"/>
      <c r="I196" s="22">
        <f>18000/17</f>
        <v>1058.823529</v>
      </c>
      <c r="J196" s="15">
        <f t="shared" si="33"/>
        <v>529.4117647</v>
      </c>
      <c r="K196" s="15">
        <f t="shared" si="34"/>
        <v>354.5882353</v>
      </c>
      <c r="L196" s="116">
        <f t="shared" si="35"/>
        <v>0.4432352941</v>
      </c>
      <c r="M196" s="1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91">
        <v>2.0</v>
      </c>
      <c r="B197" s="92" t="s">
        <v>33</v>
      </c>
      <c r="C197" s="93" t="s">
        <v>99</v>
      </c>
      <c r="D197" s="22">
        <v>1800.0</v>
      </c>
      <c r="E197" s="15">
        <f t="shared" si="31"/>
        <v>3600</v>
      </c>
      <c r="F197" s="15">
        <f t="shared" si="32"/>
        <v>3978</v>
      </c>
      <c r="G197" s="3"/>
      <c r="H197" s="3"/>
      <c r="I197" s="22">
        <v>1000.0</v>
      </c>
      <c r="J197" s="15">
        <f t="shared" si="33"/>
        <v>2000</v>
      </c>
      <c r="K197" s="15">
        <f t="shared" si="34"/>
        <v>1978</v>
      </c>
      <c r="L197" s="116">
        <f t="shared" si="35"/>
        <v>0.5494444444</v>
      </c>
      <c r="M197" s="1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91">
        <v>2.0</v>
      </c>
      <c r="B198" s="92" t="s">
        <v>33</v>
      </c>
      <c r="C198" s="93" t="s">
        <v>240</v>
      </c>
      <c r="D198" s="22">
        <v>1800.0</v>
      </c>
      <c r="E198" s="15">
        <f t="shared" si="31"/>
        <v>3600</v>
      </c>
      <c r="F198" s="15">
        <f t="shared" si="32"/>
        <v>3978</v>
      </c>
      <c r="G198" s="3"/>
      <c r="H198" s="3"/>
      <c r="I198" s="22">
        <v>1000.0</v>
      </c>
      <c r="J198" s="15">
        <f t="shared" si="33"/>
        <v>2000</v>
      </c>
      <c r="K198" s="15">
        <f t="shared" si="34"/>
        <v>1978</v>
      </c>
      <c r="L198" s="116">
        <f t="shared" si="35"/>
        <v>0.5494444444</v>
      </c>
      <c r="M198" s="1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91">
        <v>3.0</v>
      </c>
      <c r="B199" s="92" t="s">
        <v>33</v>
      </c>
      <c r="C199" s="93" t="s">
        <v>233</v>
      </c>
      <c r="D199" s="22">
        <v>2800.0</v>
      </c>
      <c r="E199" s="15">
        <f t="shared" si="31"/>
        <v>8400</v>
      </c>
      <c r="F199" s="15">
        <f t="shared" si="32"/>
        <v>9282</v>
      </c>
      <c r="G199" s="3"/>
      <c r="H199" s="3"/>
      <c r="I199" s="22">
        <f>10000/6</f>
        <v>1666.666667</v>
      </c>
      <c r="J199" s="15">
        <f t="shared" si="33"/>
        <v>5000</v>
      </c>
      <c r="K199" s="15">
        <f t="shared" si="34"/>
        <v>4282</v>
      </c>
      <c r="L199" s="116">
        <f t="shared" si="35"/>
        <v>0.5097619048</v>
      </c>
      <c r="M199" s="1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91">
        <v>12.0</v>
      </c>
      <c r="B200" s="92" t="s">
        <v>50</v>
      </c>
      <c r="C200" s="93" t="s">
        <v>65</v>
      </c>
      <c r="D200" s="22">
        <v>500.0</v>
      </c>
      <c r="E200" s="15">
        <f t="shared" si="31"/>
        <v>6000</v>
      </c>
      <c r="F200" s="15">
        <f t="shared" si="32"/>
        <v>6630</v>
      </c>
      <c r="G200" s="3"/>
      <c r="H200" s="3"/>
      <c r="I200" s="22">
        <v>216.0</v>
      </c>
      <c r="J200" s="15">
        <f t="shared" si="33"/>
        <v>2592</v>
      </c>
      <c r="K200" s="15">
        <f t="shared" si="34"/>
        <v>4038</v>
      </c>
      <c r="L200" s="116">
        <f t="shared" si="35"/>
        <v>0.673</v>
      </c>
      <c r="M200" s="1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91">
        <v>4.0</v>
      </c>
      <c r="B201" s="92" t="s">
        <v>5</v>
      </c>
      <c r="C201" s="93" t="s">
        <v>87</v>
      </c>
      <c r="D201" s="22">
        <v>1300.0</v>
      </c>
      <c r="E201" s="15">
        <f t="shared" si="31"/>
        <v>5200</v>
      </c>
      <c r="F201" s="15">
        <f t="shared" si="32"/>
        <v>5746</v>
      </c>
      <c r="G201" s="3"/>
      <c r="H201" s="3"/>
      <c r="I201" s="22">
        <f>62000/80</f>
        <v>775</v>
      </c>
      <c r="J201" s="15">
        <f t="shared" si="33"/>
        <v>3100</v>
      </c>
      <c r="K201" s="15">
        <f t="shared" si="34"/>
        <v>2646</v>
      </c>
      <c r="L201" s="116">
        <f t="shared" si="35"/>
        <v>0.5088461538</v>
      </c>
      <c r="M201" s="1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91">
        <v>0.8</v>
      </c>
      <c r="B202" s="10" t="s">
        <v>33</v>
      </c>
      <c r="C202" s="93" t="s">
        <v>20</v>
      </c>
      <c r="D202" s="22">
        <v>3500.0</v>
      </c>
      <c r="E202" s="15">
        <f t="shared" si="31"/>
        <v>2800</v>
      </c>
      <c r="F202" s="15">
        <f t="shared" si="32"/>
        <v>3094</v>
      </c>
      <c r="G202" s="3"/>
      <c r="H202" s="3"/>
      <c r="I202" s="22">
        <f>18000/8</f>
        <v>2250</v>
      </c>
      <c r="J202" s="15">
        <f t="shared" si="33"/>
        <v>1800</v>
      </c>
      <c r="K202" s="15">
        <f t="shared" si="34"/>
        <v>1294</v>
      </c>
      <c r="L202" s="116">
        <f t="shared" si="35"/>
        <v>0.4621428571</v>
      </c>
      <c r="M202" s="1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91">
        <v>2.0</v>
      </c>
      <c r="B203" s="92" t="s">
        <v>50</v>
      </c>
      <c r="C203" s="93" t="s">
        <v>308</v>
      </c>
      <c r="D203" s="22">
        <v>2000.0</v>
      </c>
      <c r="E203" s="15">
        <f t="shared" si="31"/>
        <v>4000</v>
      </c>
      <c r="F203" s="15">
        <f t="shared" si="32"/>
        <v>4420</v>
      </c>
      <c r="G203" s="3"/>
      <c r="H203" s="3"/>
      <c r="I203" s="22">
        <v>1000.0</v>
      </c>
      <c r="J203" s="15">
        <f t="shared" si="33"/>
        <v>2000</v>
      </c>
      <c r="K203" s="15">
        <f t="shared" si="34"/>
        <v>2420</v>
      </c>
      <c r="L203" s="116">
        <f t="shared" si="35"/>
        <v>0.605</v>
      </c>
      <c r="M203" s="1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A204" s="91">
        <v>3.0</v>
      </c>
      <c r="B204" s="92" t="s">
        <v>38</v>
      </c>
      <c r="C204" s="93" t="s">
        <v>179</v>
      </c>
      <c r="D204" s="22">
        <v>21000.0</v>
      </c>
      <c r="E204" s="15">
        <f t="shared" si="31"/>
        <v>63000</v>
      </c>
      <c r="F204" s="15">
        <f t="shared" si="32"/>
        <v>69615</v>
      </c>
      <c r="G204" s="3"/>
      <c r="H204" s="3"/>
      <c r="I204" s="86">
        <v>18000.0</v>
      </c>
      <c r="J204" s="15">
        <f t="shared" si="33"/>
        <v>54000</v>
      </c>
      <c r="K204" s="15">
        <f t="shared" si="34"/>
        <v>15615</v>
      </c>
      <c r="L204" s="116">
        <f t="shared" si="35"/>
        <v>0.2478571429</v>
      </c>
      <c r="M204" s="1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 ht="15.75" customHeight="1">
      <c r="A205" s="91">
        <v>6.0</v>
      </c>
      <c r="B205" s="92" t="s">
        <v>50</v>
      </c>
      <c r="C205" s="93" t="s">
        <v>103</v>
      </c>
      <c r="D205" s="22">
        <v>1600.0</v>
      </c>
      <c r="E205" s="15">
        <f t="shared" si="31"/>
        <v>9600</v>
      </c>
      <c r="F205" s="15">
        <f t="shared" si="32"/>
        <v>10608</v>
      </c>
      <c r="G205" s="3"/>
      <c r="H205" s="3"/>
      <c r="I205" s="86">
        <v>800.0</v>
      </c>
      <c r="J205" s="15">
        <f t="shared" si="33"/>
        <v>4800</v>
      </c>
      <c r="K205" s="15">
        <f t="shared" si="34"/>
        <v>5808</v>
      </c>
      <c r="L205" s="116">
        <f t="shared" si="35"/>
        <v>0.605</v>
      </c>
      <c r="M205" s="1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91">
        <v>3.0</v>
      </c>
      <c r="B206" s="92" t="s">
        <v>231</v>
      </c>
      <c r="C206" s="93" t="s">
        <v>277</v>
      </c>
      <c r="D206" s="22">
        <v>4500.0</v>
      </c>
      <c r="E206" s="15">
        <f t="shared" si="31"/>
        <v>13500</v>
      </c>
      <c r="F206" s="15">
        <f>E206*1.21</f>
        <v>16335</v>
      </c>
      <c r="G206" s="3"/>
      <c r="H206" s="3"/>
      <c r="I206" s="3">
        <f>48000/12</f>
        <v>4000</v>
      </c>
      <c r="J206" s="15">
        <f t="shared" si="33"/>
        <v>12000</v>
      </c>
      <c r="K206" s="15">
        <f t="shared" si="34"/>
        <v>4335</v>
      </c>
      <c r="L206" s="116">
        <f t="shared" si="35"/>
        <v>0.3211111111</v>
      </c>
      <c r="M206" s="1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 ht="15.75" customHeight="1">
      <c r="A207" s="91">
        <v>2.0</v>
      </c>
      <c r="B207" s="92" t="s">
        <v>18</v>
      </c>
      <c r="C207" s="93" t="s">
        <v>356</v>
      </c>
      <c r="D207" s="22">
        <v>24000.0</v>
      </c>
      <c r="E207" s="15">
        <f t="shared" si="31"/>
        <v>48000</v>
      </c>
      <c r="F207" s="15">
        <f t="shared" ref="F207:F210" si="36">E207*1.105</f>
        <v>53040</v>
      </c>
      <c r="G207" s="3"/>
      <c r="H207" s="3"/>
      <c r="I207" s="86">
        <v>20000.0</v>
      </c>
      <c r="J207" s="15">
        <f t="shared" si="33"/>
        <v>40000</v>
      </c>
      <c r="K207" s="15">
        <f t="shared" si="34"/>
        <v>13040</v>
      </c>
      <c r="L207" s="116">
        <f t="shared" si="35"/>
        <v>0.2716666667</v>
      </c>
      <c r="M207" s="1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91">
        <v>4.0</v>
      </c>
      <c r="B208" s="10" t="s">
        <v>33</v>
      </c>
      <c r="C208" s="93" t="s">
        <v>55</v>
      </c>
      <c r="D208" s="22">
        <v>2800.0</v>
      </c>
      <c r="E208" s="15">
        <f t="shared" si="31"/>
        <v>11200</v>
      </c>
      <c r="F208" s="15">
        <f t="shared" si="36"/>
        <v>12376</v>
      </c>
      <c r="G208" s="3"/>
      <c r="H208" s="3"/>
      <c r="I208" s="3">
        <f>39000/18</f>
        <v>2166.666667</v>
      </c>
      <c r="J208" s="15">
        <f t="shared" si="33"/>
        <v>8666.666667</v>
      </c>
      <c r="K208" s="15">
        <f t="shared" si="34"/>
        <v>3709.333333</v>
      </c>
      <c r="L208" s="116">
        <f t="shared" si="35"/>
        <v>0.3311904762</v>
      </c>
      <c r="M208" s="1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91">
        <v>1.0</v>
      </c>
      <c r="B209" s="92" t="s">
        <v>18</v>
      </c>
      <c r="C209" s="93" t="s">
        <v>373</v>
      </c>
      <c r="D209" s="22">
        <v>65000.0</v>
      </c>
      <c r="E209" s="15">
        <f t="shared" si="31"/>
        <v>65000</v>
      </c>
      <c r="F209" s="15">
        <f t="shared" si="36"/>
        <v>71825</v>
      </c>
      <c r="G209" s="3"/>
      <c r="H209" s="3"/>
      <c r="I209" s="86">
        <v>65000.0</v>
      </c>
      <c r="J209" s="15">
        <f t="shared" si="33"/>
        <v>65000</v>
      </c>
      <c r="K209" s="15">
        <f t="shared" si="34"/>
        <v>6825</v>
      </c>
      <c r="L209" s="116">
        <f t="shared" si="35"/>
        <v>0.105</v>
      </c>
      <c r="M209" s="1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 ht="15.75" customHeight="1">
      <c r="A210" s="91">
        <v>1.0</v>
      </c>
      <c r="B210" s="92" t="s">
        <v>18</v>
      </c>
      <c r="C210" s="93" t="s">
        <v>78</v>
      </c>
      <c r="D210" s="22">
        <v>70000.0</v>
      </c>
      <c r="E210" s="15">
        <f t="shared" si="31"/>
        <v>70000</v>
      </c>
      <c r="F210" s="15">
        <f t="shared" si="36"/>
        <v>77350</v>
      </c>
      <c r="G210" s="3"/>
      <c r="H210" s="3"/>
      <c r="I210" s="86">
        <v>60000.0</v>
      </c>
      <c r="J210" s="15">
        <f t="shared" si="33"/>
        <v>60000</v>
      </c>
      <c r="K210" s="15">
        <f t="shared" si="34"/>
        <v>17350</v>
      </c>
      <c r="L210" s="116">
        <f t="shared" si="35"/>
        <v>0.2478571429</v>
      </c>
      <c r="M210" s="1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91"/>
      <c r="B211" s="3"/>
      <c r="C211" s="2"/>
      <c r="D211" s="3"/>
      <c r="E211" s="3"/>
      <c r="F211" s="3"/>
      <c r="G211" s="3"/>
      <c r="H211" s="3"/>
      <c r="I211" s="3"/>
      <c r="J211" s="3"/>
      <c r="K211" s="3"/>
      <c r="L211" s="118"/>
      <c r="M211" s="1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A212" s="91"/>
      <c r="B212" s="3"/>
      <c r="C212" s="2"/>
      <c r="D212" s="3"/>
      <c r="E212" s="15">
        <f t="shared" ref="E212:F212" si="37">SUM(E185:E210)</f>
        <v>404050</v>
      </c>
      <c r="F212" s="15">
        <f t="shared" si="37"/>
        <v>447892.75</v>
      </c>
      <c r="G212" s="3"/>
      <c r="H212" s="3"/>
      <c r="I212" s="3"/>
      <c r="J212" s="3"/>
      <c r="K212" s="15">
        <f>SUM(K185:K210)</f>
        <v>127516.9965</v>
      </c>
      <c r="L212" s="116">
        <f>IFERROR(K212/E212, 0)</f>
        <v>0.3155970709</v>
      </c>
      <c r="M212" s="1"/>
      <c r="N212" s="3"/>
      <c r="O212" s="2"/>
      <c r="P212" s="3"/>
      <c r="Q212" s="3"/>
      <c r="R212" s="9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91"/>
      <c r="B213" s="84"/>
      <c r="C213" s="85"/>
      <c r="D213" s="22"/>
      <c r="E213" s="15"/>
      <c r="F213" s="16"/>
      <c r="G213" s="25"/>
      <c r="H213" s="37"/>
      <c r="I213" s="87"/>
      <c r="J213" s="16"/>
      <c r="K213" s="16"/>
      <c r="L213" s="36"/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91"/>
      <c r="B214" s="84"/>
      <c r="C214" s="85"/>
      <c r="D214" s="22"/>
      <c r="E214" s="15"/>
      <c r="F214" s="16"/>
      <c r="G214" s="25"/>
      <c r="H214" s="37"/>
      <c r="I214" s="87"/>
      <c r="J214" s="16"/>
      <c r="K214" s="16"/>
      <c r="L214" s="36"/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89" t="s">
        <v>319</v>
      </c>
      <c r="B215" s="24"/>
      <c r="C215" s="24"/>
      <c r="D215" s="81" t="s">
        <v>374</v>
      </c>
      <c r="E215" s="82">
        <v>46077.0</v>
      </c>
      <c r="F215" s="33" t="s">
        <v>13</v>
      </c>
      <c r="G215" s="25"/>
      <c r="H215" s="25"/>
      <c r="I215" s="16"/>
      <c r="J215" s="16"/>
      <c r="K215" s="16"/>
      <c r="L215" s="34"/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B216" s="25"/>
      <c r="C216" s="35"/>
      <c r="D216" s="25"/>
      <c r="E216" s="25"/>
      <c r="F216" s="25"/>
      <c r="G216" s="25"/>
      <c r="H216" s="25"/>
      <c r="I216" s="16"/>
      <c r="J216" s="16"/>
      <c r="K216" s="16"/>
      <c r="L216" s="34"/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>
      <c r="A217" s="5" t="s">
        <v>4</v>
      </c>
      <c r="B217" s="10" t="s">
        <v>5</v>
      </c>
      <c r="C217" s="11" t="s">
        <v>6</v>
      </c>
      <c r="D217" s="12" t="s">
        <v>7</v>
      </c>
      <c r="E217" s="10" t="s">
        <v>8</v>
      </c>
      <c r="F217" s="12"/>
      <c r="G217" s="25"/>
      <c r="H217" s="25"/>
      <c r="I217" s="12"/>
      <c r="J217" s="12" t="s">
        <v>8</v>
      </c>
      <c r="K217" s="12" t="s">
        <v>10</v>
      </c>
      <c r="L217" s="34"/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>
      <c r="A218" s="83">
        <v>1.0</v>
      </c>
      <c r="B218" s="84" t="s">
        <v>50</v>
      </c>
      <c r="C218" s="85" t="s">
        <v>205</v>
      </c>
      <c r="D218" s="22">
        <v>3000.0</v>
      </c>
      <c r="E218" s="15">
        <f t="shared" ref="E218:E223" si="38">A218*D218</f>
        <v>3000</v>
      </c>
      <c r="F218" s="16"/>
      <c r="G218" s="25"/>
      <c r="H218" s="37"/>
      <c r="I218" s="86">
        <v>2000.0</v>
      </c>
      <c r="J218" s="15">
        <f t="shared" ref="J218:J223" si="39">A218*I218</f>
        <v>2000</v>
      </c>
      <c r="K218" s="15">
        <f t="shared" ref="K218:K223" si="40">E218-J218</f>
        <v>1000</v>
      </c>
      <c r="L218" s="110">
        <f t="shared" ref="L218:L223" si="41">K218/E218</f>
        <v>0.3333333333</v>
      </c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>
      <c r="A219" s="83">
        <v>3.0</v>
      </c>
      <c r="B219" s="84" t="s">
        <v>18</v>
      </c>
      <c r="C219" s="85" t="s">
        <v>356</v>
      </c>
      <c r="D219" s="22">
        <v>23000.0</v>
      </c>
      <c r="E219" s="15">
        <f t="shared" si="38"/>
        <v>69000</v>
      </c>
      <c r="F219" s="16"/>
      <c r="G219" s="25"/>
      <c r="H219" s="37"/>
      <c r="I219" s="87">
        <v>20000.0</v>
      </c>
      <c r="J219" s="15">
        <f t="shared" si="39"/>
        <v>60000</v>
      </c>
      <c r="K219" s="15">
        <f t="shared" si="40"/>
        <v>9000</v>
      </c>
      <c r="L219" s="110">
        <f t="shared" si="41"/>
        <v>0.1304347826</v>
      </c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83">
        <v>1.0</v>
      </c>
      <c r="B220" s="84" t="s">
        <v>18</v>
      </c>
      <c r="C220" s="85" t="s">
        <v>72</v>
      </c>
      <c r="D220" s="22">
        <v>32000.0</v>
      </c>
      <c r="E220" s="15">
        <f t="shared" si="38"/>
        <v>32000</v>
      </c>
      <c r="F220" s="16"/>
      <c r="G220" s="25"/>
      <c r="H220" s="37"/>
      <c r="I220" s="87">
        <v>27000.0</v>
      </c>
      <c r="J220" s="15">
        <f t="shared" si="39"/>
        <v>27000</v>
      </c>
      <c r="K220" s="15">
        <f t="shared" si="40"/>
        <v>5000</v>
      </c>
      <c r="L220" s="110">
        <f t="shared" si="41"/>
        <v>0.15625</v>
      </c>
      <c r="M220" s="2"/>
      <c r="N220" s="3"/>
      <c r="O220" s="2"/>
      <c r="P220" s="3"/>
      <c r="Q220" s="3"/>
      <c r="R220" s="2"/>
      <c r="S220" s="3"/>
      <c r="T220" s="3"/>
      <c r="U220" s="1"/>
      <c r="V220" s="3"/>
      <c r="W220" s="3"/>
      <c r="X220" s="3"/>
      <c r="Y220" s="3"/>
      <c r="Z220" s="3"/>
    </row>
    <row r="221" ht="15.75" customHeight="1">
      <c r="A221" s="83">
        <v>4.0</v>
      </c>
      <c r="B221" s="84" t="s">
        <v>33</v>
      </c>
      <c r="C221" s="85" t="s">
        <v>375</v>
      </c>
      <c r="D221" s="22">
        <v>9000.0</v>
      </c>
      <c r="E221" s="15">
        <f t="shared" si="38"/>
        <v>36000</v>
      </c>
      <c r="F221" s="16"/>
      <c r="G221" s="25"/>
      <c r="H221" s="37"/>
      <c r="I221" s="87">
        <f>30000/4</f>
        <v>7500</v>
      </c>
      <c r="J221" s="15">
        <f t="shared" si="39"/>
        <v>30000</v>
      </c>
      <c r="K221" s="15">
        <f t="shared" si="40"/>
        <v>6000</v>
      </c>
      <c r="L221" s="110">
        <f t="shared" si="41"/>
        <v>0.1666666667</v>
      </c>
      <c r="M221" s="2"/>
      <c r="N221" s="3"/>
      <c r="O221" s="2"/>
      <c r="P221" s="3"/>
      <c r="Q221" s="3"/>
      <c r="R221" s="2"/>
      <c r="S221" s="3"/>
      <c r="T221" s="3"/>
      <c r="U221" s="1"/>
      <c r="V221" s="3"/>
      <c r="W221" s="3"/>
      <c r="X221" s="3"/>
      <c r="Y221" s="3"/>
      <c r="Z221" s="3"/>
    </row>
    <row r="222" ht="15.75" customHeight="1">
      <c r="A222" s="83">
        <v>0.5</v>
      </c>
      <c r="B222" s="84" t="s">
        <v>33</v>
      </c>
      <c r="C222" s="85" t="s">
        <v>249</v>
      </c>
      <c r="D222" s="22">
        <v>9500.0</v>
      </c>
      <c r="E222" s="15">
        <f t="shared" si="38"/>
        <v>4750</v>
      </c>
      <c r="F222" s="16"/>
      <c r="G222" s="25"/>
      <c r="H222" s="37"/>
      <c r="I222" s="87">
        <v>8000.0</v>
      </c>
      <c r="J222" s="15">
        <f t="shared" si="39"/>
        <v>4000</v>
      </c>
      <c r="K222" s="15">
        <f t="shared" si="40"/>
        <v>750</v>
      </c>
      <c r="L222" s="115">
        <f t="shared" si="41"/>
        <v>0.1578947368</v>
      </c>
      <c r="M222" s="2"/>
      <c r="N222" s="3"/>
      <c r="O222" s="2"/>
      <c r="P222" s="3"/>
      <c r="Q222" s="3"/>
      <c r="R222" s="2"/>
      <c r="S222" s="3"/>
      <c r="T222" s="3"/>
      <c r="U222" s="1"/>
      <c r="V222" s="3"/>
      <c r="W222" s="3"/>
      <c r="X222" s="3"/>
      <c r="Y222" s="3"/>
      <c r="Z222" s="3"/>
    </row>
    <row r="223" ht="15.75" customHeight="1">
      <c r="A223" s="83">
        <v>1.3</v>
      </c>
      <c r="B223" s="84" t="s">
        <v>33</v>
      </c>
      <c r="C223" s="85" t="s">
        <v>233</v>
      </c>
      <c r="D223" s="22">
        <v>3000.0</v>
      </c>
      <c r="E223" s="15">
        <f t="shared" si="38"/>
        <v>3900</v>
      </c>
      <c r="F223" s="16"/>
      <c r="G223" s="25"/>
      <c r="H223" s="98"/>
      <c r="I223" s="22">
        <f>10000/16</f>
        <v>625</v>
      </c>
      <c r="J223" s="15">
        <f t="shared" si="39"/>
        <v>812.5</v>
      </c>
      <c r="K223" s="15">
        <f t="shared" si="40"/>
        <v>3087.5</v>
      </c>
      <c r="L223" s="110">
        <f t="shared" si="41"/>
        <v>0.7916666667</v>
      </c>
      <c r="M223" s="2"/>
      <c r="N223" s="3"/>
      <c r="O223" s="2"/>
      <c r="P223" s="3"/>
      <c r="Q223" s="3"/>
      <c r="R223" s="2"/>
      <c r="S223" s="3"/>
      <c r="T223" s="3"/>
      <c r="U223" s="1"/>
      <c r="V223" s="3"/>
      <c r="W223" s="3"/>
      <c r="X223" s="3"/>
      <c r="Y223" s="3"/>
      <c r="Z223" s="3"/>
    </row>
    <row r="224">
      <c r="A224" s="13"/>
      <c r="B224" s="12"/>
      <c r="C224" s="14"/>
      <c r="D224" s="15"/>
      <c r="E224" s="16"/>
      <c r="F224" s="16"/>
      <c r="H224" s="25"/>
      <c r="I224" s="16"/>
      <c r="J224" s="16"/>
      <c r="K224" s="16"/>
      <c r="L224" s="36"/>
      <c r="N224" s="3"/>
      <c r="O224" s="2"/>
      <c r="P224" s="3"/>
      <c r="Q224" s="3"/>
      <c r="R224" s="2"/>
      <c r="S224" s="3"/>
      <c r="T224" s="3"/>
      <c r="U224" s="1"/>
      <c r="V224" s="3"/>
      <c r="W224" s="3"/>
      <c r="X224" s="3"/>
      <c r="Y224" s="3"/>
      <c r="Z224" s="3"/>
    </row>
    <row r="225" ht="15.75" customHeight="1">
      <c r="A225" s="13"/>
      <c r="B225" s="12"/>
      <c r="C225" s="14"/>
      <c r="D225" s="15"/>
      <c r="E225" s="16">
        <f>SUM(E218:E224)</f>
        <v>148650</v>
      </c>
      <c r="F225" s="16"/>
      <c r="G225" s="25"/>
      <c r="H225" s="25"/>
      <c r="I225" s="16"/>
      <c r="J225" s="16"/>
      <c r="K225" s="16">
        <f>SUM(K218:K223)</f>
        <v>24837.5</v>
      </c>
      <c r="L225" s="110">
        <f>K225/E225</f>
        <v>0.1670871174</v>
      </c>
      <c r="M225" s="2"/>
      <c r="N225" s="3"/>
      <c r="O225" s="2"/>
      <c r="P225" s="3"/>
      <c r="Q225" s="3"/>
      <c r="R225" s="2"/>
      <c r="S225" s="3"/>
      <c r="T225" s="3"/>
      <c r="U225" s="1"/>
      <c r="V225" s="3"/>
      <c r="W225" s="3"/>
      <c r="X225" s="3"/>
      <c r="Y225" s="3"/>
      <c r="Z225" s="3"/>
    </row>
    <row r="226" ht="15.75" customHeight="1">
      <c r="A226" s="83"/>
      <c r="B226" s="84"/>
      <c r="C226" s="85"/>
      <c r="D226" s="22"/>
      <c r="E226" s="15"/>
      <c r="F226" s="16"/>
      <c r="G226" s="25"/>
      <c r="H226" s="37"/>
      <c r="I226" s="87"/>
      <c r="J226" s="16"/>
      <c r="K226" s="16"/>
      <c r="L226" s="111"/>
      <c r="M226" s="2"/>
      <c r="N226" s="3"/>
      <c r="O226" s="2"/>
      <c r="P226" s="3"/>
      <c r="Q226" s="3"/>
      <c r="R226" s="2"/>
      <c r="S226" s="3"/>
      <c r="T226" s="3"/>
      <c r="U226" s="1"/>
      <c r="V226" s="3"/>
      <c r="W226" s="3"/>
      <c r="X226" s="3"/>
      <c r="Y226" s="3"/>
      <c r="Z226" s="3"/>
    </row>
    <row r="227" ht="15.75" customHeight="1">
      <c r="A227" s="83"/>
      <c r="B227" s="84"/>
      <c r="C227" s="85"/>
      <c r="D227" s="22"/>
      <c r="E227" s="15"/>
      <c r="F227" s="16"/>
      <c r="G227" s="25"/>
      <c r="H227" s="37"/>
      <c r="I227" s="87"/>
      <c r="J227" s="16"/>
      <c r="K227" s="16"/>
      <c r="L227" s="36"/>
      <c r="M227" s="2"/>
      <c r="N227" s="3"/>
      <c r="O227" s="2"/>
      <c r="P227" s="3"/>
      <c r="Q227" s="3"/>
      <c r="R227" s="2"/>
      <c r="S227" s="3"/>
      <c r="T227" s="3"/>
      <c r="U227" s="1"/>
      <c r="V227" s="3"/>
      <c r="W227" s="3"/>
      <c r="X227" s="3"/>
      <c r="Y227" s="3"/>
      <c r="Z227" s="3"/>
    </row>
    <row r="228">
      <c r="A228" s="88" t="s">
        <v>0</v>
      </c>
      <c r="D228" s="22"/>
      <c r="E228" s="86" t="s">
        <v>376</v>
      </c>
      <c r="F228" s="82">
        <v>46077.0</v>
      </c>
      <c r="G228" s="6"/>
      <c r="H228" s="3"/>
      <c r="I228" s="8" t="s">
        <v>3</v>
      </c>
      <c r="L228" s="4"/>
      <c r="M228" s="1"/>
      <c r="N228" s="3"/>
      <c r="O228" s="2"/>
      <c r="P228" s="3"/>
      <c r="Q228" s="3"/>
      <c r="R228" s="2"/>
      <c r="S228" s="3"/>
      <c r="T228" s="3"/>
      <c r="U228" s="1"/>
      <c r="V228" s="3"/>
      <c r="W228" s="3"/>
      <c r="X228" s="3"/>
      <c r="Y228" s="3"/>
      <c r="Z228" s="3"/>
    </row>
    <row r="229">
      <c r="A229" s="103"/>
      <c r="B229" s="101"/>
      <c r="C229" s="104"/>
      <c r="D229" s="101"/>
      <c r="E229" s="101"/>
      <c r="F229" s="101"/>
      <c r="G229" s="101"/>
      <c r="H229" s="101"/>
      <c r="I229" s="101"/>
      <c r="J229" s="101"/>
      <c r="K229" s="101"/>
      <c r="L229" s="4"/>
      <c r="M229" s="1"/>
      <c r="N229" s="3"/>
      <c r="O229" s="2"/>
      <c r="P229" s="3"/>
      <c r="Q229" s="3"/>
      <c r="R229" s="2"/>
      <c r="S229" s="3"/>
      <c r="T229" s="3"/>
      <c r="U229" s="1"/>
      <c r="V229" s="3"/>
      <c r="W229" s="3"/>
      <c r="X229" s="3"/>
      <c r="Y229" s="3"/>
      <c r="Z229" s="3"/>
    </row>
    <row r="230">
      <c r="A230" s="5" t="s">
        <v>4</v>
      </c>
      <c r="B230" s="10" t="s">
        <v>5</v>
      </c>
      <c r="C230" s="96" t="s">
        <v>6</v>
      </c>
      <c r="D230" s="10" t="s">
        <v>7</v>
      </c>
      <c r="E230" s="10" t="s">
        <v>8</v>
      </c>
      <c r="F230" s="10" t="s">
        <v>9</v>
      </c>
      <c r="G230" s="101"/>
      <c r="H230" s="101"/>
      <c r="I230" s="10" t="s">
        <v>260</v>
      </c>
      <c r="J230" s="10" t="s">
        <v>8</v>
      </c>
      <c r="K230" s="10" t="s">
        <v>10</v>
      </c>
      <c r="L230" s="4"/>
      <c r="M230" s="1"/>
      <c r="N230" s="3"/>
      <c r="O230" s="2"/>
      <c r="P230" s="3"/>
      <c r="Q230" s="3"/>
      <c r="R230" s="2"/>
      <c r="S230" s="3"/>
      <c r="T230" s="3"/>
      <c r="U230" s="1"/>
      <c r="V230" s="3"/>
      <c r="W230" s="3"/>
      <c r="X230" s="3"/>
      <c r="Y230" s="3"/>
      <c r="Z230" s="3"/>
    </row>
    <row r="231">
      <c r="A231" s="83">
        <v>4.0</v>
      </c>
      <c r="B231" s="84" t="s">
        <v>18</v>
      </c>
      <c r="C231" s="85" t="s">
        <v>30</v>
      </c>
      <c r="D231" s="22">
        <v>63000.0</v>
      </c>
      <c r="E231" s="15">
        <f t="shared" ref="E231:E243" si="42">A231*D231</f>
        <v>252000</v>
      </c>
      <c r="F231" s="22">
        <f t="shared" ref="F231:F243" si="43">E231*1.105</f>
        <v>278460</v>
      </c>
      <c r="G231" s="101"/>
      <c r="H231" s="101"/>
      <c r="I231" s="22">
        <v>50000.0</v>
      </c>
      <c r="J231" s="15">
        <f t="shared" ref="J231:J243" si="44">I231*A231</f>
        <v>200000</v>
      </c>
      <c r="K231" s="15">
        <f t="shared" ref="K231:K243" si="45">F231-J231</f>
        <v>78460</v>
      </c>
      <c r="L231" s="110">
        <f t="shared" ref="L231:L243" si="46">IFERROR(K231/E231, 0)</f>
        <v>0.3113492063</v>
      </c>
      <c r="M231" s="1"/>
      <c r="N231" s="3"/>
      <c r="O231" s="2"/>
      <c r="P231" s="3"/>
      <c r="Q231" s="3"/>
      <c r="R231" s="2"/>
      <c r="S231" s="3"/>
      <c r="T231" s="3"/>
      <c r="U231" s="1"/>
      <c r="V231" s="3"/>
      <c r="W231" s="3"/>
      <c r="X231" s="3"/>
      <c r="Y231" s="3"/>
      <c r="Z231" s="3"/>
    </row>
    <row r="232">
      <c r="A232" s="83">
        <v>3.0</v>
      </c>
      <c r="B232" s="84" t="s">
        <v>18</v>
      </c>
      <c r="C232" s="85" t="s">
        <v>56</v>
      </c>
      <c r="D232" s="22">
        <v>35000.0</v>
      </c>
      <c r="E232" s="15">
        <f t="shared" si="42"/>
        <v>105000</v>
      </c>
      <c r="F232" s="22">
        <f t="shared" si="43"/>
        <v>116025</v>
      </c>
      <c r="G232" s="101"/>
      <c r="H232" s="101"/>
      <c r="I232" s="22">
        <v>23000.0</v>
      </c>
      <c r="J232" s="15">
        <f t="shared" si="44"/>
        <v>69000</v>
      </c>
      <c r="K232" s="15">
        <f t="shared" si="45"/>
        <v>47025</v>
      </c>
      <c r="L232" s="110">
        <f t="shared" si="46"/>
        <v>0.4478571429</v>
      </c>
      <c r="M232" s="1"/>
      <c r="N232" s="3"/>
      <c r="O232" s="2"/>
      <c r="P232" s="3"/>
      <c r="Q232" s="3"/>
      <c r="R232" s="2"/>
      <c r="S232" s="3"/>
      <c r="T232" s="3"/>
      <c r="U232" s="1"/>
      <c r="V232" s="3"/>
      <c r="W232" s="3"/>
      <c r="X232" s="3"/>
      <c r="Y232" s="3"/>
      <c r="Z232" s="3"/>
    </row>
    <row r="233">
      <c r="A233" s="83">
        <v>4.0</v>
      </c>
      <c r="B233" s="84" t="s">
        <v>18</v>
      </c>
      <c r="C233" s="85" t="s">
        <v>214</v>
      </c>
      <c r="D233" s="22">
        <v>38000.0</v>
      </c>
      <c r="E233" s="15">
        <f t="shared" si="42"/>
        <v>152000</v>
      </c>
      <c r="F233" s="22">
        <f t="shared" si="43"/>
        <v>167960</v>
      </c>
      <c r="G233" s="101"/>
      <c r="H233" s="101"/>
      <c r="I233" s="22">
        <v>25000.0</v>
      </c>
      <c r="J233" s="15">
        <f t="shared" si="44"/>
        <v>100000</v>
      </c>
      <c r="K233" s="15">
        <f t="shared" si="45"/>
        <v>67960</v>
      </c>
      <c r="L233" s="110">
        <f t="shared" si="46"/>
        <v>0.4471052632</v>
      </c>
      <c r="M233" s="1"/>
      <c r="N233" s="3"/>
      <c r="O233" s="2"/>
      <c r="P233" s="3"/>
      <c r="Q233" s="3"/>
      <c r="R233" s="2"/>
      <c r="S233" s="3"/>
      <c r="T233" s="3"/>
      <c r="U233" s="1"/>
      <c r="V233" s="3"/>
      <c r="W233" s="3"/>
      <c r="X233" s="3"/>
      <c r="Y233" s="3"/>
      <c r="Z233" s="3"/>
    </row>
    <row r="234">
      <c r="A234" s="83">
        <v>4.0</v>
      </c>
      <c r="B234" s="84" t="s">
        <v>18</v>
      </c>
      <c r="C234" s="85" t="s">
        <v>201</v>
      </c>
      <c r="D234" s="22">
        <v>38000.0</v>
      </c>
      <c r="E234" s="15">
        <f t="shared" si="42"/>
        <v>152000</v>
      </c>
      <c r="F234" s="22">
        <f t="shared" si="43"/>
        <v>167960</v>
      </c>
      <c r="G234" s="101"/>
      <c r="H234" s="113"/>
      <c r="I234" s="22">
        <v>30000.0</v>
      </c>
      <c r="J234" s="15">
        <f t="shared" si="44"/>
        <v>120000</v>
      </c>
      <c r="K234" s="15">
        <f t="shared" si="45"/>
        <v>47960</v>
      </c>
      <c r="L234" s="110">
        <f t="shared" si="46"/>
        <v>0.3155263158</v>
      </c>
      <c r="M234" s="1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83">
        <v>18.0</v>
      </c>
      <c r="B235" s="84" t="s">
        <v>33</v>
      </c>
      <c r="C235" s="85" t="s">
        <v>34</v>
      </c>
      <c r="D235" s="22">
        <v>1000.0</v>
      </c>
      <c r="E235" s="15">
        <f t="shared" si="42"/>
        <v>18000</v>
      </c>
      <c r="F235" s="22">
        <f t="shared" si="43"/>
        <v>19890</v>
      </c>
      <c r="G235" s="101"/>
      <c r="H235" s="101"/>
      <c r="I235" s="22">
        <v>600.0</v>
      </c>
      <c r="J235" s="15">
        <f t="shared" si="44"/>
        <v>10800</v>
      </c>
      <c r="K235" s="15">
        <f t="shared" si="45"/>
        <v>9090</v>
      </c>
      <c r="L235" s="110">
        <f t="shared" si="46"/>
        <v>0.505</v>
      </c>
      <c r="M235" s="1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A236" s="83">
        <v>3.0</v>
      </c>
      <c r="B236" s="84" t="s">
        <v>18</v>
      </c>
      <c r="C236" s="85" t="s">
        <v>64</v>
      </c>
      <c r="D236" s="22">
        <v>30000.0</v>
      </c>
      <c r="E236" s="15">
        <f t="shared" si="42"/>
        <v>90000</v>
      </c>
      <c r="F236" s="22">
        <f t="shared" si="43"/>
        <v>99450</v>
      </c>
      <c r="G236" s="101"/>
      <c r="H236" s="101"/>
      <c r="I236" s="22">
        <v>20000.0</v>
      </c>
      <c r="J236" s="15">
        <f t="shared" si="44"/>
        <v>60000</v>
      </c>
      <c r="K236" s="15">
        <f t="shared" si="45"/>
        <v>39450</v>
      </c>
      <c r="L236" s="110">
        <f t="shared" si="46"/>
        <v>0.4383333333</v>
      </c>
      <c r="M236" s="1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83">
        <v>2.0</v>
      </c>
      <c r="B237" s="84" t="s">
        <v>18</v>
      </c>
      <c r="C237" s="85" t="s">
        <v>194</v>
      </c>
      <c r="D237" s="22">
        <v>12000.0</v>
      </c>
      <c r="E237" s="15">
        <f t="shared" si="42"/>
        <v>24000</v>
      </c>
      <c r="F237" s="22">
        <f t="shared" si="43"/>
        <v>26520</v>
      </c>
      <c r="G237" s="101"/>
      <c r="H237" s="101"/>
      <c r="I237" s="22">
        <v>4500.0</v>
      </c>
      <c r="J237" s="15">
        <f t="shared" si="44"/>
        <v>9000</v>
      </c>
      <c r="K237" s="15">
        <f t="shared" si="45"/>
        <v>17520</v>
      </c>
      <c r="L237" s="110">
        <f t="shared" si="46"/>
        <v>0.73</v>
      </c>
      <c r="M237" s="1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8.0" customHeight="1">
      <c r="A238" s="83">
        <v>1.0</v>
      </c>
      <c r="B238" s="84" t="s">
        <v>29</v>
      </c>
      <c r="C238" s="85" t="s">
        <v>195</v>
      </c>
      <c r="D238" s="22">
        <v>10000.0</v>
      </c>
      <c r="E238" s="15">
        <f t="shared" si="42"/>
        <v>10000</v>
      </c>
      <c r="F238" s="22">
        <f t="shared" si="43"/>
        <v>11050</v>
      </c>
      <c r="G238" s="101"/>
      <c r="H238" s="101"/>
      <c r="I238" s="22">
        <v>9000.0</v>
      </c>
      <c r="J238" s="15">
        <f t="shared" si="44"/>
        <v>9000</v>
      </c>
      <c r="K238" s="15">
        <f t="shared" si="45"/>
        <v>2050</v>
      </c>
      <c r="L238" s="110">
        <f t="shared" si="46"/>
        <v>0.205</v>
      </c>
      <c r="M238" s="1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>
      <c r="A239" s="83">
        <v>1.0</v>
      </c>
      <c r="B239" s="84" t="s">
        <v>18</v>
      </c>
      <c r="C239" s="85" t="s">
        <v>64</v>
      </c>
      <c r="D239" s="22">
        <v>30000.0</v>
      </c>
      <c r="E239" s="15">
        <f t="shared" si="42"/>
        <v>30000</v>
      </c>
      <c r="F239" s="22">
        <f t="shared" si="43"/>
        <v>33150</v>
      </c>
      <c r="G239" s="113" t="s">
        <v>38</v>
      </c>
      <c r="H239" s="101"/>
      <c r="I239" s="22"/>
      <c r="J239" s="15">
        <f t="shared" si="44"/>
        <v>0</v>
      </c>
      <c r="K239" s="15">
        <f t="shared" si="45"/>
        <v>33150</v>
      </c>
      <c r="L239" s="110">
        <f t="shared" si="46"/>
        <v>1.105</v>
      </c>
      <c r="M239" s="1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>
      <c r="A240" s="83">
        <v>1.0</v>
      </c>
      <c r="B240" s="84" t="s">
        <v>18</v>
      </c>
      <c r="C240" s="85" t="s">
        <v>30</v>
      </c>
      <c r="D240" s="22">
        <v>63000.0</v>
      </c>
      <c r="E240" s="15">
        <f t="shared" si="42"/>
        <v>63000</v>
      </c>
      <c r="F240" s="22">
        <f t="shared" si="43"/>
        <v>69615</v>
      </c>
      <c r="G240" s="113" t="s">
        <v>38</v>
      </c>
      <c r="H240" s="101"/>
      <c r="I240" s="22"/>
      <c r="J240" s="15">
        <f t="shared" si="44"/>
        <v>0</v>
      </c>
      <c r="K240" s="15">
        <f t="shared" si="45"/>
        <v>69615</v>
      </c>
      <c r="L240" s="110">
        <f t="shared" si="46"/>
        <v>1.105</v>
      </c>
      <c r="M240" s="1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>
      <c r="A241" s="83">
        <v>1.0</v>
      </c>
      <c r="B241" s="84" t="s">
        <v>18</v>
      </c>
      <c r="C241" s="85" t="s">
        <v>56</v>
      </c>
      <c r="D241" s="22">
        <v>35000.0</v>
      </c>
      <c r="E241" s="15">
        <f t="shared" si="42"/>
        <v>35000</v>
      </c>
      <c r="F241" s="22">
        <f t="shared" si="43"/>
        <v>38675</v>
      </c>
      <c r="G241" s="113" t="s">
        <v>41</v>
      </c>
      <c r="H241" s="101"/>
      <c r="I241" s="22"/>
      <c r="J241" s="15">
        <f t="shared" si="44"/>
        <v>0</v>
      </c>
      <c r="K241" s="15">
        <f t="shared" si="45"/>
        <v>38675</v>
      </c>
      <c r="L241" s="110">
        <f t="shared" si="46"/>
        <v>1.105</v>
      </c>
      <c r="M241" s="1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>
      <c r="A242" s="83">
        <v>1.0</v>
      </c>
      <c r="B242" s="84" t="s">
        <v>18</v>
      </c>
      <c r="C242" s="85" t="s">
        <v>201</v>
      </c>
      <c r="D242" s="22">
        <v>38000.0</v>
      </c>
      <c r="E242" s="15">
        <f t="shared" si="42"/>
        <v>38000</v>
      </c>
      <c r="F242" s="22">
        <f t="shared" si="43"/>
        <v>41990</v>
      </c>
      <c r="G242" s="113" t="s">
        <v>41</v>
      </c>
      <c r="H242" s="101"/>
      <c r="I242" s="22"/>
      <c r="J242" s="15">
        <f t="shared" si="44"/>
        <v>0</v>
      </c>
      <c r="K242" s="15">
        <f t="shared" si="45"/>
        <v>41990</v>
      </c>
      <c r="L242" s="110">
        <f t="shared" si="46"/>
        <v>1.105</v>
      </c>
      <c r="M242" s="1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>
      <c r="A243" s="83">
        <v>1.0</v>
      </c>
      <c r="B243" s="84" t="s">
        <v>18</v>
      </c>
      <c r="C243" s="85" t="s">
        <v>214</v>
      </c>
      <c r="D243" s="22">
        <v>38000.0</v>
      </c>
      <c r="E243" s="15">
        <f t="shared" si="42"/>
        <v>38000</v>
      </c>
      <c r="F243" s="22">
        <f t="shared" si="43"/>
        <v>41990</v>
      </c>
      <c r="G243" s="113" t="s">
        <v>41</v>
      </c>
      <c r="H243" s="101"/>
      <c r="I243" s="22"/>
      <c r="J243" s="15">
        <f t="shared" si="44"/>
        <v>0</v>
      </c>
      <c r="K243" s="15">
        <f t="shared" si="45"/>
        <v>41990</v>
      </c>
      <c r="L243" s="110">
        <f t="shared" si="46"/>
        <v>1.105</v>
      </c>
      <c r="M243" s="1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15.75" customHeight="1">
      <c r="A244" s="5"/>
      <c r="B244" s="10"/>
      <c r="C244" s="11"/>
      <c r="D244" s="12"/>
      <c r="E244" s="10"/>
      <c r="F244" s="10"/>
      <c r="G244" s="3"/>
      <c r="H244" s="3"/>
      <c r="I244" s="10"/>
      <c r="J244" s="10"/>
      <c r="K244" s="10"/>
      <c r="L244" s="110"/>
      <c r="M244" s="1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5"/>
      <c r="B245" s="10"/>
      <c r="C245" s="11"/>
      <c r="D245" s="12"/>
      <c r="E245" s="15">
        <f t="shared" ref="E245:F245" si="47">SUM(E231:E243)</f>
        <v>1007000</v>
      </c>
      <c r="F245" s="15">
        <f t="shared" si="47"/>
        <v>1112735</v>
      </c>
      <c r="G245" s="101"/>
      <c r="H245" s="101"/>
      <c r="I245" s="101"/>
      <c r="J245" s="101"/>
      <c r="K245" s="15">
        <f>SUM(K231:K243)</f>
        <v>534935</v>
      </c>
      <c r="L245" s="110">
        <f>IFERROR(K245/E245, 0)</f>
        <v>0.5312164846</v>
      </c>
      <c r="M245" s="1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 ht="15.75" customHeight="1">
      <c r="A246" s="83"/>
      <c r="B246" s="84"/>
      <c r="C246" s="85"/>
      <c r="D246" s="22"/>
      <c r="E246" s="15"/>
      <c r="F246" s="16"/>
      <c r="G246" s="25"/>
      <c r="H246" s="37"/>
      <c r="I246" s="87"/>
      <c r="J246" s="16"/>
      <c r="K246" s="16"/>
      <c r="L246" s="36"/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 ht="15.75" customHeight="1">
      <c r="A247" s="83"/>
      <c r="B247" s="84"/>
      <c r="C247" s="85"/>
      <c r="D247" s="22"/>
      <c r="E247" s="15"/>
      <c r="F247" s="16"/>
      <c r="G247" s="25"/>
      <c r="H247" s="37"/>
      <c r="I247" s="87"/>
      <c r="J247" s="16"/>
      <c r="K247" s="16"/>
      <c r="L247" s="36"/>
      <c r="M247" s="2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 ht="15.75" customHeight="1">
      <c r="A248" s="83"/>
      <c r="B248" s="84"/>
      <c r="C248" s="85"/>
      <c r="D248" s="22"/>
      <c r="E248" s="15"/>
      <c r="F248" s="16"/>
      <c r="G248" s="25"/>
      <c r="H248" s="37"/>
      <c r="I248" s="22"/>
      <c r="J248" s="16"/>
      <c r="K248" s="16"/>
      <c r="L248" s="36"/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 ht="15.75" customHeight="1">
      <c r="A249" s="83"/>
      <c r="B249" s="84"/>
      <c r="C249" s="85"/>
      <c r="D249" s="22"/>
      <c r="E249" s="15"/>
      <c r="F249" s="16"/>
      <c r="G249" s="25"/>
      <c r="H249" s="37"/>
      <c r="I249" s="87"/>
      <c r="J249" s="16"/>
      <c r="K249" s="16"/>
      <c r="L249" s="36"/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 ht="18.0" customHeight="1">
      <c r="A250" s="30" t="s">
        <v>120</v>
      </c>
      <c r="B250" s="31">
        <f>F245+E225+F212+F178+F142+F104+F71+F32</f>
        <v>3731490.7</v>
      </c>
      <c r="C250" s="85"/>
      <c r="D250" s="22"/>
      <c r="E250" s="15"/>
      <c r="F250" s="16"/>
      <c r="G250" s="25"/>
      <c r="H250" s="98"/>
      <c r="I250" s="87"/>
      <c r="J250" s="16"/>
      <c r="K250" s="16"/>
      <c r="L250" s="36"/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1"/>
      <c r="B251" s="2"/>
      <c r="C251" s="85"/>
      <c r="D251" s="22"/>
      <c r="E251" s="15"/>
      <c r="F251" s="16"/>
      <c r="G251" s="25"/>
      <c r="H251" s="37"/>
      <c r="I251" s="87"/>
      <c r="J251" s="16"/>
      <c r="K251" s="16"/>
      <c r="L251" s="36"/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 ht="24.75" customHeight="1">
      <c r="A252" s="30" t="s">
        <v>121</v>
      </c>
      <c r="B252" s="108">
        <f>K245+K225+K212+K178+K142+K104+K71+K32</f>
        <v>1327945.625</v>
      </c>
      <c r="C252" s="85"/>
      <c r="D252" s="22"/>
      <c r="E252" s="15"/>
      <c r="F252" s="16"/>
      <c r="G252" s="25"/>
      <c r="H252" s="37"/>
      <c r="I252" s="87"/>
      <c r="J252" s="16"/>
      <c r="K252" s="16"/>
      <c r="L252" s="36"/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 ht="15.75" customHeight="1">
      <c r="A253" s="1"/>
      <c r="B253" s="2"/>
      <c r="C253" s="14"/>
      <c r="D253" s="15"/>
      <c r="E253" s="16"/>
      <c r="F253" s="16"/>
      <c r="H253" s="25"/>
      <c r="I253" s="16"/>
      <c r="J253" s="16"/>
      <c r="K253" s="16"/>
      <c r="L253" s="36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3.25" customHeight="1">
      <c r="A255" s="30" t="s">
        <v>123</v>
      </c>
      <c r="B255" s="41">
        <f>B252/B250</f>
        <v>0.3558753678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2"/>
      <c r="C256" s="24"/>
      <c r="D256" s="81"/>
      <c r="E256" s="82"/>
      <c r="F256" s="33"/>
      <c r="G256" s="25"/>
      <c r="H256" s="25"/>
      <c r="I256" s="16"/>
      <c r="J256" s="16"/>
      <c r="K256" s="16"/>
      <c r="L256" s="36"/>
      <c r="M256" s="2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 ht="15.75" customHeight="1">
      <c r="A257" s="42" t="s">
        <v>124</v>
      </c>
      <c r="C257" s="35"/>
      <c r="D257" s="25"/>
      <c r="E257" s="25"/>
      <c r="F257" s="25"/>
      <c r="G257" s="25"/>
      <c r="H257" s="25"/>
      <c r="I257" s="16"/>
      <c r="J257" s="16"/>
      <c r="K257" s="16"/>
      <c r="L257" s="36"/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5"/>
      <c r="B258" s="10"/>
      <c r="C258" s="11"/>
      <c r="D258" s="12"/>
      <c r="E258" s="10"/>
      <c r="F258" s="12"/>
      <c r="G258" s="25"/>
      <c r="H258" s="25"/>
      <c r="I258" s="12"/>
      <c r="J258" s="12"/>
      <c r="K258" s="12"/>
      <c r="L258" s="36"/>
      <c r="M258" s="2"/>
      <c r="N258" s="3"/>
      <c r="O258" s="2"/>
      <c r="P258" s="3"/>
      <c r="Q258" s="3"/>
      <c r="R258" s="2"/>
      <c r="S258" s="3"/>
      <c r="T258" s="3"/>
      <c r="U258" s="1"/>
      <c r="V258" s="3"/>
      <c r="W258" s="3"/>
      <c r="X258" s="3"/>
      <c r="Y258" s="3"/>
      <c r="Z258" s="3"/>
    </row>
    <row r="259" ht="15.75" customHeight="1">
      <c r="A259" s="83"/>
      <c r="B259" s="84"/>
      <c r="C259" s="85"/>
      <c r="D259" s="22"/>
      <c r="E259" s="15"/>
      <c r="F259" s="16"/>
      <c r="G259" s="25"/>
      <c r="H259" s="37"/>
      <c r="I259" s="87"/>
      <c r="J259" s="16"/>
      <c r="K259" s="16"/>
      <c r="L259" s="36"/>
      <c r="M259" s="2"/>
      <c r="N259" s="3"/>
      <c r="O259" s="2"/>
      <c r="P259" s="3"/>
      <c r="Q259" s="3"/>
      <c r="R259" s="2"/>
      <c r="S259" s="3"/>
      <c r="T259" s="3"/>
      <c r="U259" s="1"/>
      <c r="V259" s="3"/>
      <c r="W259" s="3"/>
      <c r="X259" s="3"/>
      <c r="Y259" s="3"/>
      <c r="Z259" s="3"/>
    </row>
    <row r="260" ht="15.75" customHeight="1">
      <c r="A260" s="83"/>
      <c r="B260" s="84"/>
      <c r="C260" s="85"/>
      <c r="D260" s="22"/>
      <c r="E260" s="15"/>
      <c r="F260" s="16"/>
      <c r="G260" s="25"/>
      <c r="H260" s="37"/>
      <c r="I260" s="87"/>
      <c r="J260" s="16"/>
      <c r="K260" s="16"/>
      <c r="L260" s="111"/>
      <c r="M260" s="2"/>
      <c r="N260" s="3"/>
      <c r="O260" s="2"/>
      <c r="P260" s="3"/>
      <c r="Q260" s="3"/>
      <c r="R260" s="2"/>
      <c r="S260" s="3"/>
      <c r="T260" s="3"/>
      <c r="U260" s="1"/>
      <c r="V260" s="3"/>
      <c r="W260" s="3"/>
      <c r="X260" s="3"/>
      <c r="Y260" s="3"/>
      <c r="Z260" s="3"/>
    </row>
    <row r="261" ht="15.75" customHeight="1">
      <c r="A261" s="83"/>
      <c r="B261" s="84"/>
      <c r="C261" s="85"/>
      <c r="D261" s="22"/>
      <c r="E261" s="15"/>
      <c r="F261" s="16"/>
      <c r="G261" s="25"/>
      <c r="H261" s="37"/>
      <c r="I261" s="87"/>
      <c r="J261" s="16"/>
      <c r="K261" s="16"/>
      <c r="L261" s="36"/>
      <c r="M261" s="2"/>
      <c r="N261" s="3"/>
      <c r="O261" s="2"/>
      <c r="P261" s="3"/>
      <c r="Q261" s="3"/>
      <c r="R261" s="2"/>
      <c r="S261" s="3"/>
      <c r="T261" s="3"/>
      <c r="U261" s="1"/>
      <c r="V261" s="3"/>
      <c r="W261" s="3"/>
      <c r="X261" s="3"/>
      <c r="Y261" s="3"/>
      <c r="Z261" s="3"/>
    </row>
    <row r="262" ht="15.75" customHeight="1">
      <c r="A262" s="83"/>
      <c r="B262" s="84"/>
      <c r="C262" s="85"/>
      <c r="D262" s="22"/>
      <c r="E262" s="15"/>
      <c r="F262" s="16"/>
      <c r="G262" s="25"/>
      <c r="H262" s="37"/>
      <c r="I262" s="87"/>
      <c r="J262" s="16"/>
      <c r="K262" s="16"/>
      <c r="L262" s="36"/>
      <c r="M262" s="2"/>
      <c r="N262" s="3"/>
      <c r="O262" s="2"/>
      <c r="P262" s="3"/>
      <c r="Q262" s="3"/>
      <c r="R262" s="2"/>
      <c r="S262" s="3"/>
      <c r="T262" s="3"/>
      <c r="U262" s="1"/>
      <c r="V262" s="3"/>
      <c r="W262" s="3"/>
      <c r="X262" s="3"/>
      <c r="Y262" s="3"/>
      <c r="Z262" s="3"/>
    </row>
    <row r="263" ht="15.75" customHeight="1">
      <c r="A263" s="83"/>
      <c r="B263" s="84"/>
      <c r="C263" s="85"/>
      <c r="D263" s="22"/>
      <c r="E263" s="15"/>
      <c r="F263" s="16"/>
      <c r="G263" s="25"/>
      <c r="H263" s="37"/>
      <c r="I263" s="87"/>
      <c r="J263" s="16"/>
      <c r="K263" s="16"/>
      <c r="L263" s="36"/>
      <c r="M263" s="2"/>
      <c r="N263" s="3"/>
      <c r="O263" s="2"/>
      <c r="P263" s="3"/>
      <c r="Q263" s="3"/>
      <c r="R263" s="2"/>
      <c r="S263" s="3"/>
      <c r="T263" s="3"/>
      <c r="U263" s="1"/>
      <c r="V263" s="3"/>
      <c r="W263" s="3"/>
      <c r="X263" s="3"/>
      <c r="Y263" s="3"/>
      <c r="Z263" s="3"/>
    </row>
    <row r="264" ht="15.75" customHeight="1">
      <c r="A264" s="83"/>
      <c r="B264" s="84"/>
      <c r="C264" s="85"/>
      <c r="D264" s="22"/>
      <c r="E264" s="15"/>
      <c r="F264" s="16"/>
      <c r="G264" s="25"/>
      <c r="H264" s="37"/>
      <c r="I264" s="22"/>
      <c r="J264" s="16"/>
      <c r="K264" s="16"/>
      <c r="L264" s="36"/>
      <c r="M264" s="2"/>
      <c r="N264" s="3"/>
      <c r="O264" s="2"/>
      <c r="P264" s="3"/>
      <c r="Q264" s="3"/>
      <c r="R264" s="2"/>
      <c r="S264" s="3"/>
      <c r="T264" s="3"/>
      <c r="U264" s="1"/>
      <c r="V264" s="3"/>
      <c r="W264" s="3"/>
      <c r="X264" s="3"/>
      <c r="Y264" s="3"/>
      <c r="Z264" s="3"/>
    </row>
    <row r="265" ht="15.75" customHeight="1">
      <c r="A265" s="83"/>
      <c r="B265" s="84"/>
      <c r="C265" s="85"/>
      <c r="D265" s="22"/>
      <c r="E265" s="15"/>
      <c r="F265" s="16"/>
      <c r="G265" s="25"/>
      <c r="H265" s="37"/>
      <c r="I265" s="87"/>
      <c r="J265" s="16"/>
      <c r="K265" s="16"/>
      <c r="L265" s="36"/>
      <c r="M265" s="2"/>
      <c r="N265" s="3"/>
      <c r="O265" s="2"/>
      <c r="P265" s="3"/>
      <c r="Q265" s="3"/>
      <c r="R265" s="2"/>
      <c r="S265" s="3"/>
      <c r="T265" s="3"/>
      <c r="U265" s="1"/>
      <c r="V265" s="3"/>
      <c r="W265" s="3"/>
      <c r="X265" s="3"/>
      <c r="Y265" s="3"/>
      <c r="Z265" s="3"/>
    </row>
    <row r="266" ht="15.75" customHeight="1">
      <c r="A266" s="83"/>
      <c r="B266" s="84"/>
      <c r="C266" s="85"/>
      <c r="D266" s="22"/>
      <c r="E266" s="15"/>
      <c r="F266" s="16"/>
      <c r="G266" s="25"/>
      <c r="H266" s="98"/>
      <c r="I266" s="87"/>
      <c r="J266" s="16"/>
      <c r="K266" s="16"/>
      <c r="L266" s="36"/>
      <c r="M266" s="2"/>
      <c r="N266" s="3"/>
      <c r="O266" s="2"/>
      <c r="P266" s="3"/>
      <c r="Q266" s="3"/>
      <c r="R266" s="2"/>
      <c r="S266" s="3"/>
      <c r="T266" s="3"/>
      <c r="U266" s="1"/>
      <c r="V266" s="3"/>
      <c r="W266" s="3"/>
      <c r="X266" s="3"/>
      <c r="Y266" s="3"/>
      <c r="Z266" s="3"/>
    </row>
    <row r="267">
      <c r="A267" s="83"/>
      <c r="B267" s="84"/>
      <c r="C267" s="85"/>
      <c r="D267" s="22"/>
      <c r="E267" s="15"/>
      <c r="F267" s="16"/>
      <c r="G267" s="25"/>
      <c r="H267" s="37"/>
      <c r="I267" s="87"/>
      <c r="J267" s="16"/>
      <c r="K267" s="16"/>
      <c r="L267" s="36"/>
      <c r="M267" s="2"/>
      <c r="N267" s="3"/>
      <c r="O267" s="2"/>
      <c r="P267" s="3"/>
      <c r="Q267" s="3"/>
      <c r="R267" s="2"/>
      <c r="S267" s="3"/>
      <c r="T267" s="3"/>
      <c r="U267" s="1"/>
      <c r="V267" s="3"/>
      <c r="W267" s="3"/>
      <c r="X267" s="3"/>
      <c r="Y267" s="3"/>
      <c r="Z267" s="3"/>
    </row>
    <row r="268">
      <c r="A268" s="83"/>
      <c r="B268" s="84"/>
      <c r="C268" s="85"/>
      <c r="D268" s="22"/>
      <c r="E268" s="15"/>
      <c r="F268" s="16"/>
      <c r="G268" s="25"/>
      <c r="H268" s="37"/>
      <c r="I268" s="87"/>
      <c r="J268" s="16"/>
      <c r="K268" s="16"/>
      <c r="L268" s="36"/>
      <c r="M268" s="2"/>
      <c r="N268" s="3"/>
      <c r="O268" s="2"/>
      <c r="P268" s="3"/>
      <c r="Q268" s="3"/>
      <c r="R268" s="2"/>
      <c r="S268" s="3"/>
      <c r="T268" s="3"/>
      <c r="U268" s="1"/>
      <c r="V268" s="3"/>
      <c r="W268" s="3"/>
      <c r="X268" s="3"/>
      <c r="Y268" s="3"/>
      <c r="Z268" s="3"/>
    </row>
    <row r="269" ht="15.75" customHeight="1">
      <c r="A269" s="83"/>
      <c r="B269" s="84"/>
      <c r="C269" s="85"/>
      <c r="D269" s="22"/>
      <c r="E269" s="15"/>
      <c r="F269" s="16"/>
      <c r="G269" s="25"/>
      <c r="H269" s="37"/>
      <c r="I269" s="87"/>
      <c r="J269" s="16"/>
      <c r="K269" s="16"/>
      <c r="L269" s="36"/>
      <c r="M269" s="2"/>
      <c r="N269" s="3"/>
      <c r="O269" s="2"/>
      <c r="P269" s="3"/>
      <c r="Q269" s="3"/>
      <c r="R269" s="2"/>
      <c r="S269" s="3"/>
      <c r="T269" s="3"/>
      <c r="U269" s="1"/>
      <c r="V269" s="3"/>
      <c r="W269" s="3"/>
      <c r="X269" s="3"/>
      <c r="Y269" s="3"/>
      <c r="Z269" s="3"/>
    </row>
    <row r="270" ht="15.75" customHeight="1">
      <c r="A270" s="83"/>
      <c r="B270" s="84"/>
      <c r="C270" s="85"/>
      <c r="D270" s="22"/>
      <c r="E270" s="15"/>
      <c r="F270" s="16"/>
      <c r="G270" s="25"/>
      <c r="H270" s="37"/>
      <c r="I270" s="87"/>
      <c r="J270" s="16"/>
      <c r="K270" s="16"/>
      <c r="L270" s="36"/>
      <c r="M270" s="2"/>
      <c r="N270" s="3"/>
      <c r="O270" s="2"/>
      <c r="P270" s="3"/>
      <c r="Q270" s="3"/>
      <c r="R270" s="2"/>
      <c r="S270" s="3"/>
      <c r="T270" s="3"/>
      <c r="U270" s="1"/>
      <c r="V270" s="3"/>
      <c r="W270" s="3"/>
      <c r="X270" s="3"/>
      <c r="Y270" s="3"/>
      <c r="Z270" s="3"/>
    </row>
    <row r="271" ht="15.75" customHeight="1">
      <c r="A271" s="83"/>
      <c r="B271" s="84"/>
      <c r="C271" s="85"/>
      <c r="D271" s="22"/>
      <c r="E271" s="15"/>
      <c r="F271" s="16"/>
      <c r="H271" s="25"/>
      <c r="I271" s="87"/>
      <c r="J271" s="16"/>
      <c r="K271" s="16"/>
      <c r="L271" s="36"/>
      <c r="N271" s="3"/>
      <c r="O271" s="2"/>
      <c r="P271" s="3"/>
      <c r="Q271" s="3"/>
      <c r="R271" s="2"/>
      <c r="S271" s="3"/>
      <c r="T271" s="3"/>
      <c r="U271" s="1"/>
      <c r="V271" s="3"/>
      <c r="W271" s="3"/>
      <c r="X271" s="3"/>
      <c r="Y271" s="3"/>
      <c r="Z271" s="3"/>
    </row>
    <row r="272" ht="15.75" customHeight="1">
      <c r="A272" s="83"/>
      <c r="B272" s="84"/>
      <c r="C272" s="85"/>
      <c r="D272" s="22"/>
      <c r="E272" s="15"/>
      <c r="F272" s="16"/>
      <c r="H272" s="25"/>
      <c r="I272" s="87"/>
      <c r="J272" s="16"/>
      <c r="K272" s="16"/>
      <c r="L272" s="36"/>
      <c r="N272" s="3"/>
      <c r="O272" s="2"/>
      <c r="P272" s="3"/>
      <c r="Q272" s="3"/>
      <c r="R272" s="2"/>
      <c r="S272" s="3"/>
      <c r="T272" s="3"/>
      <c r="U272" s="1"/>
      <c r="V272" s="3"/>
      <c r="W272" s="3"/>
      <c r="X272" s="3"/>
      <c r="Y272" s="3"/>
      <c r="Z272" s="3"/>
    </row>
    <row r="273" ht="15.75" customHeight="1">
      <c r="A273" s="83"/>
      <c r="B273" s="84"/>
      <c r="C273" s="85"/>
      <c r="D273" s="22"/>
      <c r="E273" s="15"/>
      <c r="F273" s="16"/>
      <c r="H273" s="25"/>
      <c r="I273" s="87"/>
      <c r="J273" s="16"/>
      <c r="K273" s="16"/>
      <c r="L273" s="36"/>
      <c r="N273" s="3"/>
      <c r="O273" s="2"/>
      <c r="P273" s="3"/>
      <c r="Q273" s="3"/>
      <c r="R273" s="2"/>
      <c r="S273" s="3"/>
      <c r="T273" s="3"/>
      <c r="U273" s="1"/>
      <c r="V273" s="3"/>
      <c r="W273" s="3"/>
      <c r="X273" s="3"/>
      <c r="Y273" s="3"/>
      <c r="Z273" s="3"/>
    </row>
    <row r="274" ht="15.75" customHeight="1">
      <c r="A274" s="13"/>
      <c r="B274" s="12"/>
      <c r="C274" s="14"/>
      <c r="D274" s="15"/>
      <c r="E274" s="16"/>
      <c r="F274" s="16"/>
      <c r="H274" s="25"/>
      <c r="I274" s="16"/>
      <c r="J274" s="16"/>
      <c r="K274" s="16"/>
      <c r="L274" s="36"/>
      <c r="N274" s="3"/>
      <c r="O274" s="2"/>
      <c r="P274" s="3"/>
      <c r="Q274" s="3"/>
      <c r="R274" s="2"/>
      <c r="S274" s="3"/>
      <c r="T274" s="3"/>
      <c r="U274" s="1"/>
      <c r="V274" s="3"/>
      <c r="W274" s="3"/>
      <c r="X274" s="3"/>
      <c r="Y274" s="3"/>
      <c r="Z274" s="3"/>
    </row>
    <row r="275" ht="15.75" customHeight="1">
      <c r="A275" s="13"/>
      <c r="B275" s="12"/>
      <c r="C275" s="14"/>
      <c r="D275" s="15"/>
      <c r="E275" s="16"/>
      <c r="F275" s="16"/>
      <c r="G275" s="25"/>
      <c r="H275" s="25"/>
      <c r="I275" s="16"/>
      <c r="J275" s="16"/>
      <c r="K275" s="16"/>
      <c r="L275" s="110"/>
      <c r="M275" s="2"/>
      <c r="N275" s="3"/>
      <c r="O275" s="2"/>
      <c r="P275" s="3"/>
      <c r="Q275" s="3"/>
      <c r="R275" s="2"/>
      <c r="S275" s="3"/>
      <c r="T275" s="3"/>
      <c r="U275" s="1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30"/>
      <c r="B278" s="3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30"/>
      <c r="B280" s="10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39"/>
      <c r="B282" s="9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6.25" customHeight="1">
      <c r="A284" s="30"/>
      <c r="B284" s="4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</sheetData>
  <mergeCells count="16">
    <mergeCell ref="A2:C2"/>
    <mergeCell ref="I2:K2"/>
    <mergeCell ref="A35:C35"/>
    <mergeCell ref="I35:K35"/>
    <mergeCell ref="A75:C75"/>
    <mergeCell ref="I75:K75"/>
    <mergeCell ref="I107:K107"/>
    <mergeCell ref="A257:B257"/>
    <mergeCell ref="A286:B286"/>
    <mergeCell ref="A107:C107"/>
    <mergeCell ref="A145:C145"/>
    <mergeCell ref="I145:K145"/>
    <mergeCell ref="A182:C182"/>
    <mergeCell ref="I182:K182"/>
    <mergeCell ref="A228:C228"/>
    <mergeCell ref="I228:K228"/>
  </mergeCells>
  <conditionalFormatting sqref="L1:L32 L35:L71 L75:L178 L182:L212 L215:L225 L254:L255 L276:L746">
    <cfRule type="cellIs" dxfId="0" priority="1" operator="lessThan">
      <formula>"20%"</formula>
    </cfRule>
  </conditionalFormatting>
  <conditionalFormatting sqref="L1:L32 L35:L71 L75:L178 L182:L212 L215:L225 L254:L255 L276:L746">
    <cfRule type="cellIs" dxfId="1" priority="2" operator="between">
      <formula>"20.01%"</formula>
      <formula>"25%"</formula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 ht="15.75" customHeight="1">
      <c r="A2" s="5" t="s">
        <v>369</v>
      </c>
      <c r="E2" s="86" t="s">
        <v>62</v>
      </c>
      <c r="F2" s="82">
        <v>46078.0</v>
      </c>
      <c r="G2" s="86"/>
      <c r="H2" s="3"/>
      <c r="I2" s="8" t="s">
        <v>3</v>
      </c>
      <c r="L2" s="4"/>
      <c r="M2" s="2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 ht="15.75" customHeight="1">
      <c r="A3" s="1"/>
      <c r="B3" s="3"/>
      <c r="C3" s="9"/>
      <c r="D3" s="3"/>
      <c r="E3" s="3"/>
      <c r="F3" s="3"/>
      <c r="G3" s="3"/>
      <c r="H3" s="3"/>
      <c r="I3" s="3"/>
      <c r="J3" s="3"/>
      <c r="K3" s="3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 ht="15.75" customHeight="1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102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2.0</v>
      </c>
      <c r="B5" s="84" t="s">
        <v>33</v>
      </c>
      <c r="C5" s="85" t="s">
        <v>99</v>
      </c>
      <c r="D5" s="22">
        <v>1800.0</v>
      </c>
      <c r="E5" s="15">
        <f t="shared" ref="E5:E20" si="1">A5*D5</f>
        <v>3600</v>
      </c>
      <c r="F5" s="15">
        <f t="shared" ref="F5:F20" si="2">E5*1.105</f>
        <v>3978</v>
      </c>
      <c r="G5" s="101"/>
      <c r="H5" s="101"/>
      <c r="I5" s="22">
        <v>1000.0</v>
      </c>
      <c r="J5" s="15">
        <f t="shared" ref="J5:J20" si="3">I5*A5</f>
        <v>2000</v>
      </c>
      <c r="K5" s="15">
        <f t="shared" ref="K5:K20" si="4">F5-J5</f>
        <v>1978</v>
      </c>
      <c r="L5" s="110">
        <f t="shared" ref="L5:L20" si="5">IFERROR(K5/E5, 0)</f>
        <v>0.5494444444</v>
      </c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2.0</v>
      </c>
      <c r="B6" s="84" t="s">
        <v>33</v>
      </c>
      <c r="C6" s="85" t="s">
        <v>233</v>
      </c>
      <c r="D6" s="22">
        <v>2800.0</v>
      </c>
      <c r="E6" s="15">
        <f t="shared" si="1"/>
        <v>5600</v>
      </c>
      <c r="F6" s="15">
        <f t="shared" si="2"/>
        <v>6188</v>
      </c>
      <c r="G6" s="101"/>
      <c r="H6" s="101"/>
      <c r="I6" s="87"/>
      <c r="J6" s="15">
        <f t="shared" si="3"/>
        <v>0</v>
      </c>
      <c r="K6" s="15">
        <f t="shared" si="4"/>
        <v>6188</v>
      </c>
      <c r="L6" s="110">
        <f t="shared" si="5"/>
        <v>1.105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8.0</v>
      </c>
      <c r="B7" s="84" t="s">
        <v>50</v>
      </c>
      <c r="C7" s="85" t="s">
        <v>65</v>
      </c>
      <c r="D7" s="22">
        <v>500.0</v>
      </c>
      <c r="E7" s="15">
        <f t="shared" si="1"/>
        <v>4000</v>
      </c>
      <c r="F7" s="15">
        <f t="shared" si="2"/>
        <v>4420</v>
      </c>
      <c r="G7" s="101"/>
      <c r="H7" s="101"/>
      <c r="I7" s="22">
        <f>5000/24</f>
        <v>208.3333333</v>
      </c>
      <c r="J7" s="15">
        <f t="shared" si="3"/>
        <v>1666.666667</v>
      </c>
      <c r="K7" s="15">
        <f t="shared" si="4"/>
        <v>2753.333333</v>
      </c>
      <c r="L7" s="110">
        <f t="shared" si="5"/>
        <v>0.6883333333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4.0</v>
      </c>
      <c r="B8" s="84" t="s">
        <v>33</v>
      </c>
      <c r="C8" s="85" t="s">
        <v>64</v>
      </c>
      <c r="D8" s="22">
        <v>2300.0</v>
      </c>
      <c r="E8" s="15">
        <f t="shared" si="1"/>
        <v>9200</v>
      </c>
      <c r="F8" s="15">
        <f t="shared" si="2"/>
        <v>10166</v>
      </c>
      <c r="G8" s="101"/>
      <c r="H8" s="101"/>
      <c r="I8" s="22">
        <f>18000/15</f>
        <v>1200</v>
      </c>
      <c r="J8" s="15">
        <f t="shared" si="3"/>
        <v>4800</v>
      </c>
      <c r="K8" s="15">
        <f t="shared" si="4"/>
        <v>5366</v>
      </c>
      <c r="L8" s="110">
        <f t="shared" si="5"/>
        <v>0.5832608696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>
      <c r="A9" s="83">
        <v>1.0</v>
      </c>
      <c r="B9" s="84" t="s">
        <v>5</v>
      </c>
      <c r="C9" s="85" t="s">
        <v>104</v>
      </c>
      <c r="D9" s="22">
        <v>2500.0</v>
      </c>
      <c r="E9" s="15">
        <f t="shared" si="1"/>
        <v>2500</v>
      </c>
      <c r="F9" s="15">
        <f t="shared" si="2"/>
        <v>2762.5</v>
      </c>
      <c r="G9" s="101"/>
      <c r="H9" s="101"/>
      <c r="I9" s="22">
        <v>1000.0</v>
      </c>
      <c r="J9" s="15">
        <f t="shared" si="3"/>
        <v>1000</v>
      </c>
      <c r="K9" s="15">
        <f t="shared" si="4"/>
        <v>1762.5</v>
      </c>
      <c r="L9" s="110">
        <f t="shared" si="5"/>
        <v>0.705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>
      <c r="A10" s="83">
        <v>1.0</v>
      </c>
      <c r="B10" s="84" t="s">
        <v>38</v>
      </c>
      <c r="C10" s="85" t="s">
        <v>47</v>
      </c>
      <c r="D10" s="22">
        <v>13000.0</v>
      </c>
      <c r="E10" s="15">
        <f t="shared" si="1"/>
        <v>13000</v>
      </c>
      <c r="F10" s="15">
        <f t="shared" si="2"/>
        <v>14365</v>
      </c>
      <c r="G10" s="101"/>
      <c r="H10" s="101"/>
      <c r="I10" s="22">
        <v>8000.0</v>
      </c>
      <c r="J10" s="15">
        <f t="shared" si="3"/>
        <v>8000</v>
      </c>
      <c r="K10" s="15">
        <f t="shared" si="4"/>
        <v>6365</v>
      </c>
      <c r="L10" s="110">
        <f t="shared" si="5"/>
        <v>0.4896153846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>
      <c r="A11" s="83">
        <v>3.0</v>
      </c>
      <c r="B11" s="84" t="s">
        <v>38</v>
      </c>
      <c r="C11" s="85" t="s">
        <v>179</v>
      </c>
      <c r="D11" s="22">
        <v>21000.0</v>
      </c>
      <c r="E11" s="15">
        <f t="shared" si="1"/>
        <v>63000</v>
      </c>
      <c r="F11" s="15">
        <f t="shared" si="2"/>
        <v>69615</v>
      </c>
      <c r="G11" s="101"/>
      <c r="H11" s="113"/>
      <c r="I11" s="22">
        <v>18000.0</v>
      </c>
      <c r="J11" s="15">
        <f t="shared" si="3"/>
        <v>54000</v>
      </c>
      <c r="K11" s="15">
        <f t="shared" si="4"/>
        <v>15615</v>
      </c>
      <c r="L11" s="110">
        <f t="shared" si="5"/>
        <v>0.2478571429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>
      <c r="A12" s="83">
        <v>1.0</v>
      </c>
      <c r="B12" s="84" t="s">
        <v>5</v>
      </c>
      <c r="C12" s="85" t="s">
        <v>95</v>
      </c>
      <c r="D12" s="22">
        <v>2500.0</v>
      </c>
      <c r="E12" s="15">
        <f t="shared" si="1"/>
        <v>2500</v>
      </c>
      <c r="F12" s="15">
        <f t="shared" si="2"/>
        <v>2762.5</v>
      </c>
      <c r="G12" s="101"/>
      <c r="H12" s="101"/>
      <c r="I12" s="22">
        <f>16000/9</f>
        <v>1777.777778</v>
      </c>
      <c r="J12" s="15">
        <f t="shared" si="3"/>
        <v>1777.777778</v>
      </c>
      <c r="K12" s="15">
        <f t="shared" si="4"/>
        <v>984.7222222</v>
      </c>
      <c r="L12" s="110">
        <f t="shared" si="5"/>
        <v>0.3938888889</v>
      </c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1.0</v>
      </c>
      <c r="B13" s="84" t="s">
        <v>33</v>
      </c>
      <c r="C13" s="85" t="s">
        <v>24</v>
      </c>
      <c r="D13" s="22">
        <v>4000.0</v>
      </c>
      <c r="E13" s="15">
        <f t="shared" si="1"/>
        <v>4000</v>
      </c>
      <c r="F13" s="15">
        <f t="shared" si="2"/>
        <v>4420</v>
      </c>
      <c r="G13" s="101"/>
      <c r="H13" s="101"/>
      <c r="I13" s="22">
        <f>20000/7</f>
        <v>2857.142857</v>
      </c>
      <c r="J13" s="15">
        <f t="shared" si="3"/>
        <v>2857.142857</v>
      </c>
      <c r="K13" s="15">
        <f t="shared" si="4"/>
        <v>1562.857143</v>
      </c>
      <c r="L13" s="110">
        <f t="shared" si="5"/>
        <v>0.3907142857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2.0</v>
      </c>
      <c r="B14" s="84" t="s">
        <v>33</v>
      </c>
      <c r="C14" s="85" t="s">
        <v>174</v>
      </c>
      <c r="D14" s="22">
        <v>1600.0</v>
      </c>
      <c r="E14" s="15">
        <f t="shared" si="1"/>
        <v>3200</v>
      </c>
      <c r="F14" s="15">
        <f t="shared" si="2"/>
        <v>3536</v>
      </c>
      <c r="G14" s="101"/>
      <c r="H14" s="101"/>
      <c r="I14" s="22">
        <f>13000/17</f>
        <v>764.7058824</v>
      </c>
      <c r="J14" s="15">
        <f t="shared" si="3"/>
        <v>1529.411765</v>
      </c>
      <c r="K14" s="15">
        <f t="shared" si="4"/>
        <v>2006.588235</v>
      </c>
      <c r="L14" s="110">
        <f t="shared" si="5"/>
        <v>0.6270588235</v>
      </c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2.0</v>
      </c>
      <c r="B15" s="84" t="s">
        <v>33</v>
      </c>
      <c r="C15" s="85" t="s">
        <v>67</v>
      </c>
      <c r="D15" s="22">
        <v>800.0</v>
      </c>
      <c r="E15" s="15">
        <f t="shared" si="1"/>
        <v>1600</v>
      </c>
      <c r="F15" s="15">
        <f t="shared" si="2"/>
        <v>1768</v>
      </c>
      <c r="G15" s="101"/>
      <c r="H15" s="101"/>
      <c r="I15" s="22">
        <f>8000/17</f>
        <v>470.5882353</v>
      </c>
      <c r="J15" s="15">
        <f t="shared" si="3"/>
        <v>941.1764706</v>
      </c>
      <c r="K15" s="15">
        <f t="shared" si="4"/>
        <v>826.8235294</v>
      </c>
      <c r="L15" s="110">
        <f t="shared" si="5"/>
        <v>0.5167647059</v>
      </c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1.0</v>
      </c>
      <c r="B16" s="84" t="s">
        <v>33</v>
      </c>
      <c r="C16" s="85" t="s">
        <v>22</v>
      </c>
      <c r="D16" s="22">
        <v>1000.0</v>
      </c>
      <c r="E16" s="15">
        <f t="shared" si="1"/>
        <v>1000</v>
      </c>
      <c r="F16" s="15">
        <f t="shared" si="2"/>
        <v>1105</v>
      </c>
      <c r="G16" s="101"/>
      <c r="H16" s="101"/>
      <c r="I16" s="22">
        <f>10000/14</f>
        <v>714.2857143</v>
      </c>
      <c r="J16" s="15">
        <f t="shared" si="3"/>
        <v>714.2857143</v>
      </c>
      <c r="K16" s="15">
        <f t="shared" si="4"/>
        <v>390.7142857</v>
      </c>
      <c r="L16" s="110">
        <f t="shared" si="5"/>
        <v>0.3907142857</v>
      </c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83">
        <v>0.5</v>
      </c>
      <c r="B17" s="84" t="s">
        <v>33</v>
      </c>
      <c r="C17" s="85" t="s">
        <v>20</v>
      </c>
      <c r="D17" s="22">
        <v>3500.0</v>
      </c>
      <c r="E17" s="15">
        <f t="shared" si="1"/>
        <v>1750</v>
      </c>
      <c r="F17" s="15">
        <f t="shared" si="2"/>
        <v>1933.75</v>
      </c>
      <c r="G17" s="101"/>
      <c r="H17" s="101"/>
      <c r="I17" s="22">
        <f>18000/8</f>
        <v>2250</v>
      </c>
      <c r="J17" s="15">
        <f t="shared" si="3"/>
        <v>1125</v>
      </c>
      <c r="K17" s="15">
        <f t="shared" si="4"/>
        <v>808.75</v>
      </c>
      <c r="L17" s="110">
        <f t="shared" si="5"/>
        <v>0.4621428571</v>
      </c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83">
        <v>9.0</v>
      </c>
      <c r="B18" s="84" t="s">
        <v>33</v>
      </c>
      <c r="C18" s="85" t="s">
        <v>78</v>
      </c>
      <c r="D18" s="22">
        <v>4500.0</v>
      </c>
      <c r="E18" s="15">
        <f t="shared" si="1"/>
        <v>40500</v>
      </c>
      <c r="F18" s="15">
        <f t="shared" si="2"/>
        <v>44752.5</v>
      </c>
      <c r="G18" s="101"/>
      <c r="H18" s="101"/>
      <c r="I18" s="87">
        <f>35000/17</f>
        <v>2058.823529</v>
      </c>
      <c r="J18" s="15">
        <f t="shared" si="3"/>
        <v>18529.41176</v>
      </c>
      <c r="K18" s="15">
        <f t="shared" si="4"/>
        <v>26223.08824</v>
      </c>
      <c r="L18" s="110">
        <f t="shared" si="5"/>
        <v>0.6474836601</v>
      </c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5.0</v>
      </c>
      <c r="B19" s="84" t="s">
        <v>33</v>
      </c>
      <c r="C19" s="85" t="s">
        <v>119</v>
      </c>
      <c r="D19" s="22">
        <v>3800.0</v>
      </c>
      <c r="E19" s="15">
        <f t="shared" si="1"/>
        <v>19000</v>
      </c>
      <c r="F19" s="15">
        <f t="shared" si="2"/>
        <v>20995</v>
      </c>
      <c r="G19" s="101"/>
      <c r="H19" s="113"/>
      <c r="I19" s="22">
        <f>3000</f>
        <v>3000</v>
      </c>
      <c r="J19" s="15">
        <f t="shared" si="3"/>
        <v>15000</v>
      </c>
      <c r="K19" s="15">
        <f t="shared" si="4"/>
        <v>5995</v>
      </c>
      <c r="L19" s="110">
        <f t="shared" si="5"/>
        <v>0.3155263158</v>
      </c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1.0</v>
      </c>
      <c r="B20" s="84" t="s">
        <v>50</v>
      </c>
      <c r="C20" s="85" t="s">
        <v>235</v>
      </c>
      <c r="D20" s="22">
        <v>3000.0</v>
      </c>
      <c r="E20" s="15">
        <f t="shared" si="1"/>
        <v>3000</v>
      </c>
      <c r="F20" s="15">
        <f t="shared" si="2"/>
        <v>3315</v>
      </c>
      <c r="G20" s="101"/>
      <c r="H20" s="101"/>
      <c r="I20" s="22">
        <v>1000.0</v>
      </c>
      <c r="J20" s="15">
        <f t="shared" si="3"/>
        <v>1000</v>
      </c>
      <c r="K20" s="15">
        <f t="shared" si="4"/>
        <v>2315</v>
      </c>
      <c r="L20" s="110">
        <f t="shared" si="5"/>
        <v>0.7716666667</v>
      </c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>
      <c r="A21" s="103"/>
      <c r="B21" s="101"/>
      <c r="C21" s="104"/>
      <c r="D21" s="101"/>
      <c r="E21" s="101"/>
      <c r="F21" s="101"/>
      <c r="G21" s="101"/>
      <c r="H21" s="101"/>
      <c r="I21" s="101"/>
      <c r="J21" s="101"/>
      <c r="K21" s="101"/>
      <c r="L21" s="105"/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103"/>
      <c r="B22" s="101"/>
      <c r="C22" s="104"/>
      <c r="D22" s="101"/>
      <c r="E22" s="15">
        <f t="shared" ref="E22:F22" si="6">SUM(E5:E20)</f>
        <v>177450</v>
      </c>
      <c r="F22" s="15">
        <f t="shared" si="6"/>
        <v>196082.25</v>
      </c>
      <c r="G22" s="101"/>
      <c r="H22" s="101"/>
      <c r="I22" s="101"/>
      <c r="J22" s="101"/>
      <c r="K22" s="15">
        <f>SUM(K5:K20)</f>
        <v>81141.37698</v>
      </c>
      <c r="L22" s="110">
        <f>IFERROR(K22/E22, 0)</f>
        <v>0.4572633248</v>
      </c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91"/>
      <c r="B23" s="92"/>
      <c r="C23" s="93"/>
      <c r="D23" s="22"/>
      <c r="E23" s="15"/>
      <c r="F23" s="15"/>
      <c r="G23" s="3"/>
      <c r="H23" s="3"/>
      <c r="I23" s="22"/>
      <c r="J23" s="15"/>
      <c r="K23" s="15"/>
      <c r="L23" s="36"/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91"/>
      <c r="B24" s="92"/>
      <c r="C24" s="93"/>
      <c r="D24" s="22"/>
      <c r="E24" s="15"/>
      <c r="F24" s="15"/>
      <c r="G24" s="3"/>
      <c r="H24" s="3"/>
      <c r="I24" s="22"/>
      <c r="J24" s="15"/>
      <c r="K24" s="15"/>
      <c r="L24" s="36"/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5" t="s">
        <v>42</v>
      </c>
      <c r="B25" s="95" t="s">
        <v>66</v>
      </c>
      <c r="C25" s="5"/>
      <c r="D25" s="3"/>
      <c r="E25" s="86" t="s">
        <v>377</v>
      </c>
      <c r="F25" s="82">
        <v>46078.0</v>
      </c>
      <c r="G25" s="86" t="s">
        <v>2</v>
      </c>
      <c r="H25" s="3"/>
      <c r="I25" s="8" t="s">
        <v>3</v>
      </c>
      <c r="L25" s="4"/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1"/>
      <c r="B26" s="3"/>
      <c r="C26" s="9"/>
      <c r="D26" s="3"/>
      <c r="E26" s="3"/>
      <c r="F26" s="3"/>
      <c r="G26" s="3"/>
      <c r="H26" s="3"/>
      <c r="I26" s="3"/>
      <c r="J26" s="3"/>
      <c r="K26" s="3"/>
      <c r="L26" s="4"/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5" t="s">
        <v>4</v>
      </c>
      <c r="B27" s="10" t="s">
        <v>5</v>
      </c>
      <c r="C27" s="11" t="s">
        <v>6</v>
      </c>
      <c r="D27" s="10" t="s">
        <v>7</v>
      </c>
      <c r="E27" s="10" t="s">
        <v>8</v>
      </c>
      <c r="F27" s="10" t="s">
        <v>9</v>
      </c>
      <c r="G27" s="3"/>
      <c r="H27" s="3"/>
      <c r="I27" s="10" t="s">
        <v>260</v>
      </c>
      <c r="J27" s="10" t="s">
        <v>8</v>
      </c>
      <c r="K27" s="10" t="s">
        <v>10</v>
      </c>
      <c r="L27" s="4"/>
      <c r="M27" s="1"/>
      <c r="N27" s="3"/>
      <c r="O27" s="2"/>
      <c r="P27" s="3"/>
      <c r="Q27" s="3"/>
      <c r="R27" s="9"/>
      <c r="S27" s="3"/>
      <c r="T27" s="3"/>
      <c r="U27" s="1"/>
      <c r="V27" s="3"/>
      <c r="W27" s="3"/>
      <c r="X27" s="3"/>
      <c r="Y27" s="3"/>
      <c r="Z27" s="3"/>
    </row>
    <row r="28" ht="15.75" customHeight="1">
      <c r="A28" s="91">
        <v>5.2</v>
      </c>
      <c r="B28" s="92" t="s">
        <v>33</v>
      </c>
      <c r="C28" s="93" t="s">
        <v>19</v>
      </c>
      <c r="D28" s="22">
        <v>2500.0</v>
      </c>
      <c r="E28" s="15">
        <f t="shared" ref="E28:E34" si="7">A28*D28</f>
        <v>13000</v>
      </c>
      <c r="F28" s="15">
        <f t="shared" ref="F28:F34" si="8">E28*1.105</f>
        <v>14365</v>
      </c>
      <c r="G28" s="3"/>
      <c r="H28" s="3"/>
      <c r="I28" s="22">
        <f>25000/15</f>
        <v>1666.666667</v>
      </c>
      <c r="J28" s="15">
        <f t="shared" ref="J28:J34" si="9">I28*A28</f>
        <v>8666.666667</v>
      </c>
      <c r="K28" s="15">
        <f t="shared" ref="K28:K34" si="10">F28-J28</f>
        <v>5698.333333</v>
      </c>
      <c r="L28" s="116">
        <f t="shared" ref="L28:L34" si="11">IFERROR(K28/E28, 0)</f>
        <v>0.4383333333</v>
      </c>
      <c r="M28" s="1"/>
      <c r="N28" s="3"/>
      <c r="O28" s="2"/>
      <c r="P28" s="3"/>
      <c r="Q28" s="3"/>
      <c r="R28" s="9"/>
      <c r="S28" s="3"/>
      <c r="T28" s="3"/>
      <c r="U28" s="1"/>
      <c r="V28" s="3"/>
      <c r="W28" s="3"/>
      <c r="X28" s="3"/>
      <c r="Y28" s="3"/>
      <c r="Z28" s="3"/>
    </row>
    <row r="29" ht="15.75" customHeight="1">
      <c r="A29" s="91">
        <v>3.7</v>
      </c>
      <c r="B29" s="92" t="s">
        <v>33</v>
      </c>
      <c r="C29" s="93" t="s">
        <v>192</v>
      </c>
      <c r="D29" s="22">
        <v>1200.0</v>
      </c>
      <c r="E29" s="15">
        <f t="shared" si="7"/>
        <v>4440</v>
      </c>
      <c r="F29" s="15">
        <f t="shared" si="8"/>
        <v>4906.2</v>
      </c>
      <c r="G29" s="3"/>
      <c r="H29" s="3"/>
      <c r="I29" s="15">
        <f>12000/16</f>
        <v>750</v>
      </c>
      <c r="J29" s="15">
        <f t="shared" si="9"/>
        <v>2775</v>
      </c>
      <c r="K29" s="15">
        <f t="shared" si="10"/>
        <v>2131.2</v>
      </c>
      <c r="L29" s="116">
        <f t="shared" si="11"/>
        <v>0.48</v>
      </c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 ht="15.75" customHeight="1">
      <c r="A30" s="91">
        <v>0.5</v>
      </c>
      <c r="B30" s="92" t="s">
        <v>38</v>
      </c>
      <c r="C30" s="93" t="s">
        <v>179</v>
      </c>
      <c r="D30" s="22">
        <v>20000.0</v>
      </c>
      <c r="E30" s="15">
        <f t="shared" si="7"/>
        <v>10000</v>
      </c>
      <c r="F30" s="15">
        <f t="shared" si="8"/>
        <v>11050</v>
      </c>
      <c r="G30" s="3"/>
      <c r="H30" s="3"/>
      <c r="I30" s="22">
        <v>18000.0</v>
      </c>
      <c r="J30" s="15">
        <f t="shared" si="9"/>
        <v>9000</v>
      </c>
      <c r="K30" s="15">
        <f t="shared" si="10"/>
        <v>2050</v>
      </c>
      <c r="L30" s="116">
        <f t="shared" si="11"/>
        <v>0.205</v>
      </c>
      <c r="M30" s="1"/>
      <c r="N30" s="3"/>
      <c r="O30" s="2"/>
      <c r="P30" s="3"/>
      <c r="Q30" s="3"/>
      <c r="R30" s="2"/>
      <c r="S30" s="3"/>
      <c r="T30" s="3"/>
      <c r="U30" s="1"/>
      <c r="V30" s="3"/>
      <c r="W30" s="3"/>
      <c r="X30" s="3"/>
      <c r="Y30" s="3"/>
      <c r="Z30" s="3"/>
    </row>
    <row r="31" ht="15.75" customHeight="1">
      <c r="A31" s="91">
        <v>1.0</v>
      </c>
      <c r="B31" s="92" t="s">
        <v>33</v>
      </c>
      <c r="C31" s="93" t="s">
        <v>20</v>
      </c>
      <c r="D31" s="22">
        <v>3000.0</v>
      </c>
      <c r="E31" s="15">
        <f t="shared" si="7"/>
        <v>3000</v>
      </c>
      <c r="F31" s="15">
        <f t="shared" si="8"/>
        <v>3315</v>
      </c>
      <c r="G31" s="3"/>
      <c r="H31" s="3"/>
      <c r="I31" s="15">
        <f>18000/8</f>
        <v>2250</v>
      </c>
      <c r="J31" s="15">
        <f t="shared" si="9"/>
        <v>2250</v>
      </c>
      <c r="K31" s="15">
        <f t="shared" si="10"/>
        <v>1065</v>
      </c>
      <c r="L31" s="116">
        <f t="shared" si="11"/>
        <v>0.355</v>
      </c>
      <c r="M31" s="1"/>
      <c r="N31" s="3"/>
      <c r="O31" s="2"/>
      <c r="P31" s="3"/>
      <c r="Q31" s="3"/>
      <c r="R31" s="2"/>
      <c r="S31" s="3"/>
      <c r="T31" s="3"/>
      <c r="U31" s="1"/>
      <c r="V31" s="3"/>
      <c r="W31" s="3"/>
      <c r="X31" s="3"/>
      <c r="Y31" s="3"/>
      <c r="Z31" s="3"/>
    </row>
    <row r="32" ht="15.75" customHeight="1">
      <c r="A32" s="91">
        <v>2.0</v>
      </c>
      <c r="B32" s="92" t="s">
        <v>33</v>
      </c>
      <c r="C32" s="93" t="s">
        <v>24</v>
      </c>
      <c r="D32" s="22">
        <v>4000.0</v>
      </c>
      <c r="E32" s="15">
        <f t="shared" si="7"/>
        <v>8000</v>
      </c>
      <c r="F32" s="15">
        <f t="shared" si="8"/>
        <v>8840</v>
      </c>
      <c r="G32" s="3"/>
      <c r="H32" s="3"/>
      <c r="I32" s="22">
        <f>20000/7</f>
        <v>2857.142857</v>
      </c>
      <c r="J32" s="15">
        <f t="shared" si="9"/>
        <v>5714.285714</v>
      </c>
      <c r="K32" s="15">
        <f t="shared" si="10"/>
        <v>3125.714286</v>
      </c>
      <c r="L32" s="116">
        <f t="shared" si="11"/>
        <v>0.3907142857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 ht="15.75" customHeight="1">
      <c r="A33" s="91">
        <v>4.0</v>
      </c>
      <c r="B33" s="92" t="s">
        <v>50</v>
      </c>
      <c r="C33" s="93" t="s">
        <v>65</v>
      </c>
      <c r="D33" s="22">
        <v>300.0</v>
      </c>
      <c r="E33" s="15">
        <f t="shared" si="7"/>
        <v>1200</v>
      </c>
      <c r="F33" s="15">
        <f t="shared" si="8"/>
        <v>1326</v>
      </c>
      <c r="G33" s="3"/>
      <c r="H33" s="3"/>
      <c r="I33" s="22">
        <f>5000/24</f>
        <v>208.3333333</v>
      </c>
      <c r="J33" s="15">
        <f t="shared" si="9"/>
        <v>833.3333333</v>
      </c>
      <c r="K33" s="15">
        <f t="shared" si="10"/>
        <v>492.6666667</v>
      </c>
      <c r="L33" s="116">
        <f t="shared" si="11"/>
        <v>0.4105555556</v>
      </c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 ht="15.75" customHeight="1">
      <c r="A34" s="91">
        <v>1.0</v>
      </c>
      <c r="B34" s="92" t="s">
        <v>38</v>
      </c>
      <c r="C34" s="93" t="s">
        <v>67</v>
      </c>
      <c r="D34" s="22">
        <v>10000.0</v>
      </c>
      <c r="E34" s="15">
        <f t="shared" si="7"/>
        <v>10000</v>
      </c>
      <c r="F34" s="15">
        <f t="shared" si="8"/>
        <v>11050</v>
      </c>
      <c r="G34" s="3"/>
      <c r="H34" s="3"/>
      <c r="I34" s="22">
        <v>8000.0</v>
      </c>
      <c r="J34" s="15">
        <f t="shared" si="9"/>
        <v>8000</v>
      </c>
      <c r="K34" s="15">
        <f t="shared" si="10"/>
        <v>3050</v>
      </c>
      <c r="L34" s="116">
        <f t="shared" si="11"/>
        <v>0.305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 ht="15.75" customHeight="1">
      <c r="A35" s="117"/>
      <c r="B35" s="3"/>
      <c r="C35" s="2"/>
      <c r="D35" s="3"/>
      <c r="E35" s="3"/>
      <c r="F35" s="3"/>
      <c r="G35" s="3"/>
      <c r="H35" s="3"/>
      <c r="I35" s="3"/>
      <c r="J35" s="3"/>
      <c r="K35" s="3"/>
      <c r="L35" s="118"/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 ht="15.75" customHeight="1">
      <c r="A36" s="117"/>
      <c r="B36" s="3"/>
      <c r="C36" s="2"/>
      <c r="D36" s="3"/>
      <c r="E36" s="15">
        <f t="shared" ref="E36:F36" si="12">SUM(E28:E34)</f>
        <v>49640</v>
      </c>
      <c r="F36" s="15">
        <f t="shared" si="12"/>
        <v>54852.2</v>
      </c>
      <c r="G36" s="3"/>
      <c r="H36" s="3"/>
      <c r="I36" s="3"/>
      <c r="J36" s="3"/>
      <c r="K36" s="15">
        <f>SUM(K28:K34)</f>
        <v>17612.91429</v>
      </c>
      <c r="L36" s="116">
        <f>IFERROR(K36/E36, 0)</f>
        <v>0.3548129389</v>
      </c>
      <c r="M36" s="1"/>
      <c r="N36" s="3"/>
      <c r="O36" s="2"/>
      <c r="P36" s="3"/>
      <c r="Q36" s="3"/>
      <c r="R36" s="9"/>
      <c r="S36" s="3"/>
      <c r="T36" s="3"/>
      <c r="U36" s="1"/>
      <c r="V36" s="3"/>
      <c r="W36" s="3"/>
      <c r="X36" s="3"/>
      <c r="Y36" s="3"/>
      <c r="Z36" s="3"/>
    </row>
    <row r="37">
      <c r="A37" s="91"/>
      <c r="B37" s="92"/>
      <c r="C37" s="93"/>
      <c r="D37" s="22"/>
      <c r="E37" s="15"/>
      <c r="F37" s="15"/>
      <c r="G37" s="3"/>
      <c r="H37" s="3"/>
      <c r="I37" s="22"/>
      <c r="J37" s="15"/>
      <c r="K37" s="15"/>
      <c r="L37" s="36"/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>
      <c r="A38" s="91"/>
      <c r="B38" s="92"/>
      <c r="C38" s="93"/>
      <c r="D38" s="22"/>
      <c r="E38" s="15"/>
      <c r="F38" s="15"/>
      <c r="G38" s="3"/>
      <c r="H38" s="3"/>
      <c r="I38" s="22"/>
      <c r="J38" s="15"/>
      <c r="K38" s="15"/>
      <c r="L38" s="36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>
      <c r="A39" s="91"/>
      <c r="B39" s="92"/>
      <c r="C39" s="93"/>
      <c r="D39" s="22"/>
      <c r="E39" s="15"/>
      <c r="F39" s="15"/>
      <c r="G39" s="3"/>
      <c r="H39" s="3"/>
      <c r="I39" s="22"/>
      <c r="J39" s="15"/>
      <c r="K39" s="15"/>
      <c r="L39" s="36"/>
      <c r="M39" s="1"/>
      <c r="N39" s="3"/>
      <c r="O39" s="2"/>
      <c r="P39" s="3"/>
      <c r="Q39" s="3"/>
      <c r="R39" s="2"/>
      <c r="S39" s="3"/>
      <c r="T39" s="3"/>
      <c r="U39" s="1"/>
      <c r="V39" s="3"/>
      <c r="W39" s="3"/>
      <c r="X39" s="3"/>
      <c r="Y39" s="3"/>
      <c r="Z39" s="3"/>
    </row>
    <row r="40">
      <c r="A40" s="5" t="s">
        <v>311</v>
      </c>
      <c r="D40" s="3"/>
      <c r="E40" s="86" t="s">
        <v>170</v>
      </c>
      <c r="F40" s="82">
        <v>46078.0</v>
      </c>
      <c r="G40" s="86" t="s">
        <v>2</v>
      </c>
      <c r="H40" s="3"/>
      <c r="I40" s="8" t="s">
        <v>3</v>
      </c>
      <c r="L40" s="4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1"/>
      <c r="B41" s="3"/>
      <c r="C41" s="9"/>
      <c r="D41" s="3"/>
      <c r="E41" s="3"/>
      <c r="F41" s="3"/>
      <c r="G41" s="3"/>
      <c r="H41" s="3"/>
      <c r="I41" s="3"/>
      <c r="J41" s="3"/>
      <c r="K41" s="3"/>
      <c r="L41" s="4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5" t="s">
        <v>4</v>
      </c>
      <c r="B42" s="10" t="s">
        <v>5</v>
      </c>
      <c r="C42" s="96" t="s">
        <v>6</v>
      </c>
      <c r="D42" s="10" t="s">
        <v>7</v>
      </c>
      <c r="E42" s="10" t="s">
        <v>8</v>
      </c>
      <c r="F42" s="10" t="s">
        <v>9</v>
      </c>
      <c r="G42" s="3"/>
      <c r="H42" s="3"/>
      <c r="I42" s="10" t="s">
        <v>260</v>
      </c>
      <c r="J42" s="10" t="s">
        <v>8</v>
      </c>
      <c r="K42" s="10" t="s">
        <v>10</v>
      </c>
      <c r="L42" s="4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91">
        <v>2.0</v>
      </c>
      <c r="B43" s="92" t="s">
        <v>5</v>
      </c>
      <c r="C43" s="93" t="s">
        <v>95</v>
      </c>
      <c r="D43" s="22">
        <v>2500.0</v>
      </c>
      <c r="E43" s="15">
        <f t="shared" ref="E43:E66" si="13">A43*D43</f>
        <v>5000</v>
      </c>
      <c r="F43" s="15">
        <f t="shared" ref="F43:F46" si="14">E43*1.105</f>
        <v>5525</v>
      </c>
      <c r="G43" s="3"/>
      <c r="H43" s="3"/>
      <c r="I43" s="22">
        <f>16000/9</f>
        <v>1777.777778</v>
      </c>
      <c r="J43" s="15">
        <f t="shared" ref="J43:J67" si="15">I43*A43</f>
        <v>3555.555556</v>
      </c>
      <c r="K43" s="15">
        <f t="shared" ref="K43:K67" si="16">F43-J43</f>
        <v>1969.444444</v>
      </c>
      <c r="L43" s="116">
        <f t="shared" ref="L43:L68" si="17">IFERROR(K43/E43, 0)</f>
        <v>0.3938888889</v>
      </c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91">
        <v>1.0</v>
      </c>
      <c r="B44" s="92" t="s">
        <v>38</v>
      </c>
      <c r="C44" s="93" t="s">
        <v>45</v>
      </c>
      <c r="D44" s="22">
        <v>13000.0</v>
      </c>
      <c r="E44" s="15">
        <f t="shared" si="13"/>
        <v>13000</v>
      </c>
      <c r="F44" s="15">
        <f t="shared" si="14"/>
        <v>14365</v>
      </c>
      <c r="G44" s="3"/>
      <c r="H44" s="3"/>
      <c r="I44" s="22">
        <v>8000.0</v>
      </c>
      <c r="J44" s="15">
        <f t="shared" si="15"/>
        <v>8000</v>
      </c>
      <c r="K44" s="15">
        <f t="shared" si="16"/>
        <v>6365</v>
      </c>
      <c r="L44" s="116">
        <f t="shared" si="17"/>
        <v>0.4896153846</v>
      </c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91">
        <v>1.0</v>
      </c>
      <c r="B45" s="92" t="s">
        <v>18</v>
      </c>
      <c r="C45" s="93" t="s">
        <v>103</v>
      </c>
      <c r="D45" s="22">
        <v>13000.0</v>
      </c>
      <c r="E45" s="15">
        <f t="shared" si="13"/>
        <v>13000</v>
      </c>
      <c r="F45" s="15">
        <f t="shared" si="14"/>
        <v>14365</v>
      </c>
      <c r="G45" s="3"/>
      <c r="H45" s="3"/>
      <c r="I45" s="22">
        <v>8000.0</v>
      </c>
      <c r="J45" s="15">
        <f t="shared" si="15"/>
        <v>8000</v>
      </c>
      <c r="K45" s="15">
        <f t="shared" si="16"/>
        <v>6365</v>
      </c>
      <c r="L45" s="116">
        <f t="shared" si="17"/>
        <v>0.4896153846</v>
      </c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91">
        <v>1.0</v>
      </c>
      <c r="B46" s="92" t="s">
        <v>38</v>
      </c>
      <c r="C46" s="93" t="s">
        <v>180</v>
      </c>
      <c r="D46" s="22">
        <v>16000.0</v>
      </c>
      <c r="E46" s="15">
        <f t="shared" si="13"/>
        <v>16000</v>
      </c>
      <c r="F46" s="15">
        <f t="shared" si="14"/>
        <v>17680</v>
      </c>
      <c r="G46" s="3"/>
      <c r="H46" s="3"/>
      <c r="I46" s="22">
        <v>11000.0</v>
      </c>
      <c r="J46" s="15">
        <f t="shared" si="15"/>
        <v>11000</v>
      </c>
      <c r="K46" s="15">
        <f t="shared" si="16"/>
        <v>6680</v>
      </c>
      <c r="L46" s="116">
        <f t="shared" si="17"/>
        <v>0.4175</v>
      </c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91">
        <v>0.5</v>
      </c>
      <c r="B47" s="92" t="s">
        <v>18</v>
      </c>
      <c r="C47" s="93" t="s">
        <v>277</v>
      </c>
      <c r="D47" s="22">
        <v>52000.0</v>
      </c>
      <c r="E47" s="15">
        <f t="shared" si="13"/>
        <v>26000</v>
      </c>
      <c r="F47" s="15">
        <f>E47*1.21</f>
        <v>31460</v>
      </c>
      <c r="G47" s="3"/>
      <c r="H47" s="3"/>
      <c r="I47" s="22">
        <v>55000.0</v>
      </c>
      <c r="J47" s="15">
        <f t="shared" si="15"/>
        <v>27500</v>
      </c>
      <c r="K47" s="15">
        <f t="shared" si="16"/>
        <v>3960</v>
      </c>
      <c r="L47" s="116">
        <f t="shared" si="17"/>
        <v>0.1523076923</v>
      </c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91">
        <v>3.0</v>
      </c>
      <c r="B48" s="92" t="s">
        <v>33</v>
      </c>
      <c r="C48" s="93" t="s">
        <v>67</v>
      </c>
      <c r="D48" s="22">
        <v>800.0</v>
      </c>
      <c r="E48" s="15">
        <f t="shared" si="13"/>
        <v>2400</v>
      </c>
      <c r="F48" s="15">
        <f t="shared" ref="F48:F66" si="18">E48*1.105</f>
        <v>2652</v>
      </c>
      <c r="G48" s="3"/>
      <c r="H48" s="3"/>
      <c r="I48" s="22">
        <f>8000/17</f>
        <v>470.5882353</v>
      </c>
      <c r="J48" s="15">
        <f t="shared" si="15"/>
        <v>1411.764706</v>
      </c>
      <c r="K48" s="15">
        <f t="shared" si="16"/>
        <v>1240.235294</v>
      </c>
      <c r="L48" s="116">
        <f t="shared" si="17"/>
        <v>0.5167647059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91">
        <v>2.0</v>
      </c>
      <c r="B49" s="92" t="s">
        <v>33</v>
      </c>
      <c r="C49" s="93" t="s">
        <v>174</v>
      </c>
      <c r="D49" s="22">
        <v>1600.0</v>
      </c>
      <c r="E49" s="15">
        <f t="shared" si="13"/>
        <v>3200</v>
      </c>
      <c r="F49" s="15">
        <f t="shared" si="18"/>
        <v>3536</v>
      </c>
      <c r="G49" s="3"/>
      <c r="H49" s="3"/>
      <c r="I49" s="22">
        <f>13000/17</f>
        <v>764.7058824</v>
      </c>
      <c r="J49" s="15">
        <f t="shared" si="15"/>
        <v>1529.411765</v>
      </c>
      <c r="K49" s="15">
        <f t="shared" si="16"/>
        <v>2006.588235</v>
      </c>
      <c r="L49" s="116">
        <f t="shared" si="17"/>
        <v>0.6270588235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91">
        <v>2.8</v>
      </c>
      <c r="B50" s="92" t="s">
        <v>33</v>
      </c>
      <c r="C50" s="93" t="s">
        <v>24</v>
      </c>
      <c r="D50" s="22">
        <v>4000.0</v>
      </c>
      <c r="E50" s="15">
        <f t="shared" si="13"/>
        <v>11200</v>
      </c>
      <c r="F50" s="15">
        <f t="shared" si="18"/>
        <v>12376</v>
      </c>
      <c r="G50" s="3"/>
      <c r="H50" s="3"/>
      <c r="I50" s="22">
        <f>20000/7</f>
        <v>2857.142857</v>
      </c>
      <c r="J50" s="15">
        <f t="shared" si="15"/>
        <v>8000</v>
      </c>
      <c r="K50" s="15">
        <f t="shared" si="16"/>
        <v>4376</v>
      </c>
      <c r="L50" s="116">
        <f t="shared" si="17"/>
        <v>0.3907142857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91">
        <v>2.2</v>
      </c>
      <c r="B51" s="92" t="s">
        <v>33</v>
      </c>
      <c r="C51" s="93" t="s">
        <v>26</v>
      </c>
      <c r="D51" s="22">
        <v>4000.0</v>
      </c>
      <c r="E51" s="15">
        <f t="shared" si="13"/>
        <v>8800</v>
      </c>
      <c r="F51" s="15">
        <f t="shared" si="18"/>
        <v>9724</v>
      </c>
      <c r="G51" s="3"/>
      <c r="H51" s="3"/>
      <c r="I51" s="22">
        <f>22000/7</f>
        <v>3142.857143</v>
      </c>
      <c r="J51" s="15">
        <f t="shared" si="15"/>
        <v>6914.285714</v>
      </c>
      <c r="K51" s="15">
        <f t="shared" si="16"/>
        <v>2809.714286</v>
      </c>
      <c r="L51" s="116">
        <f t="shared" si="17"/>
        <v>0.3192857143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91">
        <v>2.2</v>
      </c>
      <c r="B52" s="92" t="s">
        <v>33</v>
      </c>
      <c r="C52" s="93" t="s">
        <v>25</v>
      </c>
      <c r="D52" s="22">
        <v>3100.0</v>
      </c>
      <c r="E52" s="15">
        <f t="shared" si="13"/>
        <v>6820</v>
      </c>
      <c r="F52" s="15">
        <f t="shared" si="18"/>
        <v>7536.1</v>
      </c>
      <c r="G52" s="3"/>
      <c r="H52" s="3"/>
      <c r="I52" s="22">
        <f>12000/7</f>
        <v>1714.285714</v>
      </c>
      <c r="J52" s="15">
        <f t="shared" si="15"/>
        <v>3771.428571</v>
      </c>
      <c r="K52" s="15">
        <f t="shared" si="16"/>
        <v>3764.671429</v>
      </c>
      <c r="L52" s="116">
        <f t="shared" si="17"/>
        <v>0.5520046083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91">
        <v>3.0</v>
      </c>
      <c r="B53" s="92" t="s">
        <v>38</v>
      </c>
      <c r="C53" s="93" t="s">
        <v>179</v>
      </c>
      <c r="D53" s="22">
        <v>21000.0</v>
      </c>
      <c r="E53" s="15">
        <f t="shared" si="13"/>
        <v>63000</v>
      </c>
      <c r="F53" s="15">
        <f t="shared" si="18"/>
        <v>69615</v>
      </c>
      <c r="G53" s="3"/>
      <c r="H53" s="3"/>
      <c r="I53" s="22">
        <v>18000.0</v>
      </c>
      <c r="J53" s="15">
        <f t="shared" si="15"/>
        <v>54000</v>
      </c>
      <c r="K53" s="15">
        <f t="shared" si="16"/>
        <v>15615</v>
      </c>
      <c r="L53" s="116">
        <f t="shared" si="17"/>
        <v>0.2478571429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91">
        <v>1.0</v>
      </c>
      <c r="B54" s="92" t="s">
        <v>38</v>
      </c>
      <c r="C54" s="93" t="s">
        <v>47</v>
      </c>
      <c r="D54" s="22">
        <v>13000.0</v>
      </c>
      <c r="E54" s="15">
        <f t="shared" si="13"/>
        <v>13000</v>
      </c>
      <c r="F54" s="15">
        <f t="shared" si="18"/>
        <v>14365</v>
      </c>
      <c r="G54" s="3"/>
      <c r="H54" s="3"/>
      <c r="I54" s="22">
        <v>8000.0</v>
      </c>
      <c r="J54" s="15">
        <f t="shared" si="15"/>
        <v>8000</v>
      </c>
      <c r="K54" s="15">
        <f t="shared" si="16"/>
        <v>6365</v>
      </c>
      <c r="L54" s="116">
        <f t="shared" si="17"/>
        <v>0.4896153846</v>
      </c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91">
        <v>10.0</v>
      </c>
      <c r="B55" s="92" t="s">
        <v>33</v>
      </c>
      <c r="C55" s="93" t="s">
        <v>64</v>
      </c>
      <c r="D55" s="22">
        <v>2300.0</v>
      </c>
      <c r="E55" s="15">
        <f t="shared" si="13"/>
        <v>23000</v>
      </c>
      <c r="F55" s="15">
        <f t="shared" si="18"/>
        <v>25415</v>
      </c>
      <c r="G55" s="3"/>
      <c r="H55" s="3"/>
      <c r="I55" s="22">
        <f>18000/15</f>
        <v>1200</v>
      </c>
      <c r="J55" s="15">
        <f t="shared" si="15"/>
        <v>12000</v>
      </c>
      <c r="K55" s="15">
        <f t="shared" si="16"/>
        <v>13415</v>
      </c>
      <c r="L55" s="116">
        <f t="shared" si="17"/>
        <v>0.5832608696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91">
        <v>1.0</v>
      </c>
      <c r="B56" s="92" t="s">
        <v>33</v>
      </c>
      <c r="C56" s="93" t="s">
        <v>69</v>
      </c>
      <c r="D56" s="22">
        <v>2000.0</v>
      </c>
      <c r="E56" s="15">
        <f t="shared" si="13"/>
        <v>2000</v>
      </c>
      <c r="F56" s="15">
        <f t="shared" si="18"/>
        <v>2210</v>
      </c>
      <c r="G56" s="3"/>
      <c r="H56" s="3"/>
      <c r="I56" s="22">
        <v>0.0</v>
      </c>
      <c r="J56" s="15">
        <f t="shared" si="15"/>
        <v>0</v>
      </c>
      <c r="K56" s="15">
        <f t="shared" si="16"/>
        <v>2210</v>
      </c>
      <c r="L56" s="116">
        <f t="shared" si="17"/>
        <v>1.105</v>
      </c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91">
        <v>2.0</v>
      </c>
      <c r="B57" s="92" t="s">
        <v>33</v>
      </c>
      <c r="C57" s="93" t="s">
        <v>233</v>
      </c>
      <c r="D57" s="22">
        <v>2800.0</v>
      </c>
      <c r="E57" s="15">
        <f t="shared" si="13"/>
        <v>5600</v>
      </c>
      <c r="F57" s="15">
        <f t="shared" si="18"/>
        <v>6188</v>
      </c>
      <c r="G57" s="3"/>
      <c r="H57" s="3"/>
      <c r="I57" s="22">
        <v>0.0</v>
      </c>
      <c r="J57" s="15">
        <f t="shared" si="15"/>
        <v>0</v>
      </c>
      <c r="K57" s="15">
        <f t="shared" si="16"/>
        <v>6188</v>
      </c>
      <c r="L57" s="116">
        <f t="shared" si="17"/>
        <v>1.105</v>
      </c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91">
        <v>12.0</v>
      </c>
      <c r="B58" s="92" t="s">
        <v>11</v>
      </c>
      <c r="C58" s="93" t="s">
        <v>65</v>
      </c>
      <c r="D58" s="22">
        <v>500.0</v>
      </c>
      <c r="E58" s="15">
        <f t="shared" si="13"/>
        <v>6000</v>
      </c>
      <c r="F58" s="15">
        <f t="shared" si="18"/>
        <v>6630</v>
      </c>
      <c r="G58" s="3"/>
      <c r="H58" s="3"/>
      <c r="I58" s="22">
        <f>5000/24</f>
        <v>208.3333333</v>
      </c>
      <c r="J58" s="15">
        <f t="shared" si="15"/>
        <v>2500</v>
      </c>
      <c r="K58" s="15">
        <f t="shared" si="16"/>
        <v>4130</v>
      </c>
      <c r="L58" s="116">
        <f t="shared" si="17"/>
        <v>0.6883333333</v>
      </c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91">
        <v>3.5</v>
      </c>
      <c r="B59" s="92" t="s">
        <v>33</v>
      </c>
      <c r="C59" s="93" t="s">
        <v>98</v>
      </c>
      <c r="D59" s="22">
        <v>1800.0</v>
      </c>
      <c r="E59" s="15">
        <f t="shared" si="13"/>
        <v>6300</v>
      </c>
      <c r="F59" s="15">
        <f t="shared" si="18"/>
        <v>6961.5</v>
      </c>
      <c r="G59" s="3"/>
      <c r="H59" s="3"/>
      <c r="I59" s="22">
        <v>1000.0</v>
      </c>
      <c r="J59" s="15">
        <f t="shared" si="15"/>
        <v>3500</v>
      </c>
      <c r="K59" s="15">
        <f t="shared" si="16"/>
        <v>3461.5</v>
      </c>
      <c r="L59" s="116">
        <f t="shared" si="17"/>
        <v>0.5494444444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 ht="15.75" customHeight="1">
      <c r="A60" s="91">
        <v>3.5</v>
      </c>
      <c r="B60" s="92" t="s">
        <v>33</v>
      </c>
      <c r="C60" s="93" t="s">
        <v>99</v>
      </c>
      <c r="D60" s="22">
        <v>1800.0</v>
      </c>
      <c r="E60" s="15">
        <f t="shared" si="13"/>
        <v>6300</v>
      </c>
      <c r="F60" s="15">
        <f t="shared" si="18"/>
        <v>6961.5</v>
      </c>
      <c r="G60" s="3"/>
      <c r="H60" s="3"/>
      <c r="I60" s="22">
        <v>1000.0</v>
      </c>
      <c r="J60" s="15">
        <f t="shared" si="15"/>
        <v>3500</v>
      </c>
      <c r="K60" s="15">
        <f t="shared" si="16"/>
        <v>3461.5</v>
      </c>
      <c r="L60" s="116">
        <f t="shared" si="17"/>
        <v>0.5494444444</v>
      </c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91">
        <v>1.0</v>
      </c>
      <c r="B61" s="92" t="s">
        <v>50</v>
      </c>
      <c r="C61" s="93" t="s">
        <v>104</v>
      </c>
      <c r="D61" s="22">
        <v>2500.0</v>
      </c>
      <c r="E61" s="15">
        <f t="shared" si="13"/>
        <v>2500</v>
      </c>
      <c r="F61" s="15">
        <f t="shared" si="18"/>
        <v>2762.5</v>
      </c>
      <c r="G61" s="3"/>
      <c r="H61" s="3"/>
      <c r="I61" s="22">
        <v>1000.0</v>
      </c>
      <c r="J61" s="15">
        <f t="shared" si="15"/>
        <v>1000</v>
      </c>
      <c r="K61" s="15">
        <f t="shared" si="16"/>
        <v>1762.5</v>
      </c>
      <c r="L61" s="116">
        <f t="shared" si="17"/>
        <v>0.705</v>
      </c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 ht="15.75" customHeight="1">
      <c r="A62" s="91">
        <v>1.0</v>
      </c>
      <c r="B62" s="92" t="s">
        <v>33</v>
      </c>
      <c r="C62" s="93" t="s">
        <v>72</v>
      </c>
      <c r="D62" s="22">
        <v>2600.0</v>
      </c>
      <c r="E62" s="15">
        <f t="shared" si="13"/>
        <v>2600</v>
      </c>
      <c r="F62" s="15">
        <f t="shared" si="18"/>
        <v>2873</v>
      </c>
      <c r="G62" s="3"/>
      <c r="H62" s="3"/>
      <c r="I62" s="22">
        <f>27000/15</f>
        <v>1800</v>
      </c>
      <c r="J62" s="15">
        <f t="shared" si="15"/>
        <v>1800</v>
      </c>
      <c r="K62" s="15">
        <f t="shared" si="16"/>
        <v>1073</v>
      </c>
      <c r="L62" s="116">
        <f t="shared" si="17"/>
        <v>0.4126923077</v>
      </c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 ht="15.75" customHeight="1">
      <c r="A63" s="91">
        <v>1.0</v>
      </c>
      <c r="B63" s="92" t="s">
        <v>18</v>
      </c>
      <c r="C63" s="93" t="s">
        <v>356</v>
      </c>
      <c r="D63" s="22">
        <v>24000.0</v>
      </c>
      <c r="E63" s="15">
        <f t="shared" si="13"/>
        <v>24000</v>
      </c>
      <c r="F63" s="15">
        <f t="shared" si="18"/>
        <v>26520</v>
      </c>
      <c r="G63" s="3"/>
      <c r="H63" s="3"/>
      <c r="I63" s="22">
        <v>20000.0</v>
      </c>
      <c r="J63" s="15">
        <f t="shared" si="15"/>
        <v>20000</v>
      </c>
      <c r="K63" s="15">
        <f t="shared" si="16"/>
        <v>6520</v>
      </c>
      <c r="L63" s="116">
        <f t="shared" si="17"/>
        <v>0.2716666667</v>
      </c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 ht="15.75" customHeight="1">
      <c r="A64" s="91">
        <v>1.0</v>
      </c>
      <c r="B64" s="92" t="s">
        <v>18</v>
      </c>
      <c r="C64" s="93" t="s">
        <v>78</v>
      </c>
      <c r="D64" s="22">
        <v>55000.0</v>
      </c>
      <c r="E64" s="15">
        <f t="shared" si="13"/>
        <v>55000</v>
      </c>
      <c r="F64" s="15">
        <f t="shared" si="18"/>
        <v>60775</v>
      </c>
      <c r="G64" s="3"/>
      <c r="H64" s="3"/>
      <c r="I64" s="22">
        <v>35000.0</v>
      </c>
      <c r="J64" s="15">
        <f t="shared" si="15"/>
        <v>35000</v>
      </c>
      <c r="K64" s="15">
        <f t="shared" si="16"/>
        <v>25775</v>
      </c>
      <c r="L64" s="116">
        <f t="shared" si="17"/>
        <v>0.4686363636</v>
      </c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 ht="15.75" customHeight="1">
      <c r="A65" s="91">
        <v>6.0</v>
      </c>
      <c r="B65" s="92" t="s">
        <v>33</v>
      </c>
      <c r="C65" s="93" t="s">
        <v>119</v>
      </c>
      <c r="D65" s="22">
        <v>3800.0</v>
      </c>
      <c r="E65" s="15">
        <f t="shared" si="13"/>
        <v>22800</v>
      </c>
      <c r="F65" s="15">
        <f t="shared" si="18"/>
        <v>25194</v>
      </c>
      <c r="G65" s="3"/>
      <c r="H65" s="3"/>
      <c r="I65" s="22">
        <v>3000.0</v>
      </c>
      <c r="J65" s="15">
        <f t="shared" si="15"/>
        <v>18000</v>
      </c>
      <c r="K65" s="15">
        <f t="shared" si="16"/>
        <v>7194</v>
      </c>
      <c r="L65" s="116">
        <f t="shared" si="17"/>
        <v>0.3155263158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 ht="15.75" customHeight="1">
      <c r="A66" s="91">
        <v>4.0</v>
      </c>
      <c r="B66" s="92" t="s">
        <v>33</v>
      </c>
      <c r="C66" s="93" t="s">
        <v>378</v>
      </c>
      <c r="D66" s="22">
        <v>2800.0</v>
      </c>
      <c r="E66" s="15">
        <f t="shared" si="13"/>
        <v>11200</v>
      </c>
      <c r="F66" s="15">
        <f t="shared" si="18"/>
        <v>12376</v>
      </c>
      <c r="G66" s="3"/>
      <c r="H66" s="3"/>
      <c r="I66" s="22">
        <f>35000/18</f>
        <v>1944.444444</v>
      </c>
      <c r="J66" s="15">
        <f t="shared" si="15"/>
        <v>7777.777778</v>
      </c>
      <c r="K66" s="15">
        <f t="shared" si="16"/>
        <v>4598.222222</v>
      </c>
      <c r="L66" s="116">
        <f t="shared" si="17"/>
        <v>0.4105555556</v>
      </c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 ht="15.75" customHeight="1">
      <c r="A67" s="91"/>
      <c r="B67" s="92"/>
      <c r="C67" s="93"/>
      <c r="D67" s="22"/>
      <c r="E67" s="15"/>
      <c r="F67" s="15"/>
      <c r="G67" s="3"/>
      <c r="H67" s="3"/>
      <c r="I67" s="22"/>
      <c r="J67" s="15">
        <f t="shared" si="15"/>
        <v>0</v>
      </c>
      <c r="K67" s="15">
        <f t="shared" si="16"/>
        <v>0</v>
      </c>
      <c r="L67" s="116">
        <f t="shared" si="17"/>
        <v>0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 ht="15.75" customHeight="1">
      <c r="A68" s="117"/>
      <c r="B68" s="3"/>
      <c r="C68" s="2"/>
      <c r="D68" s="3"/>
      <c r="E68" s="15">
        <f t="shared" ref="E68:F68" si="19">SUM(E43:E67)</f>
        <v>348720</v>
      </c>
      <c r="F68" s="15">
        <f t="shared" si="19"/>
        <v>388065.6</v>
      </c>
      <c r="G68" s="3"/>
      <c r="H68" s="3"/>
      <c r="I68" s="3"/>
      <c r="J68" s="3"/>
      <c r="K68" s="15">
        <f>SUM(K43:K67)</f>
        <v>141305.3759</v>
      </c>
      <c r="L68" s="116">
        <f t="shared" si="17"/>
        <v>0.405211562</v>
      </c>
      <c r="M68" s="1"/>
      <c r="N68" s="3"/>
      <c r="O68" s="2"/>
      <c r="P68" s="3"/>
      <c r="Q68" s="3"/>
      <c r="R68" s="9"/>
      <c r="S68" s="3"/>
      <c r="T68" s="3"/>
      <c r="U68" s="1"/>
      <c r="V68" s="3"/>
      <c r="W68" s="3"/>
      <c r="X68" s="3"/>
      <c r="Y68" s="3"/>
      <c r="Z68" s="3"/>
    </row>
    <row r="69" ht="15.75" customHeight="1">
      <c r="A69" s="83"/>
      <c r="B69" s="84"/>
      <c r="C69" s="85"/>
      <c r="D69" s="22"/>
      <c r="E69" s="15"/>
      <c r="F69" s="16"/>
      <c r="G69" s="25"/>
      <c r="H69" s="37"/>
      <c r="I69" s="87"/>
      <c r="J69" s="16"/>
      <c r="K69" s="16"/>
      <c r="L69" s="1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8" t="s">
        <v>92</v>
      </c>
      <c r="E71" s="86" t="s">
        <v>337</v>
      </c>
      <c r="F71" s="82">
        <v>46078.0</v>
      </c>
      <c r="G71" s="86" t="s">
        <v>2</v>
      </c>
      <c r="H71" s="3"/>
      <c r="I71" s="8" t="s">
        <v>3</v>
      </c>
      <c r="L71" s="4"/>
      <c r="M71" s="2"/>
      <c r="N71" s="3"/>
      <c r="O71" s="2"/>
      <c r="P71" s="3"/>
      <c r="Q71" s="3"/>
      <c r="R71" s="2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1"/>
      <c r="B72" s="3"/>
      <c r="C72" s="9"/>
      <c r="D72" s="3"/>
      <c r="E72" s="3"/>
      <c r="F72" s="3"/>
      <c r="G72" s="3"/>
      <c r="H72" s="3"/>
      <c r="I72" s="3"/>
      <c r="J72" s="3"/>
      <c r="K72" s="3"/>
      <c r="L72" s="4"/>
      <c r="M72" s="1"/>
      <c r="N72" s="3"/>
      <c r="O72" s="2"/>
      <c r="P72" s="3"/>
      <c r="Q72" s="3"/>
      <c r="R72" s="2"/>
      <c r="S72" s="3"/>
      <c r="T72" s="3"/>
      <c r="U72" s="1"/>
      <c r="V72" s="3"/>
      <c r="W72" s="3"/>
      <c r="X72" s="3"/>
      <c r="Y72" s="3"/>
      <c r="Z72" s="3"/>
    </row>
    <row r="73" ht="15.75" customHeight="1">
      <c r="A73" s="5" t="s">
        <v>4</v>
      </c>
      <c r="B73" s="10" t="s">
        <v>5</v>
      </c>
      <c r="C73" s="96" t="s">
        <v>6</v>
      </c>
      <c r="D73" s="10" t="s">
        <v>7</v>
      </c>
      <c r="E73" s="10" t="s">
        <v>8</v>
      </c>
      <c r="F73" s="10" t="s">
        <v>9</v>
      </c>
      <c r="G73" s="101"/>
      <c r="H73" s="101"/>
      <c r="I73" s="10" t="s">
        <v>260</v>
      </c>
      <c r="J73" s="10" t="s">
        <v>8</v>
      </c>
      <c r="K73" s="10" t="s">
        <v>10</v>
      </c>
      <c r="L73" s="102"/>
      <c r="M73" s="1"/>
      <c r="N73" s="3"/>
      <c r="O73" s="2"/>
      <c r="P73" s="3"/>
      <c r="Q73" s="3"/>
      <c r="R73" s="2"/>
      <c r="S73" s="3"/>
      <c r="T73" s="3"/>
      <c r="U73" s="1"/>
      <c r="V73" s="3"/>
      <c r="W73" s="3"/>
      <c r="X73" s="3"/>
      <c r="Y73" s="3"/>
      <c r="Z73" s="3"/>
    </row>
    <row r="74">
      <c r="A74" s="83">
        <v>2.0</v>
      </c>
      <c r="B74" s="84" t="s">
        <v>38</v>
      </c>
      <c r="C74" s="85" t="s">
        <v>45</v>
      </c>
      <c r="D74" s="22">
        <v>12000.0</v>
      </c>
      <c r="E74" s="15">
        <f t="shared" ref="E74:E82" si="20">A74*D74</f>
        <v>24000</v>
      </c>
      <c r="F74" s="15">
        <f t="shared" ref="F74:F82" si="21">E74*1.105</f>
        <v>26520</v>
      </c>
      <c r="G74" s="101"/>
      <c r="H74" s="101"/>
      <c r="I74" s="22">
        <v>8000.0</v>
      </c>
      <c r="J74" s="15">
        <f t="shared" ref="J74:J82" si="22">I74*A74</f>
        <v>16000</v>
      </c>
      <c r="K74" s="15">
        <f t="shared" ref="K74:K82" si="23">F74-J74</f>
        <v>10520</v>
      </c>
      <c r="L74" s="110">
        <f t="shared" ref="L74:L82" si="24">IFERROR(K74/E74, 0)</f>
        <v>0.4383333333</v>
      </c>
      <c r="M74" s="1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>
      <c r="A75" s="83">
        <v>2.0</v>
      </c>
      <c r="B75" s="84" t="s">
        <v>38</v>
      </c>
      <c r="C75" s="85" t="s">
        <v>96</v>
      </c>
      <c r="D75" s="22">
        <v>12000.0</v>
      </c>
      <c r="E75" s="15">
        <f t="shared" si="20"/>
        <v>24000</v>
      </c>
      <c r="F75" s="15">
        <f t="shared" si="21"/>
        <v>26520</v>
      </c>
      <c r="G75" s="101"/>
      <c r="H75" s="101"/>
      <c r="I75" s="87">
        <v>8000.0</v>
      </c>
      <c r="J75" s="15">
        <f t="shared" si="22"/>
        <v>16000</v>
      </c>
      <c r="K75" s="15">
        <f t="shared" si="23"/>
        <v>10520</v>
      </c>
      <c r="L75" s="110">
        <f t="shared" si="24"/>
        <v>0.4383333333</v>
      </c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>
      <c r="A76" s="83">
        <v>5.0</v>
      </c>
      <c r="B76" s="84" t="s">
        <v>38</v>
      </c>
      <c r="C76" s="85" t="s">
        <v>226</v>
      </c>
      <c r="D76" s="22">
        <v>14000.0</v>
      </c>
      <c r="E76" s="15">
        <f t="shared" si="20"/>
        <v>70000</v>
      </c>
      <c r="F76" s="15">
        <f t="shared" si="21"/>
        <v>77350</v>
      </c>
      <c r="G76" s="101"/>
      <c r="H76" s="101"/>
      <c r="I76" s="22">
        <v>11000.0</v>
      </c>
      <c r="J76" s="15">
        <f t="shared" si="22"/>
        <v>55000</v>
      </c>
      <c r="K76" s="15">
        <f t="shared" si="23"/>
        <v>22350</v>
      </c>
      <c r="L76" s="110">
        <f t="shared" si="24"/>
        <v>0.3192857143</v>
      </c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2.0</v>
      </c>
      <c r="B77" s="84" t="s">
        <v>38</v>
      </c>
      <c r="C77" s="85" t="s">
        <v>180</v>
      </c>
      <c r="D77" s="22">
        <v>15000.0</v>
      </c>
      <c r="E77" s="15">
        <f t="shared" si="20"/>
        <v>30000</v>
      </c>
      <c r="F77" s="15">
        <f t="shared" si="21"/>
        <v>33150</v>
      </c>
      <c r="G77" s="101"/>
      <c r="H77" s="101"/>
      <c r="I77" s="22">
        <v>11000.0</v>
      </c>
      <c r="J77" s="15">
        <f t="shared" si="22"/>
        <v>22000</v>
      </c>
      <c r="K77" s="15">
        <f t="shared" si="23"/>
        <v>11150</v>
      </c>
      <c r="L77" s="110">
        <f t="shared" si="24"/>
        <v>0.3716666667</v>
      </c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1.0</v>
      </c>
      <c r="B78" s="84" t="s">
        <v>38</v>
      </c>
      <c r="C78" s="93" t="s">
        <v>67</v>
      </c>
      <c r="D78" s="22">
        <v>12000.0</v>
      </c>
      <c r="E78" s="15">
        <f t="shared" si="20"/>
        <v>12000</v>
      </c>
      <c r="F78" s="15">
        <f t="shared" si="21"/>
        <v>13260</v>
      </c>
      <c r="G78" s="101"/>
      <c r="H78" s="101"/>
      <c r="I78" s="22">
        <v>8000.0</v>
      </c>
      <c r="J78" s="15">
        <f t="shared" si="22"/>
        <v>8000</v>
      </c>
      <c r="K78" s="15">
        <f t="shared" si="23"/>
        <v>5260</v>
      </c>
      <c r="L78" s="110">
        <f t="shared" si="24"/>
        <v>0.4383333333</v>
      </c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1.0</v>
      </c>
      <c r="B79" s="84" t="s">
        <v>18</v>
      </c>
      <c r="C79" s="85" t="s">
        <v>24</v>
      </c>
      <c r="D79" s="22">
        <v>30000.0</v>
      </c>
      <c r="E79" s="15">
        <f t="shared" si="20"/>
        <v>30000</v>
      </c>
      <c r="F79" s="15">
        <f t="shared" si="21"/>
        <v>33150</v>
      </c>
      <c r="G79" s="101"/>
      <c r="H79" s="101"/>
      <c r="I79" s="22">
        <v>20000.0</v>
      </c>
      <c r="J79" s="15">
        <f t="shared" si="22"/>
        <v>20000</v>
      </c>
      <c r="K79" s="15">
        <f t="shared" si="23"/>
        <v>13150</v>
      </c>
      <c r="L79" s="110">
        <f t="shared" si="24"/>
        <v>0.4383333333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2.0</v>
      </c>
      <c r="B80" s="84" t="s">
        <v>18</v>
      </c>
      <c r="C80" s="85" t="s">
        <v>356</v>
      </c>
      <c r="D80" s="22">
        <v>23000.0</v>
      </c>
      <c r="E80" s="15">
        <f t="shared" si="20"/>
        <v>46000</v>
      </c>
      <c r="F80" s="15">
        <f t="shared" si="21"/>
        <v>50830</v>
      </c>
      <c r="G80" s="101"/>
      <c r="H80" s="113"/>
      <c r="I80" s="22">
        <v>20000.0</v>
      </c>
      <c r="J80" s="15">
        <f t="shared" si="22"/>
        <v>40000</v>
      </c>
      <c r="K80" s="15">
        <f t="shared" si="23"/>
        <v>10830</v>
      </c>
      <c r="L80" s="110">
        <f t="shared" si="24"/>
        <v>0.2354347826</v>
      </c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1.0</v>
      </c>
      <c r="B81" s="84" t="s">
        <v>18</v>
      </c>
      <c r="C81" s="85" t="s">
        <v>69</v>
      </c>
      <c r="D81" s="22">
        <v>25000.0</v>
      </c>
      <c r="E81" s="15">
        <f t="shared" si="20"/>
        <v>25000</v>
      </c>
      <c r="F81" s="15">
        <f t="shared" si="21"/>
        <v>27625</v>
      </c>
      <c r="G81" s="101"/>
      <c r="H81" s="101"/>
      <c r="I81" s="22">
        <v>20000.0</v>
      </c>
      <c r="J81" s="15">
        <f t="shared" si="22"/>
        <v>20000</v>
      </c>
      <c r="K81" s="15">
        <f t="shared" si="23"/>
        <v>7625</v>
      </c>
      <c r="L81" s="110">
        <f t="shared" si="24"/>
        <v>0.305</v>
      </c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1.0</v>
      </c>
      <c r="B82" s="84" t="s">
        <v>29</v>
      </c>
      <c r="C82" s="85" t="s">
        <v>78</v>
      </c>
      <c r="D82" s="22">
        <v>36000.0</v>
      </c>
      <c r="E82" s="15">
        <f t="shared" si="20"/>
        <v>36000</v>
      </c>
      <c r="F82" s="15">
        <f t="shared" si="21"/>
        <v>39780</v>
      </c>
      <c r="G82" s="101"/>
      <c r="H82" s="101"/>
      <c r="I82" s="22">
        <v>30000.0</v>
      </c>
      <c r="J82" s="15">
        <f t="shared" si="22"/>
        <v>30000</v>
      </c>
      <c r="K82" s="15">
        <f t="shared" si="23"/>
        <v>9780</v>
      </c>
      <c r="L82" s="110">
        <f t="shared" si="24"/>
        <v>0.2716666667</v>
      </c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103"/>
      <c r="B83" s="101"/>
      <c r="C83" s="104"/>
      <c r="D83" s="101"/>
      <c r="E83" s="101"/>
      <c r="F83" s="101"/>
      <c r="G83" s="101"/>
      <c r="H83" s="101"/>
      <c r="I83" s="101"/>
      <c r="J83" s="101"/>
      <c r="K83" s="101"/>
      <c r="L83" s="105"/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103"/>
      <c r="B84" s="101"/>
      <c r="C84" s="104"/>
      <c r="D84" s="101"/>
      <c r="E84" s="15">
        <f t="shared" ref="E84:F84" si="25">SUM(E74:E82)</f>
        <v>297000</v>
      </c>
      <c r="F84" s="15">
        <f t="shared" si="25"/>
        <v>328185</v>
      </c>
      <c r="G84" s="101"/>
      <c r="H84" s="101"/>
      <c r="I84" s="101"/>
      <c r="J84" s="101"/>
      <c r="K84" s="15">
        <f>SUM(K74:K82)</f>
        <v>101185</v>
      </c>
      <c r="L84" s="110">
        <f>IFERROR(K84/E84, 0)</f>
        <v>0.3406902357</v>
      </c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5"/>
      <c r="C86" s="5"/>
      <c r="E86" s="86"/>
      <c r="F86" s="82"/>
      <c r="G86" s="6"/>
      <c r="H86" s="3"/>
      <c r="I86" s="8"/>
      <c r="J86" s="8"/>
      <c r="K86" s="8"/>
      <c r="L86" s="4"/>
      <c r="M86" s="2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5" t="s">
        <v>352</v>
      </c>
      <c r="E87" s="86" t="s">
        <v>62</v>
      </c>
      <c r="F87" s="82">
        <v>46078.0</v>
      </c>
      <c r="G87" s="86" t="s">
        <v>2</v>
      </c>
      <c r="H87" s="3"/>
      <c r="I87" s="8" t="s">
        <v>3</v>
      </c>
      <c r="L87" s="4"/>
      <c r="M87" s="2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>
      <c r="A88" s="1"/>
      <c r="B88" s="3"/>
      <c r="C88" s="9"/>
      <c r="D88" s="3"/>
      <c r="E88" s="3"/>
      <c r="F88" s="3"/>
      <c r="G88" s="3"/>
      <c r="H88" s="3"/>
      <c r="I88" s="3"/>
      <c r="J88" s="3"/>
      <c r="K88" s="3"/>
      <c r="L88" s="4"/>
      <c r="M88" s="1"/>
      <c r="N88" s="3"/>
      <c r="O88" s="2"/>
      <c r="P88" s="3"/>
      <c r="Q88" s="3"/>
      <c r="R88" s="2"/>
      <c r="S88" s="3"/>
      <c r="T88" s="3"/>
      <c r="U88" s="1"/>
      <c r="V88" s="3"/>
      <c r="W88" s="3"/>
      <c r="X88" s="3"/>
      <c r="Y88" s="3"/>
      <c r="Z88" s="3"/>
    </row>
    <row r="89">
      <c r="A89" s="5" t="s">
        <v>4</v>
      </c>
      <c r="B89" s="10" t="s">
        <v>5</v>
      </c>
      <c r="C89" s="96" t="s">
        <v>6</v>
      </c>
      <c r="D89" s="10" t="s">
        <v>7</v>
      </c>
      <c r="E89" s="10" t="s">
        <v>8</v>
      </c>
      <c r="F89" s="10" t="s">
        <v>9</v>
      </c>
      <c r="G89" s="101"/>
      <c r="H89" s="101"/>
      <c r="I89" s="10" t="s">
        <v>260</v>
      </c>
      <c r="J89" s="10" t="s">
        <v>8</v>
      </c>
      <c r="K89" s="10" t="s">
        <v>10</v>
      </c>
      <c r="L89" s="102"/>
      <c r="M89" s="1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83">
        <v>2.0</v>
      </c>
      <c r="B90" s="84" t="s">
        <v>18</v>
      </c>
      <c r="C90" s="85" t="s">
        <v>64</v>
      </c>
      <c r="D90" s="22">
        <v>32000.0</v>
      </c>
      <c r="E90" s="15">
        <f t="shared" ref="E90:E124" si="26">A90*D90</f>
        <v>64000</v>
      </c>
      <c r="F90" s="15">
        <f t="shared" ref="F90:F92" si="27">E90*1.105</f>
        <v>70720</v>
      </c>
      <c r="G90" s="101"/>
      <c r="H90" s="113" t="s">
        <v>13</v>
      </c>
      <c r="I90" s="22">
        <v>18000.0</v>
      </c>
      <c r="J90" s="15">
        <f t="shared" ref="J90:J124" si="28">I90*A90</f>
        <v>36000</v>
      </c>
      <c r="K90" s="15">
        <f t="shared" ref="K90:K124" si="29">F90-J90</f>
        <v>34720</v>
      </c>
      <c r="L90" s="110">
        <f t="shared" ref="L90:L124" si="30">IFERROR(K90/E90, 0)</f>
        <v>0.5425</v>
      </c>
      <c r="M90" s="1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83">
        <v>1.0</v>
      </c>
      <c r="B91" s="84" t="s">
        <v>18</v>
      </c>
      <c r="C91" s="85" t="s">
        <v>233</v>
      </c>
      <c r="D91" s="22">
        <v>14000.0</v>
      </c>
      <c r="E91" s="15">
        <f t="shared" si="26"/>
        <v>14000</v>
      </c>
      <c r="F91" s="15">
        <f t="shared" si="27"/>
        <v>15470</v>
      </c>
      <c r="G91" s="101"/>
      <c r="H91" s="101"/>
      <c r="I91" s="87">
        <v>10000.0</v>
      </c>
      <c r="J91" s="15">
        <f t="shared" si="28"/>
        <v>10000</v>
      </c>
      <c r="K91" s="15">
        <f t="shared" si="29"/>
        <v>5470</v>
      </c>
      <c r="L91" s="110">
        <f t="shared" si="30"/>
        <v>0.3907142857</v>
      </c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83">
        <v>1.0</v>
      </c>
      <c r="B92" s="84" t="s">
        <v>18</v>
      </c>
      <c r="C92" s="85" t="s">
        <v>65</v>
      </c>
      <c r="D92" s="22">
        <v>8000.0</v>
      </c>
      <c r="E92" s="15">
        <f t="shared" si="26"/>
        <v>8000</v>
      </c>
      <c r="F92" s="15">
        <f t="shared" si="27"/>
        <v>8840</v>
      </c>
      <c r="G92" s="101"/>
      <c r="H92" s="101"/>
      <c r="I92" s="22">
        <v>5000.0</v>
      </c>
      <c r="J92" s="15">
        <f t="shared" si="28"/>
        <v>5000</v>
      </c>
      <c r="K92" s="15">
        <f t="shared" si="29"/>
        <v>3840</v>
      </c>
      <c r="L92" s="110">
        <f t="shared" si="30"/>
        <v>0.48</v>
      </c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3">
        <v>0.5</v>
      </c>
      <c r="B93" s="84" t="s">
        <v>18</v>
      </c>
      <c r="C93" s="85" t="s">
        <v>277</v>
      </c>
      <c r="D93" s="22">
        <v>52000.0</v>
      </c>
      <c r="E93" s="15">
        <f t="shared" si="26"/>
        <v>26000</v>
      </c>
      <c r="F93" s="15">
        <f>E93*1.21</f>
        <v>31460</v>
      </c>
      <c r="G93" s="101"/>
      <c r="H93" s="101"/>
      <c r="I93" s="22">
        <v>48000.0</v>
      </c>
      <c r="J93" s="15">
        <f t="shared" si="28"/>
        <v>24000</v>
      </c>
      <c r="K93" s="15">
        <f t="shared" si="29"/>
        <v>7460</v>
      </c>
      <c r="L93" s="110">
        <f t="shared" si="30"/>
        <v>0.2869230769</v>
      </c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3">
        <v>1.0</v>
      </c>
      <c r="B94" s="84" t="s">
        <v>18</v>
      </c>
      <c r="C94" s="85" t="s">
        <v>103</v>
      </c>
      <c r="D94" s="22">
        <v>13000.0</v>
      </c>
      <c r="E94" s="15">
        <f t="shared" si="26"/>
        <v>13000</v>
      </c>
      <c r="F94" s="15">
        <f t="shared" ref="F94:F124" si="31">E94*1.105</f>
        <v>14365</v>
      </c>
      <c r="G94" s="101"/>
      <c r="H94" s="101"/>
      <c r="I94" s="22">
        <v>8000.0</v>
      </c>
      <c r="J94" s="15">
        <f t="shared" si="28"/>
        <v>8000</v>
      </c>
      <c r="K94" s="15">
        <f t="shared" si="29"/>
        <v>6365</v>
      </c>
      <c r="L94" s="110">
        <f t="shared" si="30"/>
        <v>0.4896153846</v>
      </c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2.0</v>
      </c>
      <c r="B95" s="84" t="s">
        <v>50</v>
      </c>
      <c r="C95" s="85" t="s">
        <v>236</v>
      </c>
      <c r="D95" s="22">
        <v>5000.0</v>
      </c>
      <c r="E95" s="15">
        <f t="shared" si="26"/>
        <v>10000</v>
      </c>
      <c r="F95" s="15">
        <f t="shared" si="31"/>
        <v>11050</v>
      </c>
      <c r="G95" s="101"/>
      <c r="H95" s="101"/>
      <c r="I95" s="22">
        <v>3400.0</v>
      </c>
      <c r="J95" s="15">
        <f t="shared" si="28"/>
        <v>6800</v>
      </c>
      <c r="K95" s="15">
        <f t="shared" si="29"/>
        <v>4250</v>
      </c>
      <c r="L95" s="110">
        <f t="shared" si="30"/>
        <v>0.425</v>
      </c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1.0</v>
      </c>
      <c r="B96" s="84" t="s">
        <v>50</v>
      </c>
      <c r="C96" s="85" t="s">
        <v>171</v>
      </c>
      <c r="D96" s="22">
        <v>3000.0</v>
      </c>
      <c r="E96" s="15">
        <f t="shared" si="26"/>
        <v>3000</v>
      </c>
      <c r="F96" s="15">
        <f t="shared" si="31"/>
        <v>3315</v>
      </c>
      <c r="G96" s="101"/>
      <c r="H96" s="101"/>
      <c r="I96" s="22">
        <f>3500/6</f>
        <v>583.3333333</v>
      </c>
      <c r="J96" s="15">
        <f t="shared" si="28"/>
        <v>583.3333333</v>
      </c>
      <c r="K96" s="15">
        <f t="shared" si="29"/>
        <v>2731.666667</v>
      </c>
      <c r="L96" s="110">
        <f t="shared" si="30"/>
        <v>0.9105555556</v>
      </c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1.0</v>
      </c>
      <c r="B97" s="84" t="s">
        <v>50</v>
      </c>
      <c r="C97" s="85" t="s">
        <v>235</v>
      </c>
      <c r="D97" s="22">
        <v>3000.0</v>
      </c>
      <c r="E97" s="15">
        <f t="shared" si="26"/>
        <v>3000</v>
      </c>
      <c r="F97" s="15">
        <f t="shared" si="31"/>
        <v>3315</v>
      </c>
      <c r="G97" s="101"/>
      <c r="H97" s="101"/>
      <c r="I97" s="22">
        <v>1000.0</v>
      </c>
      <c r="J97" s="15">
        <f t="shared" si="28"/>
        <v>1000</v>
      </c>
      <c r="K97" s="15">
        <f t="shared" si="29"/>
        <v>2315</v>
      </c>
      <c r="L97" s="110">
        <f t="shared" si="30"/>
        <v>0.7716666667</v>
      </c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2.0</v>
      </c>
      <c r="B98" s="84" t="s">
        <v>5</v>
      </c>
      <c r="C98" s="85" t="s">
        <v>176</v>
      </c>
      <c r="D98" s="22">
        <v>900.0</v>
      </c>
      <c r="E98" s="15">
        <f t="shared" si="26"/>
        <v>1800</v>
      </c>
      <c r="F98" s="15">
        <f t="shared" si="31"/>
        <v>1989</v>
      </c>
      <c r="G98" s="101"/>
      <c r="H98" s="101"/>
      <c r="I98" s="22">
        <v>460.0</v>
      </c>
      <c r="J98" s="15">
        <f t="shared" si="28"/>
        <v>920</v>
      </c>
      <c r="K98" s="15">
        <f t="shared" si="29"/>
        <v>1069</v>
      </c>
      <c r="L98" s="110">
        <f t="shared" si="30"/>
        <v>0.5938888889</v>
      </c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1.0</v>
      </c>
      <c r="B99" s="84" t="s">
        <v>50</v>
      </c>
      <c r="C99" s="85" t="s">
        <v>104</v>
      </c>
      <c r="D99" s="22">
        <v>2500.0</v>
      </c>
      <c r="E99" s="15">
        <f t="shared" si="26"/>
        <v>2500</v>
      </c>
      <c r="F99" s="15">
        <f t="shared" si="31"/>
        <v>2762.5</v>
      </c>
      <c r="G99" s="101"/>
      <c r="H99" s="101"/>
      <c r="I99" s="22">
        <v>1000.0</v>
      </c>
      <c r="J99" s="15">
        <f t="shared" si="28"/>
        <v>1000</v>
      </c>
      <c r="K99" s="15">
        <f t="shared" si="29"/>
        <v>1762.5</v>
      </c>
      <c r="L99" s="110">
        <f t="shared" si="30"/>
        <v>0.705</v>
      </c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2.0</v>
      </c>
      <c r="B100" s="84" t="s">
        <v>33</v>
      </c>
      <c r="C100" s="85" t="s">
        <v>22</v>
      </c>
      <c r="D100" s="22">
        <v>1000.0</v>
      </c>
      <c r="E100" s="15">
        <f t="shared" si="26"/>
        <v>2000</v>
      </c>
      <c r="F100" s="15">
        <f t="shared" si="31"/>
        <v>2210</v>
      </c>
      <c r="G100" s="101"/>
      <c r="H100" s="101"/>
      <c r="I100" s="22">
        <f>10000/14</f>
        <v>714.2857143</v>
      </c>
      <c r="J100" s="15">
        <f t="shared" si="28"/>
        <v>1428.571429</v>
      </c>
      <c r="K100" s="15">
        <f t="shared" si="29"/>
        <v>781.4285714</v>
      </c>
      <c r="L100" s="110">
        <f t="shared" si="30"/>
        <v>0.3907142857</v>
      </c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1.0</v>
      </c>
      <c r="B101" s="84" t="s">
        <v>33</v>
      </c>
      <c r="C101" s="85" t="s">
        <v>23</v>
      </c>
      <c r="D101" s="22">
        <v>1400.0</v>
      </c>
      <c r="E101" s="15">
        <f t="shared" si="26"/>
        <v>1400</v>
      </c>
      <c r="F101" s="15">
        <f t="shared" si="31"/>
        <v>1547</v>
      </c>
      <c r="G101" s="101"/>
      <c r="H101" s="101"/>
      <c r="I101" s="22">
        <v>1000.0</v>
      </c>
      <c r="J101" s="15">
        <f t="shared" si="28"/>
        <v>1000</v>
      </c>
      <c r="K101" s="15">
        <f t="shared" si="29"/>
        <v>547</v>
      </c>
      <c r="L101" s="110">
        <f t="shared" si="30"/>
        <v>0.3907142857</v>
      </c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1.0</v>
      </c>
      <c r="B102" s="84" t="s">
        <v>5</v>
      </c>
      <c r="C102" s="85" t="s">
        <v>95</v>
      </c>
      <c r="D102" s="22">
        <v>2500.0</v>
      </c>
      <c r="E102" s="15">
        <f t="shared" si="26"/>
        <v>2500</v>
      </c>
      <c r="F102" s="15">
        <f t="shared" si="31"/>
        <v>2762.5</v>
      </c>
      <c r="G102" s="101"/>
      <c r="H102" s="101"/>
      <c r="I102" s="22">
        <f>16000/9</f>
        <v>1777.777778</v>
      </c>
      <c r="J102" s="15">
        <f t="shared" si="28"/>
        <v>1777.777778</v>
      </c>
      <c r="K102" s="15">
        <f t="shared" si="29"/>
        <v>984.7222222</v>
      </c>
      <c r="L102" s="110">
        <f t="shared" si="30"/>
        <v>0.3938888889</v>
      </c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 ht="15.75" customHeight="1">
      <c r="A103" s="83">
        <v>2.0</v>
      </c>
      <c r="B103" s="84" t="s">
        <v>33</v>
      </c>
      <c r="C103" s="85" t="s">
        <v>192</v>
      </c>
      <c r="D103" s="22">
        <v>1000.0</v>
      </c>
      <c r="E103" s="15">
        <f t="shared" si="26"/>
        <v>2000</v>
      </c>
      <c r="F103" s="15">
        <f t="shared" si="31"/>
        <v>2210</v>
      </c>
      <c r="G103" s="101"/>
      <c r="H103" s="101"/>
      <c r="I103" s="22">
        <f>12000/16</f>
        <v>750</v>
      </c>
      <c r="J103" s="15">
        <f t="shared" si="28"/>
        <v>1500</v>
      </c>
      <c r="K103" s="15">
        <f t="shared" si="29"/>
        <v>710</v>
      </c>
      <c r="L103" s="110">
        <f t="shared" si="30"/>
        <v>0.355</v>
      </c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 ht="15.75" customHeight="1">
      <c r="A104" s="91">
        <v>0.5</v>
      </c>
      <c r="B104" s="92" t="s">
        <v>33</v>
      </c>
      <c r="C104" s="93" t="s">
        <v>177</v>
      </c>
      <c r="D104" s="22">
        <v>1000.0</v>
      </c>
      <c r="E104" s="15">
        <f t="shared" si="26"/>
        <v>500</v>
      </c>
      <c r="F104" s="15">
        <f t="shared" si="31"/>
        <v>552.5</v>
      </c>
      <c r="G104" s="3"/>
      <c r="H104" s="3"/>
      <c r="I104" s="22">
        <v>0.0</v>
      </c>
      <c r="J104" s="15">
        <f t="shared" si="28"/>
        <v>0</v>
      </c>
      <c r="K104" s="15">
        <f t="shared" si="29"/>
        <v>552.5</v>
      </c>
      <c r="L104" s="116">
        <f t="shared" si="30"/>
        <v>1.105</v>
      </c>
      <c r="M104" s="1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 ht="15.75" customHeight="1">
      <c r="A105" s="91">
        <v>4.0</v>
      </c>
      <c r="B105" s="92" t="s">
        <v>5</v>
      </c>
      <c r="C105" s="93" t="s">
        <v>87</v>
      </c>
      <c r="D105" s="22">
        <v>1300.0</v>
      </c>
      <c r="E105" s="15">
        <f t="shared" si="26"/>
        <v>5200</v>
      </c>
      <c r="F105" s="15">
        <f t="shared" si="31"/>
        <v>5746</v>
      </c>
      <c r="G105" s="3"/>
      <c r="H105" s="3"/>
      <c r="I105" s="22">
        <f>65000/80</f>
        <v>812.5</v>
      </c>
      <c r="J105" s="15">
        <f t="shared" si="28"/>
        <v>3250</v>
      </c>
      <c r="K105" s="15">
        <f t="shared" si="29"/>
        <v>2496</v>
      </c>
      <c r="L105" s="116">
        <f t="shared" si="30"/>
        <v>0.48</v>
      </c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91">
        <v>2.0</v>
      </c>
      <c r="B106" s="92" t="s">
        <v>33</v>
      </c>
      <c r="C106" s="93" t="s">
        <v>24</v>
      </c>
      <c r="D106" s="22">
        <v>4000.0</v>
      </c>
      <c r="E106" s="15">
        <f t="shared" si="26"/>
        <v>8000</v>
      </c>
      <c r="F106" s="15">
        <f t="shared" si="31"/>
        <v>8840</v>
      </c>
      <c r="G106" s="3"/>
      <c r="H106" s="3"/>
      <c r="I106" s="15">
        <f>20000/7</f>
        <v>2857.142857</v>
      </c>
      <c r="J106" s="15">
        <f t="shared" si="28"/>
        <v>5714.285714</v>
      </c>
      <c r="K106" s="15">
        <f t="shared" si="29"/>
        <v>3125.714286</v>
      </c>
      <c r="L106" s="116">
        <f t="shared" si="30"/>
        <v>0.3907142857</v>
      </c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91">
        <v>2.0</v>
      </c>
      <c r="B107" s="92" t="s">
        <v>33</v>
      </c>
      <c r="C107" s="93" t="s">
        <v>25</v>
      </c>
      <c r="D107" s="22">
        <v>3100.0</v>
      </c>
      <c r="E107" s="15">
        <f t="shared" si="26"/>
        <v>6200</v>
      </c>
      <c r="F107" s="15">
        <f t="shared" si="31"/>
        <v>6851</v>
      </c>
      <c r="G107" s="3"/>
      <c r="H107" s="3"/>
      <c r="I107" s="15">
        <f>12000/7</f>
        <v>1714.285714</v>
      </c>
      <c r="J107" s="15">
        <f t="shared" si="28"/>
        <v>3428.571429</v>
      </c>
      <c r="K107" s="15">
        <f t="shared" si="29"/>
        <v>3422.428571</v>
      </c>
      <c r="L107" s="116">
        <f t="shared" si="30"/>
        <v>0.5520046083</v>
      </c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91">
        <v>2.0</v>
      </c>
      <c r="B108" s="92" t="s">
        <v>33</v>
      </c>
      <c r="C108" s="93" t="s">
        <v>26</v>
      </c>
      <c r="D108" s="22">
        <v>4000.0</v>
      </c>
      <c r="E108" s="15">
        <f t="shared" si="26"/>
        <v>8000</v>
      </c>
      <c r="F108" s="15">
        <f t="shared" si="31"/>
        <v>8840</v>
      </c>
      <c r="G108" s="3"/>
      <c r="H108" s="3"/>
      <c r="I108" s="22">
        <f>22000/7</f>
        <v>3142.857143</v>
      </c>
      <c r="J108" s="15">
        <f t="shared" si="28"/>
        <v>6285.714286</v>
      </c>
      <c r="K108" s="15">
        <f t="shared" si="29"/>
        <v>2554.285714</v>
      </c>
      <c r="L108" s="116">
        <f t="shared" si="30"/>
        <v>0.3192857143</v>
      </c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91">
        <v>5.0</v>
      </c>
      <c r="B109" s="92" t="s">
        <v>33</v>
      </c>
      <c r="C109" s="93" t="s">
        <v>67</v>
      </c>
      <c r="D109" s="22">
        <v>800.0</v>
      </c>
      <c r="E109" s="15">
        <f t="shared" si="26"/>
        <v>4000</v>
      </c>
      <c r="F109" s="15">
        <f t="shared" si="31"/>
        <v>4420</v>
      </c>
      <c r="G109" s="3"/>
      <c r="H109" s="3"/>
      <c r="I109" s="22">
        <f>8000/17</f>
        <v>470.5882353</v>
      </c>
      <c r="J109" s="15">
        <f t="shared" si="28"/>
        <v>2352.941176</v>
      </c>
      <c r="K109" s="15">
        <f t="shared" si="29"/>
        <v>2067.058824</v>
      </c>
      <c r="L109" s="116">
        <f t="shared" si="30"/>
        <v>0.5167647059</v>
      </c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91">
        <v>5.0</v>
      </c>
      <c r="B110" s="92" t="s">
        <v>33</v>
      </c>
      <c r="C110" s="93" t="s">
        <v>174</v>
      </c>
      <c r="D110" s="22">
        <v>1600.0</v>
      </c>
      <c r="E110" s="15">
        <f t="shared" si="26"/>
        <v>8000</v>
      </c>
      <c r="F110" s="15">
        <f t="shared" si="31"/>
        <v>8840</v>
      </c>
      <c r="G110" s="3"/>
      <c r="H110" s="3"/>
      <c r="I110" s="22">
        <f>13000/17</f>
        <v>764.7058824</v>
      </c>
      <c r="J110" s="15">
        <f t="shared" si="28"/>
        <v>3823.529412</v>
      </c>
      <c r="K110" s="15">
        <f t="shared" si="29"/>
        <v>5016.470588</v>
      </c>
      <c r="L110" s="116">
        <f t="shared" si="30"/>
        <v>0.6270588235</v>
      </c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>
      <c r="A111" s="91">
        <v>5.3</v>
      </c>
      <c r="B111" s="92" t="s">
        <v>33</v>
      </c>
      <c r="C111" s="93" t="s">
        <v>99</v>
      </c>
      <c r="D111" s="22">
        <v>1800.0</v>
      </c>
      <c r="E111" s="15">
        <f t="shared" si="26"/>
        <v>9540</v>
      </c>
      <c r="F111" s="15">
        <f t="shared" si="31"/>
        <v>10541.7</v>
      </c>
      <c r="G111" s="3"/>
      <c r="H111" s="3"/>
      <c r="I111" s="22">
        <v>1000.0</v>
      </c>
      <c r="J111" s="15">
        <f t="shared" si="28"/>
        <v>5300</v>
      </c>
      <c r="K111" s="15">
        <f t="shared" si="29"/>
        <v>5241.7</v>
      </c>
      <c r="L111" s="116">
        <f t="shared" si="30"/>
        <v>0.5494444444</v>
      </c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>
      <c r="A112" s="91">
        <v>3.6</v>
      </c>
      <c r="B112" s="92" t="s">
        <v>33</v>
      </c>
      <c r="C112" s="93" t="s">
        <v>98</v>
      </c>
      <c r="D112" s="22">
        <v>1800.0</v>
      </c>
      <c r="E112" s="15">
        <f t="shared" si="26"/>
        <v>6480</v>
      </c>
      <c r="F112" s="15">
        <f t="shared" si="31"/>
        <v>7160.4</v>
      </c>
      <c r="G112" s="3"/>
      <c r="H112" s="3"/>
      <c r="I112" s="22">
        <v>1000.0</v>
      </c>
      <c r="J112" s="15">
        <f t="shared" si="28"/>
        <v>3600</v>
      </c>
      <c r="K112" s="15">
        <f t="shared" si="29"/>
        <v>3560.4</v>
      </c>
      <c r="L112" s="116">
        <f t="shared" si="30"/>
        <v>0.5494444444</v>
      </c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>
      <c r="A113" s="91">
        <v>3.0</v>
      </c>
      <c r="B113" s="92" t="s">
        <v>38</v>
      </c>
      <c r="C113" s="93" t="s">
        <v>47</v>
      </c>
      <c r="D113" s="22">
        <v>13000.0</v>
      </c>
      <c r="E113" s="15">
        <f t="shared" si="26"/>
        <v>39000</v>
      </c>
      <c r="F113" s="15">
        <f t="shared" si="31"/>
        <v>43095</v>
      </c>
      <c r="G113" s="3"/>
      <c r="H113" s="3"/>
      <c r="I113" s="22">
        <v>8000.0</v>
      </c>
      <c r="J113" s="15">
        <f t="shared" si="28"/>
        <v>24000</v>
      </c>
      <c r="K113" s="15">
        <f t="shared" si="29"/>
        <v>19095</v>
      </c>
      <c r="L113" s="116">
        <f t="shared" si="30"/>
        <v>0.4896153846</v>
      </c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91">
        <v>3.0</v>
      </c>
      <c r="B114" s="92" t="s">
        <v>38</v>
      </c>
      <c r="C114" s="93" t="s">
        <v>179</v>
      </c>
      <c r="D114" s="22">
        <v>21000.0</v>
      </c>
      <c r="E114" s="15">
        <f t="shared" si="26"/>
        <v>63000</v>
      </c>
      <c r="F114" s="15">
        <f t="shared" si="31"/>
        <v>69615</v>
      </c>
      <c r="G114" s="3"/>
      <c r="H114" s="3"/>
      <c r="I114" s="22">
        <v>18000.0</v>
      </c>
      <c r="J114" s="15">
        <f t="shared" si="28"/>
        <v>54000</v>
      </c>
      <c r="K114" s="15">
        <f t="shared" si="29"/>
        <v>15615</v>
      </c>
      <c r="L114" s="116">
        <f t="shared" si="30"/>
        <v>0.2478571429</v>
      </c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91">
        <v>1.0</v>
      </c>
      <c r="B115" s="92" t="s">
        <v>38</v>
      </c>
      <c r="C115" s="93" t="s">
        <v>180</v>
      </c>
      <c r="D115" s="22">
        <v>16000.0</v>
      </c>
      <c r="E115" s="15">
        <f t="shared" si="26"/>
        <v>16000</v>
      </c>
      <c r="F115" s="15">
        <f t="shared" si="31"/>
        <v>17680</v>
      </c>
      <c r="G115" s="3"/>
      <c r="H115" s="3"/>
      <c r="I115" s="22">
        <v>11000.0</v>
      </c>
      <c r="J115" s="15">
        <f t="shared" si="28"/>
        <v>11000</v>
      </c>
      <c r="K115" s="15">
        <f t="shared" si="29"/>
        <v>6680</v>
      </c>
      <c r="L115" s="116">
        <f t="shared" si="30"/>
        <v>0.4175</v>
      </c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91">
        <v>2.0</v>
      </c>
      <c r="B116" s="92" t="s">
        <v>38</v>
      </c>
      <c r="C116" s="93" t="s">
        <v>45</v>
      </c>
      <c r="D116" s="22">
        <v>13000.0</v>
      </c>
      <c r="E116" s="15">
        <f t="shared" si="26"/>
        <v>26000</v>
      </c>
      <c r="F116" s="15">
        <f t="shared" si="31"/>
        <v>28730</v>
      </c>
      <c r="G116" s="3"/>
      <c r="H116" s="3"/>
      <c r="I116" s="22">
        <v>8000.0</v>
      </c>
      <c r="J116" s="15">
        <f t="shared" si="28"/>
        <v>16000</v>
      </c>
      <c r="K116" s="15">
        <f t="shared" si="29"/>
        <v>12730</v>
      </c>
      <c r="L116" s="116">
        <f t="shared" si="30"/>
        <v>0.4896153846</v>
      </c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83">
        <v>1.0</v>
      </c>
      <c r="B117" s="84" t="s">
        <v>18</v>
      </c>
      <c r="C117" s="85" t="s">
        <v>78</v>
      </c>
      <c r="D117" s="22">
        <v>55000.0</v>
      </c>
      <c r="E117" s="15">
        <f t="shared" si="26"/>
        <v>55000</v>
      </c>
      <c r="F117" s="15">
        <f t="shared" si="31"/>
        <v>60775</v>
      </c>
      <c r="G117" s="101"/>
      <c r="H117" s="101"/>
      <c r="I117" s="22">
        <v>35000.0</v>
      </c>
      <c r="J117" s="15">
        <f t="shared" si="28"/>
        <v>35000</v>
      </c>
      <c r="K117" s="15">
        <f t="shared" si="29"/>
        <v>25775</v>
      </c>
      <c r="L117" s="110">
        <f t="shared" si="30"/>
        <v>0.4686363636</v>
      </c>
      <c r="M117" s="1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83">
        <v>1.0</v>
      </c>
      <c r="B118" s="84" t="s">
        <v>18</v>
      </c>
      <c r="C118" s="85" t="s">
        <v>232</v>
      </c>
      <c r="D118" s="22">
        <v>62000.0</v>
      </c>
      <c r="E118" s="15">
        <f t="shared" si="26"/>
        <v>62000</v>
      </c>
      <c r="F118" s="15">
        <f t="shared" si="31"/>
        <v>68510</v>
      </c>
      <c r="G118" s="101"/>
      <c r="H118" s="101"/>
      <c r="I118" s="22">
        <v>48000.0</v>
      </c>
      <c r="J118" s="15">
        <f t="shared" si="28"/>
        <v>48000</v>
      </c>
      <c r="K118" s="15">
        <f t="shared" si="29"/>
        <v>20510</v>
      </c>
      <c r="L118" s="110">
        <f t="shared" si="30"/>
        <v>0.3308064516</v>
      </c>
      <c r="M118" s="1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83">
        <v>2.0</v>
      </c>
      <c r="B119" s="84" t="s">
        <v>18</v>
      </c>
      <c r="C119" s="85" t="s">
        <v>379</v>
      </c>
      <c r="D119" s="22">
        <v>24000.0</v>
      </c>
      <c r="E119" s="15">
        <f t="shared" si="26"/>
        <v>48000</v>
      </c>
      <c r="F119" s="15">
        <f t="shared" si="31"/>
        <v>53040</v>
      </c>
      <c r="G119" s="101"/>
      <c r="H119" s="101"/>
      <c r="I119" s="22">
        <v>20000.0</v>
      </c>
      <c r="J119" s="15">
        <f t="shared" si="28"/>
        <v>40000</v>
      </c>
      <c r="K119" s="15">
        <f t="shared" si="29"/>
        <v>13040</v>
      </c>
      <c r="L119" s="110">
        <f t="shared" si="30"/>
        <v>0.2716666667</v>
      </c>
      <c r="M119" s="1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83">
        <v>9.5</v>
      </c>
      <c r="B120" s="84" t="s">
        <v>33</v>
      </c>
      <c r="C120" s="85" t="s">
        <v>55</v>
      </c>
      <c r="D120" s="22">
        <v>2800.0</v>
      </c>
      <c r="E120" s="15">
        <f t="shared" si="26"/>
        <v>26600</v>
      </c>
      <c r="F120" s="15">
        <f t="shared" si="31"/>
        <v>29393</v>
      </c>
      <c r="G120" s="101"/>
      <c r="H120" s="101"/>
      <c r="I120" s="22">
        <f>35000/18</f>
        <v>1944.444444</v>
      </c>
      <c r="J120" s="15">
        <f t="shared" si="28"/>
        <v>18472.22222</v>
      </c>
      <c r="K120" s="15">
        <f t="shared" si="29"/>
        <v>10920.77778</v>
      </c>
      <c r="L120" s="110">
        <f t="shared" si="30"/>
        <v>0.4105555556</v>
      </c>
      <c r="M120" s="1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83">
        <v>1.0</v>
      </c>
      <c r="B121" s="84" t="s">
        <v>50</v>
      </c>
      <c r="C121" s="85" t="s">
        <v>16</v>
      </c>
      <c r="D121" s="22">
        <v>1000.0</v>
      </c>
      <c r="E121" s="15">
        <f t="shared" si="26"/>
        <v>1000</v>
      </c>
      <c r="F121" s="15">
        <f t="shared" si="31"/>
        <v>1105</v>
      </c>
      <c r="G121" s="101"/>
      <c r="H121" s="101"/>
      <c r="I121" s="22">
        <f>5000/12</f>
        <v>416.6666667</v>
      </c>
      <c r="J121" s="15">
        <f t="shared" si="28"/>
        <v>416.6666667</v>
      </c>
      <c r="K121" s="15">
        <f t="shared" si="29"/>
        <v>688.3333333</v>
      </c>
      <c r="L121" s="110">
        <f t="shared" si="30"/>
        <v>0.6883333333</v>
      </c>
      <c r="M121" s="1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83">
        <v>5.0</v>
      </c>
      <c r="B122" s="84" t="s">
        <v>33</v>
      </c>
      <c r="C122" s="85" t="s">
        <v>119</v>
      </c>
      <c r="D122" s="22">
        <v>3800.0</v>
      </c>
      <c r="E122" s="15">
        <f t="shared" si="26"/>
        <v>19000</v>
      </c>
      <c r="F122" s="15">
        <f t="shared" si="31"/>
        <v>20995</v>
      </c>
      <c r="G122" s="101"/>
      <c r="H122" s="101"/>
      <c r="I122" s="22">
        <v>3000.0</v>
      </c>
      <c r="J122" s="15">
        <f t="shared" si="28"/>
        <v>15000</v>
      </c>
      <c r="K122" s="15">
        <f t="shared" si="29"/>
        <v>5995</v>
      </c>
      <c r="L122" s="110">
        <f t="shared" si="30"/>
        <v>0.3155263158</v>
      </c>
      <c r="M122" s="1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83">
        <v>2.0</v>
      </c>
      <c r="B123" s="84" t="s">
        <v>50</v>
      </c>
      <c r="C123" s="85" t="s">
        <v>380</v>
      </c>
      <c r="D123" s="22">
        <v>2000.0</v>
      </c>
      <c r="E123" s="15">
        <f t="shared" si="26"/>
        <v>4000</v>
      </c>
      <c r="F123" s="15">
        <f t="shared" si="31"/>
        <v>4420</v>
      </c>
      <c r="G123" s="101"/>
      <c r="H123" s="101"/>
      <c r="I123" s="22">
        <v>1000.0</v>
      </c>
      <c r="J123" s="15">
        <f t="shared" si="28"/>
        <v>2000</v>
      </c>
      <c r="K123" s="15">
        <f t="shared" si="29"/>
        <v>2420</v>
      </c>
      <c r="L123" s="110">
        <f t="shared" si="30"/>
        <v>0.605</v>
      </c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83">
        <v>3.0</v>
      </c>
      <c r="B124" s="84" t="s">
        <v>33</v>
      </c>
      <c r="C124" s="85" t="s">
        <v>56</v>
      </c>
      <c r="D124" s="22">
        <v>2200.0</v>
      </c>
      <c r="E124" s="15">
        <f t="shared" si="26"/>
        <v>6600</v>
      </c>
      <c r="F124" s="15">
        <f t="shared" si="31"/>
        <v>7293</v>
      </c>
      <c r="G124" s="101"/>
      <c r="H124" s="101"/>
      <c r="I124" s="22">
        <f>20000/9</f>
        <v>2222.222222</v>
      </c>
      <c r="J124" s="15">
        <f t="shared" si="28"/>
        <v>6666.666667</v>
      </c>
      <c r="K124" s="15">
        <f t="shared" si="29"/>
        <v>626.3333333</v>
      </c>
      <c r="L124" s="110">
        <f t="shared" si="30"/>
        <v>0.0948989899</v>
      </c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123"/>
      <c r="B125" s="101"/>
      <c r="C125" s="104"/>
      <c r="D125" s="101"/>
      <c r="E125" s="101"/>
      <c r="F125" s="101"/>
      <c r="G125" s="101"/>
      <c r="H125" s="101"/>
      <c r="I125" s="101"/>
      <c r="J125" s="101"/>
      <c r="K125" s="101"/>
      <c r="L125" s="105"/>
      <c r="M125" s="1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103"/>
      <c r="B126" s="101"/>
      <c r="C126" s="104"/>
      <c r="D126" s="22"/>
      <c r="E126" s="15">
        <f t="shared" ref="E126:F126" si="32">SUM(E90:E124)</f>
        <v>575320</v>
      </c>
      <c r="F126" s="15">
        <f t="shared" si="32"/>
        <v>638458.6</v>
      </c>
      <c r="G126" s="101"/>
      <c r="H126" s="101"/>
      <c r="I126" s="101"/>
      <c r="J126" s="101"/>
      <c r="K126" s="15">
        <f>SUM(K90:K124)</f>
        <v>235138.3199</v>
      </c>
      <c r="L126" s="110">
        <f>IFERROR(K126/E126, 0)</f>
        <v>0.4087087532</v>
      </c>
      <c r="M126" s="1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/>
      <c r="B127" s="84"/>
      <c r="C127" s="85"/>
      <c r="D127" s="22"/>
      <c r="E127" s="15"/>
      <c r="F127" s="22"/>
      <c r="G127" s="101"/>
      <c r="H127" s="101"/>
      <c r="I127" s="22"/>
      <c r="J127" s="15"/>
      <c r="K127" s="15"/>
      <c r="L127" s="110"/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83"/>
      <c r="B128" s="84"/>
      <c r="C128" s="85"/>
      <c r="D128" s="22"/>
      <c r="E128" s="15"/>
      <c r="F128" s="22"/>
      <c r="G128" s="101"/>
      <c r="H128" s="101"/>
      <c r="I128" s="22"/>
      <c r="J128" s="15"/>
      <c r="K128" s="15"/>
      <c r="L128" s="110"/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83"/>
      <c r="B129" s="84"/>
      <c r="C129" s="85"/>
      <c r="D129" s="22"/>
      <c r="E129" s="15"/>
      <c r="F129" s="22"/>
      <c r="G129" s="101"/>
      <c r="H129" s="101"/>
      <c r="I129" s="22"/>
      <c r="J129" s="15"/>
      <c r="K129" s="15"/>
      <c r="L129" s="110"/>
      <c r="M129" s="1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5" t="s">
        <v>344</v>
      </c>
      <c r="D130" s="3"/>
      <c r="E130" s="86" t="s">
        <v>44</v>
      </c>
      <c r="F130" s="82">
        <v>46078.0</v>
      </c>
      <c r="G130" s="86" t="s">
        <v>2</v>
      </c>
      <c r="H130" s="3"/>
      <c r="I130" s="8" t="s">
        <v>3</v>
      </c>
      <c r="L130" s="4"/>
      <c r="M130" s="1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1"/>
      <c r="B131" s="3"/>
      <c r="C131" s="9"/>
      <c r="D131" s="3"/>
      <c r="E131" s="3"/>
      <c r="F131" s="3"/>
      <c r="G131" s="3"/>
      <c r="H131" s="3"/>
      <c r="I131" s="3"/>
      <c r="J131" s="3"/>
      <c r="K131" s="3"/>
      <c r="L131" s="4"/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5" t="s">
        <v>4</v>
      </c>
      <c r="B132" s="10" t="s">
        <v>5</v>
      </c>
      <c r="C132" s="96" t="s">
        <v>6</v>
      </c>
      <c r="D132" s="10" t="s">
        <v>7</v>
      </c>
      <c r="E132" s="10" t="s">
        <v>8</v>
      </c>
      <c r="F132" s="10" t="s">
        <v>9</v>
      </c>
      <c r="G132" s="3"/>
      <c r="H132" s="3"/>
      <c r="I132" s="10" t="s">
        <v>260</v>
      </c>
      <c r="J132" s="10" t="s">
        <v>8</v>
      </c>
      <c r="K132" s="10" t="s">
        <v>10</v>
      </c>
      <c r="L132" s="4"/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91">
        <v>10.0</v>
      </c>
      <c r="B133" s="92" t="s">
        <v>33</v>
      </c>
      <c r="C133" s="93" t="s">
        <v>64</v>
      </c>
      <c r="D133" s="22">
        <v>2300.0</v>
      </c>
      <c r="E133" s="15">
        <f t="shared" ref="E133:E159" si="33">A133*D133</f>
        <v>23000</v>
      </c>
      <c r="F133" s="15">
        <f t="shared" ref="F133:F153" si="34">E133*1.105</f>
        <v>25415</v>
      </c>
      <c r="G133" s="3"/>
      <c r="H133" s="3"/>
      <c r="I133" s="22">
        <f>18000/15</f>
        <v>1200</v>
      </c>
      <c r="J133" s="15">
        <f t="shared" ref="J133:J159" si="35">A133*I133</f>
        <v>12000</v>
      </c>
      <c r="K133" s="15">
        <f t="shared" ref="K133:K159" si="36">F133-J133</f>
        <v>13415</v>
      </c>
      <c r="L133" s="116">
        <f t="shared" ref="L133:L159" si="37">IFERROR(K133/E133, 0)</f>
        <v>0.5832608696</v>
      </c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91">
        <v>3.8</v>
      </c>
      <c r="B134" s="92" t="s">
        <v>33</v>
      </c>
      <c r="C134" s="93" t="s">
        <v>99</v>
      </c>
      <c r="D134" s="22">
        <v>1800.0</v>
      </c>
      <c r="E134" s="15">
        <f t="shared" si="33"/>
        <v>6840</v>
      </c>
      <c r="F134" s="15">
        <f t="shared" si="34"/>
        <v>7558.2</v>
      </c>
      <c r="G134" s="3"/>
      <c r="H134" s="3"/>
      <c r="I134" s="22">
        <v>1000.0</v>
      </c>
      <c r="J134" s="15">
        <f t="shared" si="35"/>
        <v>3800</v>
      </c>
      <c r="K134" s="15">
        <f t="shared" si="36"/>
        <v>3758.2</v>
      </c>
      <c r="L134" s="116">
        <f t="shared" si="37"/>
        <v>0.5494444444</v>
      </c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91">
        <v>2.0</v>
      </c>
      <c r="B135" s="92" t="s">
        <v>33</v>
      </c>
      <c r="C135" s="93" t="s">
        <v>174</v>
      </c>
      <c r="D135" s="22">
        <v>1600.0</v>
      </c>
      <c r="E135" s="15">
        <f t="shared" si="33"/>
        <v>3200</v>
      </c>
      <c r="F135" s="15">
        <f t="shared" si="34"/>
        <v>3536</v>
      </c>
      <c r="G135" s="3"/>
      <c r="H135" s="3"/>
      <c r="I135" s="22">
        <f>13000/17</f>
        <v>764.7058824</v>
      </c>
      <c r="J135" s="15">
        <f t="shared" si="35"/>
        <v>1529.411765</v>
      </c>
      <c r="K135" s="15">
        <f t="shared" si="36"/>
        <v>2006.588235</v>
      </c>
      <c r="L135" s="116">
        <f t="shared" si="37"/>
        <v>0.6270588235</v>
      </c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91">
        <v>2.0</v>
      </c>
      <c r="B136" s="92" t="s">
        <v>33</v>
      </c>
      <c r="C136" s="93" t="s">
        <v>67</v>
      </c>
      <c r="D136" s="22">
        <v>800.0</v>
      </c>
      <c r="E136" s="15">
        <f t="shared" si="33"/>
        <v>1600</v>
      </c>
      <c r="F136" s="15">
        <f t="shared" si="34"/>
        <v>1768</v>
      </c>
      <c r="G136" s="3"/>
      <c r="H136" s="3"/>
      <c r="I136" s="22">
        <f>8000/17</f>
        <v>470.5882353</v>
      </c>
      <c r="J136" s="15">
        <f t="shared" si="35"/>
        <v>941.1764706</v>
      </c>
      <c r="K136" s="15">
        <f t="shared" si="36"/>
        <v>826.8235294</v>
      </c>
      <c r="L136" s="116">
        <f t="shared" si="37"/>
        <v>0.5167647059</v>
      </c>
      <c r="M136" s="1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91">
        <v>1.2</v>
      </c>
      <c r="B137" s="92" t="s">
        <v>33</v>
      </c>
      <c r="C137" s="93" t="s">
        <v>22</v>
      </c>
      <c r="D137" s="22">
        <v>1000.0</v>
      </c>
      <c r="E137" s="15">
        <f t="shared" si="33"/>
        <v>1200</v>
      </c>
      <c r="F137" s="15">
        <f t="shared" si="34"/>
        <v>1326</v>
      </c>
      <c r="G137" s="3"/>
      <c r="H137" s="3"/>
      <c r="I137" s="15">
        <f>10000/14</f>
        <v>714.2857143</v>
      </c>
      <c r="J137" s="15">
        <f t="shared" si="35"/>
        <v>857.1428571</v>
      </c>
      <c r="K137" s="15">
        <f t="shared" si="36"/>
        <v>468.8571429</v>
      </c>
      <c r="L137" s="116">
        <f t="shared" si="37"/>
        <v>0.3907142857</v>
      </c>
      <c r="M137" s="1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91">
        <v>1.0</v>
      </c>
      <c r="B138" s="92" t="s">
        <v>33</v>
      </c>
      <c r="C138" s="93" t="s">
        <v>23</v>
      </c>
      <c r="D138" s="22">
        <v>1400.0</v>
      </c>
      <c r="E138" s="15">
        <f t="shared" si="33"/>
        <v>1400</v>
      </c>
      <c r="F138" s="15">
        <f t="shared" si="34"/>
        <v>1547</v>
      </c>
      <c r="G138" s="3"/>
      <c r="H138" s="3"/>
      <c r="I138" s="22">
        <v>1000.0</v>
      </c>
      <c r="J138" s="15">
        <f t="shared" si="35"/>
        <v>1000</v>
      </c>
      <c r="K138" s="15">
        <f t="shared" si="36"/>
        <v>547</v>
      </c>
      <c r="L138" s="116">
        <f t="shared" si="37"/>
        <v>0.3907142857</v>
      </c>
      <c r="M138" s="1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91">
        <v>1.0</v>
      </c>
      <c r="B139" s="92" t="s">
        <v>50</v>
      </c>
      <c r="C139" s="93" t="s">
        <v>308</v>
      </c>
      <c r="D139" s="22">
        <v>2000.0</v>
      </c>
      <c r="E139" s="15">
        <f t="shared" si="33"/>
        <v>2000</v>
      </c>
      <c r="F139" s="15">
        <f t="shared" si="34"/>
        <v>2210</v>
      </c>
      <c r="G139" s="3"/>
      <c r="H139" s="3"/>
      <c r="I139" s="22">
        <v>1000.0</v>
      </c>
      <c r="J139" s="15">
        <f t="shared" si="35"/>
        <v>1000</v>
      </c>
      <c r="K139" s="15">
        <f t="shared" si="36"/>
        <v>1210</v>
      </c>
      <c r="L139" s="116">
        <f t="shared" si="37"/>
        <v>0.605</v>
      </c>
      <c r="M139" s="1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 ht="15.75" customHeight="1">
      <c r="A140" s="91">
        <v>3.0</v>
      </c>
      <c r="B140" s="92" t="s">
        <v>33</v>
      </c>
      <c r="C140" s="93" t="s">
        <v>233</v>
      </c>
      <c r="D140" s="22">
        <v>2800.0</v>
      </c>
      <c r="E140" s="15">
        <f t="shared" si="33"/>
        <v>8400</v>
      </c>
      <c r="F140" s="15">
        <f t="shared" si="34"/>
        <v>9282</v>
      </c>
      <c r="G140" s="3"/>
      <c r="H140" s="3"/>
      <c r="I140" s="22">
        <f>10000/4</f>
        <v>2500</v>
      </c>
      <c r="J140" s="15">
        <f t="shared" si="35"/>
        <v>7500</v>
      </c>
      <c r="K140" s="15">
        <f t="shared" si="36"/>
        <v>1782</v>
      </c>
      <c r="L140" s="116">
        <f t="shared" si="37"/>
        <v>0.2121428571</v>
      </c>
      <c r="M140" s="1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91">
        <v>12.0</v>
      </c>
      <c r="B141" s="92" t="s">
        <v>50</v>
      </c>
      <c r="C141" s="93" t="s">
        <v>65</v>
      </c>
      <c r="D141" s="22">
        <v>500.0</v>
      </c>
      <c r="E141" s="15">
        <f t="shared" si="33"/>
        <v>6000</v>
      </c>
      <c r="F141" s="15">
        <f t="shared" si="34"/>
        <v>6630</v>
      </c>
      <c r="G141" s="3"/>
      <c r="H141" s="3"/>
      <c r="I141" s="22">
        <f>5000/24</f>
        <v>208.3333333</v>
      </c>
      <c r="J141" s="15">
        <f t="shared" si="35"/>
        <v>2500</v>
      </c>
      <c r="K141" s="15">
        <f t="shared" si="36"/>
        <v>4130</v>
      </c>
      <c r="L141" s="116">
        <f t="shared" si="37"/>
        <v>0.6883333333</v>
      </c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 ht="15.75" customHeight="1">
      <c r="A142" s="91">
        <v>10.0</v>
      </c>
      <c r="B142" s="92" t="s">
        <v>50</v>
      </c>
      <c r="C142" s="93" t="s">
        <v>103</v>
      </c>
      <c r="D142" s="22">
        <v>1600.0</v>
      </c>
      <c r="E142" s="15">
        <f t="shared" si="33"/>
        <v>16000</v>
      </c>
      <c r="F142" s="15">
        <f t="shared" si="34"/>
        <v>17680</v>
      </c>
      <c r="G142" s="3"/>
      <c r="H142" s="3"/>
      <c r="I142" s="22">
        <v>1000.0</v>
      </c>
      <c r="J142" s="15">
        <f t="shared" si="35"/>
        <v>10000</v>
      </c>
      <c r="K142" s="15">
        <f t="shared" si="36"/>
        <v>7680</v>
      </c>
      <c r="L142" s="116">
        <f t="shared" si="37"/>
        <v>0.48</v>
      </c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91">
        <v>1.0</v>
      </c>
      <c r="B143" s="92" t="s">
        <v>33</v>
      </c>
      <c r="C143" s="93" t="s">
        <v>24</v>
      </c>
      <c r="D143" s="22">
        <v>4000.0</v>
      </c>
      <c r="E143" s="15">
        <f t="shared" si="33"/>
        <v>4000</v>
      </c>
      <c r="F143" s="15">
        <f t="shared" si="34"/>
        <v>4420</v>
      </c>
      <c r="G143" s="3"/>
      <c r="H143" s="3"/>
      <c r="I143" s="22">
        <f>20000/7</f>
        <v>2857.142857</v>
      </c>
      <c r="J143" s="15">
        <f t="shared" si="35"/>
        <v>2857.142857</v>
      </c>
      <c r="K143" s="15">
        <f t="shared" si="36"/>
        <v>1562.857143</v>
      </c>
      <c r="L143" s="116">
        <f t="shared" si="37"/>
        <v>0.3907142857</v>
      </c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91">
        <v>2.0</v>
      </c>
      <c r="B144" s="92" t="s">
        <v>5</v>
      </c>
      <c r="C144" s="93" t="s">
        <v>95</v>
      </c>
      <c r="D144" s="22">
        <v>2500.0</v>
      </c>
      <c r="E144" s="15">
        <f t="shared" si="33"/>
        <v>5000</v>
      </c>
      <c r="F144" s="15">
        <f t="shared" si="34"/>
        <v>5525</v>
      </c>
      <c r="G144" s="3"/>
      <c r="H144" s="3"/>
      <c r="I144" s="22">
        <f>16000/9</f>
        <v>1777.777778</v>
      </c>
      <c r="J144" s="15">
        <f t="shared" si="35"/>
        <v>3555.555556</v>
      </c>
      <c r="K144" s="15">
        <f t="shared" si="36"/>
        <v>1969.444444</v>
      </c>
      <c r="L144" s="116">
        <f t="shared" si="37"/>
        <v>0.3938888889</v>
      </c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>
      <c r="A145" s="91">
        <v>1.0</v>
      </c>
      <c r="B145" s="92" t="s">
        <v>5</v>
      </c>
      <c r="C145" s="93" t="s">
        <v>104</v>
      </c>
      <c r="D145" s="22">
        <v>2500.0</v>
      </c>
      <c r="E145" s="15">
        <f t="shared" si="33"/>
        <v>2500</v>
      </c>
      <c r="F145" s="15">
        <f t="shared" si="34"/>
        <v>2762.5</v>
      </c>
      <c r="G145" s="3"/>
      <c r="H145" s="3"/>
      <c r="I145" s="22">
        <v>1000.0</v>
      </c>
      <c r="J145" s="15">
        <f t="shared" si="35"/>
        <v>1000</v>
      </c>
      <c r="K145" s="15">
        <f t="shared" si="36"/>
        <v>1762.5</v>
      </c>
      <c r="L145" s="116">
        <f t="shared" si="37"/>
        <v>0.705</v>
      </c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91">
        <v>1.0</v>
      </c>
      <c r="B146" s="92" t="s">
        <v>50</v>
      </c>
      <c r="C146" s="93" t="s">
        <v>68</v>
      </c>
      <c r="D146" s="22">
        <v>4000.0</v>
      </c>
      <c r="E146" s="15">
        <f t="shared" si="33"/>
        <v>4000</v>
      </c>
      <c r="F146" s="15">
        <f t="shared" si="34"/>
        <v>4420</v>
      </c>
      <c r="G146" s="3"/>
      <c r="H146" s="3"/>
      <c r="I146" s="22">
        <v>2000.0</v>
      </c>
      <c r="J146" s="15">
        <f t="shared" si="35"/>
        <v>2000</v>
      </c>
      <c r="K146" s="15">
        <f t="shared" si="36"/>
        <v>2420</v>
      </c>
      <c r="L146" s="116">
        <f t="shared" si="37"/>
        <v>0.605</v>
      </c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 ht="15.75" customHeight="1">
      <c r="A147" s="91">
        <v>1.0</v>
      </c>
      <c r="B147" s="92" t="s">
        <v>50</v>
      </c>
      <c r="C147" s="93" t="s">
        <v>171</v>
      </c>
      <c r="D147" s="22">
        <v>3000.0</v>
      </c>
      <c r="E147" s="15">
        <f t="shared" si="33"/>
        <v>3000</v>
      </c>
      <c r="F147" s="15">
        <f t="shared" si="34"/>
        <v>3315</v>
      </c>
      <c r="G147" s="3"/>
      <c r="H147" s="3"/>
      <c r="I147" s="22">
        <f>3500/6</f>
        <v>583.3333333</v>
      </c>
      <c r="J147" s="15">
        <f t="shared" si="35"/>
        <v>583.3333333</v>
      </c>
      <c r="K147" s="15">
        <f t="shared" si="36"/>
        <v>2731.666667</v>
      </c>
      <c r="L147" s="116">
        <f t="shared" si="37"/>
        <v>0.9105555556</v>
      </c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 ht="15.75" customHeight="1">
      <c r="A148" s="91">
        <v>1.0</v>
      </c>
      <c r="B148" s="92" t="s">
        <v>50</v>
      </c>
      <c r="C148" s="93" t="s">
        <v>16</v>
      </c>
      <c r="D148" s="22">
        <v>1000.0</v>
      </c>
      <c r="E148" s="15">
        <f t="shared" si="33"/>
        <v>1000</v>
      </c>
      <c r="F148" s="15">
        <f t="shared" si="34"/>
        <v>1105</v>
      </c>
      <c r="G148" s="3"/>
      <c r="H148" s="3"/>
      <c r="I148" s="22">
        <f>5000/12</f>
        <v>416.6666667</v>
      </c>
      <c r="J148" s="15">
        <f t="shared" si="35"/>
        <v>416.6666667</v>
      </c>
      <c r="K148" s="15">
        <f t="shared" si="36"/>
        <v>688.3333333</v>
      </c>
      <c r="L148" s="116">
        <f t="shared" si="37"/>
        <v>0.6883333333</v>
      </c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91">
        <v>1.0</v>
      </c>
      <c r="B149" s="92" t="s">
        <v>50</v>
      </c>
      <c r="C149" s="93" t="s">
        <v>235</v>
      </c>
      <c r="D149" s="22">
        <v>3000.0</v>
      </c>
      <c r="E149" s="15">
        <f t="shared" si="33"/>
        <v>3000</v>
      </c>
      <c r="F149" s="15">
        <f t="shared" si="34"/>
        <v>3315</v>
      </c>
      <c r="G149" s="3"/>
      <c r="H149" s="3"/>
      <c r="I149" s="22">
        <v>1000.0</v>
      </c>
      <c r="J149" s="15">
        <f t="shared" si="35"/>
        <v>1000</v>
      </c>
      <c r="K149" s="15">
        <f t="shared" si="36"/>
        <v>2315</v>
      </c>
      <c r="L149" s="116">
        <f t="shared" si="37"/>
        <v>0.7716666667</v>
      </c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91">
        <v>4.0</v>
      </c>
      <c r="B150" s="92" t="s">
        <v>38</v>
      </c>
      <c r="C150" s="93" t="s">
        <v>179</v>
      </c>
      <c r="D150" s="22">
        <v>21000.0</v>
      </c>
      <c r="E150" s="15">
        <f t="shared" si="33"/>
        <v>84000</v>
      </c>
      <c r="F150" s="15">
        <f t="shared" si="34"/>
        <v>92820</v>
      </c>
      <c r="G150" s="3"/>
      <c r="H150" s="3"/>
      <c r="I150" s="22">
        <v>18000.0</v>
      </c>
      <c r="J150" s="15">
        <f t="shared" si="35"/>
        <v>72000</v>
      </c>
      <c r="K150" s="15">
        <f t="shared" si="36"/>
        <v>20820</v>
      </c>
      <c r="L150" s="116">
        <f t="shared" si="37"/>
        <v>0.2478571429</v>
      </c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91">
        <v>1.0</v>
      </c>
      <c r="B151" s="92" t="s">
        <v>38</v>
      </c>
      <c r="C151" s="93" t="s">
        <v>180</v>
      </c>
      <c r="D151" s="22">
        <v>16000.0</v>
      </c>
      <c r="E151" s="15">
        <f t="shared" si="33"/>
        <v>16000</v>
      </c>
      <c r="F151" s="15">
        <f t="shared" si="34"/>
        <v>17680</v>
      </c>
      <c r="G151" s="3"/>
      <c r="H151" s="3"/>
      <c r="I151" s="22">
        <v>11000.0</v>
      </c>
      <c r="J151" s="15">
        <f t="shared" si="35"/>
        <v>11000</v>
      </c>
      <c r="K151" s="15">
        <f t="shared" si="36"/>
        <v>6680</v>
      </c>
      <c r="L151" s="116">
        <f t="shared" si="37"/>
        <v>0.4175</v>
      </c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91">
        <v>1.0</v>
      </c>
      <c r="B152" s="92" t="s">
        <v>38</v>
      </c>
      <c r="C152" s="93" t="s">
        <v>47</v>
      </c>
      <c r="D152" s="22">
        <v>13000.0</v>
      </c>
      <c r="E152" s="15">
        <f t="shared" si="33"/>
        <v>13000</v>
      </c>
      <c r="F152" s="15">
        <f t="shared" si="34"/>
        <v>14365</v>
      </c>
      <c r="G152" s="3"/>
      <c r="H152" s="3"/>
      <c r="I152" s="86">
        <v>8000.0</v>
      </c>
      <c r="J152" s="15">
        <f t="shared" si="35"/>
        <v>8000</v>
      </c>
      <c r="K152" s="15">
        <f t="shared" si="36"/>
        <v>6365</v>
      </c>
      <c r="L152" s="116">
        <f t="shared" si="37"/>
        <v>0.4896153846</v>
      </c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91">
        <v>1.0</v>
      </c>
      <c r="B153" s="92" t="s">
        <v>38</v>
      </c>
      <c r="C153" s="93" t="s">
        <v>45</v>
      </c>
      <c r="D153" s="22">
        <v>13000.0</v>
      </c>
      <c r="E153" s="15">
        <f t="shared" si="33"/>
        <v>13000</v>
      </c>
      <c r="F153" s="15">
        <f t="shared" si="34"/>
        <v>14365</v>
      </c>
      <c r="G153" s="3"/>
      <c r="H153" s="3"/>
      <c r="I153" s="86">
        <v>8000.0</v>
      </c>
      <c r="J153" s="15">
        <f t="shared" si="35"/>
        <v>8000</v>
      </c>
      <c r="K153" s="15">
        <f t="shared" si="36"/>
        <v>6365</v>
      </c>
      <c r="L153" s="116">
        <f t="shared" si="37"/>
        <v>0.4896153846</v>
      </c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91">
        <v>0.5</v>
      </c>
      <c r="B154" s="92" t="s">
        <v>18</v>
      </c>
      <c r="C154" s="93" t="s">
        <v>277</v>
      </c>
      <c r="D154" s="22">
        <v>52000.0</v>
      </c>
      <c r="E154" s="15">
        <f t="shared" si="33"/>
        <v>26000</v>
      </c>
      <c r="F154" s="15">
        <f>E154*1.21</f>
        <v>31460</v>
      </c>
      <c r="G154" s="3"/>
      <c r="H154" s="3"/>
      <c r="I154" s="86">
        <v>55000.0</v>
      </c>
      <c r="J154" s="15">
        <f t="shared" si="35"/>
        <v>27500</v>
      </c>
      <c r="K154" s="15">
        <f t="shared" si="36"/>
        <v>3960</v>
      </c>
      <c r="L154" s="116">
        <f t="shared" si="37"/>
        <v>0.1523076923</v>
      </c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91">
        <v>4.0</v>
      </c>
      <c r="B155" s="92" t="s">
        <v>33</v>
      </c>
      <c r="C155" s="93" t="s">
        <v>78</v>
      </c>
      <c r="D155" s="22">
        <v>4500.0</v>
      </c>
      <c r="E155" s="15">
        <f t="shared" si="33"/>
        <v>18000</v>
      </c>
      <c r="F155" s="15">
        <f t="shared" ref="F155:F159" si="38">E155*1.105</f>
        <v>19890</v>
      </c>
      <c r="G155" s="3"/>
      <c r="H155" s="3"/>
      <c r="I155" s="86">
        <f>35000/17</f>
        <v>2058.823529</v>
      </c>
      <c r="J155" s="15">
        <f t="shared" si="35"/>
        <v>8235.294118</v>
      </c>
      <c r="K155" s="15">
        <f t="shared" si="36"/>
        <v>11654.70588</v>
      </c>
      <c r="L155" s="116">
        <f t="shared" si="37"/>
        <v>0.6474836601</v>
      </c>
      <c r="M155" s="1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91">
        <v>4.0</v>
      </c>
      <c r="B156" s="10" t="s">
        <v>33</v>
      </c>
      <c r="C156" s="93" t="s">
        <v>232</v>
      </c>
      <c r="D156" s="22">
        <v>4000.0</v>
      </c>
      <c r="E156" s="15">
        <f t="shared" si="33"/>
        <v>16000</v>
      </c>
      <c r="F156" s="15">
        <f t="shared" si="38"/>
        <v>17680</v>
      </c>
      <c r="G156" s="3"/>
      <c r="H156" s="3"/>
      <c r="I156" s="3">
        <f>48000/17</f>
        <v>2823.529412</v>
      </c>
      <c r="J156" s="15">
        <f t="shared" si="35"/>
        <v>11294.11765</v>
      </c>
      <c r="K156" s="15">
        <f t="shared" si="36"/>
        <v>6385.882353</v>
      </c>
      <c r="L156" s="116">
        <f t="shared" si="37"/>
        <v>0.3991176471</v>
      </c>
      <c r="M156" s="1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91">
        <v>1.0</v>
      </c>
      <c r="B157" s="92" t="s">
        <v>18</v>
      </c>
      <c r="C157" s="93" t="s">
        <v>379</v>
      </c>
      <c r="D157" s="22">
        <v>24000.0</v>
      </c>
      <c r="E157" s="15">
        <f t="shared" si="33"/>
        <v>24000</v>
      </c>
      <c r="F157" s="15">
        <f t="shared" si="38"/>
        <v>26520</v>
      </c>
      <c r="G157" s="3"/>
      <c r="H157" s="3"/>
      <c r="I157" s="86">
        <v>20000.0</v>
      </c>
      <c r="J157" s="15">
        <f t="shared" si="35"/>
        <v>20000</v>
      </c>
      <c r="K157" s="15">
        <f t="shared" si="36"/>
        <v>6520</v>
      </c>
      <c r="L157" s="116">
        <f t="shared" si="37"/>
        <v>0.2716666667</v>
      </c>
      <c r="M157" s="1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91">
        <v>3.0</v>
      </c>
      <c r="B158" s="92" t="s">
        <v>33</v>
      </c>
      <c r="C158" s="93" t="s">
        <v>55</v>
      </c>
      <c r="D158" s="22">
        <v>2800.0</v>
      </c>
      <c r="E158" s="15">
        <f t="shared" si="33"/>
        <v>8400</v>
      </c>
      <c r="F158" s="15">
        <f t="shared" si="38"/>
        <v>9282</v>
      </c>
      <c r="G158" s="3"/>
      <c r="H158" s="3"/>
      <c r="I158" s="86">
        <f>35000/18</f>
        <v>1944.444444</v>
      </c>
      <c r="J158" s="15">
        <f t="shared" si="35"/>
        <v>5833.333333</v>
      </c>
      <c r="K158" s="15">
        <f t="shared" si="36"/>
        <v>3448.666667</v>
      </c>
      <c r="L158" s="116">
        <f t="shared" si="37"/>
        <v>0.4105555556</v>
      </c>
      <c r="M158" s="1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91">
        <v>5.2</v>
      </c>
      <c r="B159" s="92" t="s">
        <v>33</v>
      </c>
      <c r="C159" s="93" t="s">
        <v>119</v>
      </c>
      <c r="D159" s="22">
        <v>3800.0</v>
      </c>
      <c r="E159" s="15">
        <f t="shared" si="33"/>
        <v>19760</v>
      </c>
      <c r="F159" s="15">
        <f t="shared" si="38"/>
        <v>21834.8</v>
      </c>
      <c r="G159" s="3"/>
      <c r="H159" s="3"/>
      <c r="I159" s="86">
        <v>3000.0</v>
      </c>
      <c r="J159" s="15">
        <f t="shared" si="35"/>
        <v>15600</v>
      </c>
      <c r="K159" s="15">
        <f t="shared" si="36"/>
        <v>6234.8</v>
      </c>
      <c r="L159" s="116">
        <f t="shared" si="37"/>
        <v>0.3155263158</v>
      </c>
      <c r="M159" s="1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91"/>
      <c r="B160" s="3"/>
      <c r="C160" s="2"/>
      <c r="D160" s="3"/>
      <c r="E160" s="3"/>
      <c r="F160" s="3"/>
      <c r="G160" s="3"/>
      <c r="H160" s="3"/>
      <c r="I160" s="3"/>
      <c r="J160" s="3"/>
      <c r="K160" s="3"/>
      <c r="L160" s="118"/>
      <c r="M160" s="1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91"/>
      <c r="B161" s="3"/>
      <c r="C161" s="2"/>
      <c r="D161" s="3"/>
      <c r="E161" s="15">
        <f t="shared" ref="E161:F161" si="39">SUM(E133:E159)</f>
        <v>330300</v>
      </c>
      <c r="F161" s="15">
        <f t="shared" si="39"/>
        <v>367711.5</v>
      </c>
      <c r="G161" s="3"/>
      <c r="H161" s="3"/>
      <c r="I161" s="3"/>
      <c r="J161" s="3"/>
      <c r="K161" s="15">
        <f>SUM(K133:K159)</f>
        <v>127708.3254</v>
      </c>
      <c r="L161" s="116">
        <f>IFERROR(K161/E161, 0)</f>
        <v>0.3866434314</v>
      </c>
      <c r="M161" s="1"/>
      <c r="N161" s="3"/>
      <c r="O161" s="2"/>
      <c r="P161" s="3"/>
      <c r="Q161" s="3"/>
      <c r="R161" s="9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91"/>
      <c r="B162" s="84"/>
      <c r="C162" s="85"/>
      <c r="D162" s="22"/>
      <c r="E162" s="15"/>
      <c r="F162" s="16"/>
      <c r="G162" s="25"/>
      <c r="H162" s="37"/>
      <c r="I162" s="87"/>
      <c r="J162" s="16"/>
      <c r="K162" s="16"/>
      <c r="L162" s="36"/>
      <c r="M162" s="2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91"/>
      <c r="B163" s="84"/>
      <c r="C163" s="85"/>
      <c r="D163" s="22"/>
      <c r="E163" s="15"/>
      <c r="F163" s="16"/>
      <c r="G163" s="25"/>
      <c r="H163" s="37"/>
      <c r="I163" s="87"/>
      <c r="J163" s="16"/>
      <c r="K163" s="16"/>
      <c r="L163" s="36"/>
      <c r="M163" s="2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89" t="s">
        <v>222</v>
      </c>
      <c r="B164" s="24"/>
      <c r="C164" s="24"/>
      <c r="D164" s="81" t="s">
        <v>81</v>
      </c>
      <c r="E164" s="82">
        <v>46071.0</v>
      </c>
      <c r="F164" s="122" t="s">
        <v>2</v>
      </c>
      <c r="G164" s="25"/>
      <c r="H164" s="25"/>
      <c r="I164" s="16"/>
      <c r="J164" s="16"/>
      <c r="K164" s="16"/>
      <c r="L164" s="34"/>
      <c r="M164" s="2"/>
      <c r="N164" s="3"/>
      <c r="O164" s="2"/>
      <c r="P164" s="3"/>
      <c r="Q164" s="3"/>
      <c r="R164" s="2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B165" s="25"/>
      <c r="C165" s="35"/>
      <c r="D165" s="25"/>
      <c r="E165" s="25"/>
      <c r="F165" s="25"/>
      <c r="G165" s="25"/>
      <c r="H165" s="25"/>
      <c r="I165" s="16"/>
      <c r="J165" s="16"/>
      <c r="K165" s="16"/>
      <c r="L165" s="34"/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>
      <c r="A166" s="5" t="s">
        <v>4</v>
      </c>
      <c r="B166" s="10" t="s">
        <v>5</v>
      </c>
      <c r="C166" s="11" t="s">
        <v>6</v>
      </c>
      <c r="D166" s="12" t="s">
        <v>7</v>
      </c>
      <c r="E166" s="10" t="s">
        <v>8</v>
      </c>
      <c r="F166" s="12"/>
      <c r="G166" s="25"/>
      <c r="H166" s="25"/>
      <c r="I166" s="12" t="s">
        <v>7</v>
      </c>
      <c r="J166" s="12" t="s">
        <v>8</v>
      </c>
      <c r="K166" s="12" t="s">
        <v>10</v>
      </c>
      <c r="L166" s="34"/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>
      <c r="A167" s="83">
        <v>1.0</v>
      </c>
      <c r="B167" s="84" t="s">
        <v>50</v>
      </c>
      <c r="C167" s="85" t="s">
        <v>77</v>
      </c>
      <c r="D167" s="22">
        <v>1300.0</v>
      </c>
      <c r="E167" s="15">
        <f t="shared" ref="E167:E195" si="40">A167*D167</f>
        <v>1300</v>
      </c>
      <c r="F167" s="16"/>
      <c r="G167" s="25"/>
      <c r="H167" s="37"/>
      <c r="I167" s="87">
        <v>1200.0</v>
      </c>
      <c r="J167" s="16">
        <f t="shared" ref="J167:J195" si="41">I167*A167</f>
        <v>1200</v>
      </c>
      <c r="K167" s="16">
        <f t="shared" ref="K167:K195" si="42">E167-J167</f>
        <v>100</v>
      </c>
      <c r="L167" s="110">
        <f t="shared" ref="L167:L195" si="43">IFERROR(K167/E167, 0)</f>
        <v>0.07692307692</v>
      </c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>
      <c r="A168" s="83">
        <v>1.0</v>
      </c>
      <c r="B168" s="84" t="s">
        <v>50</v>
      </c>
      <c r="C168" s="85" t="s">
        <v>104</v>
      </c>
      <c r="D168" s="22">
        <v>2000.0</v>
      </c>
      <c r="E168" s="15">
        <f t="shared" si="40"/>
        <v>2000</v>
      </c>
      <c r="F168" s="16"/>
      <c r="G168" s="25"/>
      <c r="H168" s="37"/>
      <c r="I168" s="87">
        <v>1000.0</v>
      </c>
      <c r="J168" s="16">
        <f t="shared" si="41"/>
        <v>1000</v>
      </c>
      <c r="K168" s="16">
        <f t="shared" si="42"/>
        <v>1000</v>
      </c>
      <c r="L168" s="110">
        <f t="shared" si="43"/>
        <v>0.5</v>
      </c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 ht="15.75" customHeight="1">
      <c r="A169" s="83">
        <v>3.0</v>
      </c>
      <c r="B169" s="84" t="s">
        <v>5</v>
      </c>
      <c r="C169" s="85" t="s">
        <v>176</v>
      </c>
      <c r="D169" s="22">
        <v>1200.0</v>
      </c>
      <c r="E169" s="15">
        <f t="shared" si="40"/>
        <v>3600</v>
      </c>
      <c r="F169" s="16"/>
      <c r="G169" s="25"/>
      <c r="H169" s="37"/>
      <c r="I169" s="87">
        <v>460.0</v>
      </c>
      <c r="J169" s="16">
        <f t="shared" si="41"/>
        <v>1380</v>
      </c>
      <c r="K169" s="16">
        <f t="shared" si="42"/>
        <v>2220</v>
      </c>
      <c r="L169" s="110">
        <f t="shared" si="43"/>
        <v>0.6166666667</v>
      </c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 ht="15.75" customHeight="1">
      <c r="A170" s="83">
        <v>2.0</v>
      </c>
      <c r="B170" s="84" t="s">
        <v>33</v>
      </c>
      <c r="C170" s="85" t="s">
        <v>180</v>
      </c>
      <c r="D170" s="22">
        <v>1500.0</v>
      </c>
      <c r="E170" s="15">
        <f t="shared" si="40"/>
        <v>3000</v>
      </c>
      <c r="F170" s="16"/>
      <c r="G170" s="25"/>
      <c r="H170" s="98"/>
      <c r="I170" s="113">
        <v>1000.0</v>
      </c>
      <c r="J170" s="16">
        <f t="shared" si="41"/>
        <v>2000</v>
      </c>
      <c r="K170" s="16">
        <f t="shared" si="42"/>
        <v>1000</v>
      </c>
      <c r="L170" s="110">
        <f t="shared" si="43"/>
        <v>0.3333333333</v>
      </c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 ht="15.75" customHeight="1">
      <c r="A171" s="83">
        <v>2.0</v>
      </c>
      <c r="B171" s="84" t="s">
        <v>33</v>
      </c>
      <c r="C171" s="85" t="s">
        <v>117</v>
      </c>
      <c r="D171" s="22">
        <v>3300.0</v>
      </c>
      <c r="E171" s="15">
        <f t="shared" si="40"/>
        <v>6600</v>
      </c>
      <c r="F171" s="16"/>
      <c r="G171" s="25"/>
      <c r="H171" s="37"/>
      <c r="I171" s="87">
        <f>20000/11</f>
        <v>1818.181818</v>
      </c>
      <c r="J171" s="16">
        <f t="shared" si="41"/>
        <v>3636.363636</v>
      </c>
      <c r="K171" s="16">
        <f t="shared" si="42"/>
        <v>2963.636364</v>
      </c>
      <c r="L171" s="110">
        <f t="shared" si="43"/>
        <v>0.4490358127</v>
      </c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83">
        <v>3.0</v>
      </c>
      <c r="B172" s="84" t="s">
        <v>33</v>
      </c>
      <c r="C172" s="85" t="s">
        <v>23</v>
      </c>
      <c r="D172" s="22">
        <v>1500.0</v>
      </c>
      <c r="E172" s="15">
        <f t="shared" si="40"/>
        <v>4500</v>
      </c>
      <c r="F172" s="16"/>
      <c r="G172" s="25"/>
      <c r="H172" s="37"/>
      <c r="I172" s="22">
        <v>1000.0</v>
      </c>
      <c r="J172" s="16">
        <f t="shared" si="41"/>
        <v>3000</v>
      </c>
      <c r="K172" s="16">
        <f t="shared" si="42"/>
        <v>1500</v>
      </c>
      <c r="L172" s="110">
        <f t="shared" si="43"/>
        <v>0.3333333333</v>
      </c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>
      <c r="A173" s="83">
        <v>1.0</v>
      </c>
      <c r="B173" s="84" t="s">
        <v>33</v>
      </c>
      <c r="C173" s="96" t="s">
        <v>20</v>
      </c>
      <c r="D173" s="22">
        <v>3500.0</v>
      </c>
      <c r="E173" s="15">
        <f t="shared" si="40"/>
        <v>3500</v>
      </c>
      <c r="F173" s="16"/>
      <c r="G173" s="25"/>
      <c r="H173" s="37"/>
      <c r="I173" s="87">
        <f>18000/8</f>
        <v>2250</v>
      </c>
      <c r="J173" s="16">
        <f t="shared" si="41"/>
        <v>2250</v>
      </c>
      <c r="K173" s="16">
        <f t="shared" si="42"/>
        <v>1250</v>
      </c>
      <c r="L173" s="110">
        <f t="shared" si="43"/>
        <v>0.3571428571</v>
      </c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>
      <c r="A174" s="83">
        <v>3.0</v>
      </c>
      <c r="B174" s="84" t="s">
        <v>33</v>
      </c>
      <c r="C174" s="96" t="s">
        <v>194</v>
      </c>
      <c r="D174" s="22">
        <v>3000.0</v>
      </c>
      <c r="E174" s="15">
        <f t="shared" si="40"/>
        <v>9000</v>
      </c>
      <c r="F174" s="16"/>
      <c r="G174" s="25"/>
      <c r="H174" s="98" t="s">
        <v>274</v>
      </c>
      <c r="I174" s="87">
        <v>0.0</v>
      </c>
      <c r="J174" s="16">
        <f t="shared" si="41"/>
        <v>0</v>
      </c>
      <c r="K174" s="16">
        <f t="shared" si="42"/>
        <v>9000</v>
      </c>
      <c r="L174" s="110">
        <f t="shared" si="43"/>
        <v>1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83">
        <v>6.0</v>
      </c>
      <c r="B175" s="84" t="s">
        <v>50</v>
      </c>
      <c r="C175" s="96" t="s">
        <v>69</v>
      </c>
      <c r="D175" s="22">
        <v>2600.0</v>
      </c>
      <c r="E175" s="15">
        <f t="shared" si="40"/>
        <v>15600</v>
      </c>
      <c r="F175" s="16"/>
      <c r="G175" s="25"/>
      <c r="H175" s="37"/>
      <c r="I175" s="22">
        <v>2200.0</v>
      </c>
      <c r="J175" s="16">
        <f t="shared" si="41"/>
        <v>13200</v>
      </c>
      <c r="K175" s="16">
        <f t="shared" si="42"/>
        <v>2400</v>
      </c>
      <c r="L175" s="110">
        <f t="shared" si="43"/>
        <v>0.1538461538</v>
      </c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 ht="15.75" customHeight="1">
      <c r="A176" s="83">
        <v>4.0</v>
      </c>
      <c r="B176" s="84" t="s">
        <v>50</v>
      </c>
      <c r="C176" s="96" t="s">
        <v>65</v>
      </c>
      <c r="D176" s="22">
        <v>450.0</v>
      </c>
      <c r="E176" s="15">
        <f t="shared" si="40"/>
        <v>1800</v>
      </c>
      <c r="F176" s="16"/>
      <c r="G176" s="25"/>
      <c r="H176" s="37"/>
      <c r="I176" s="22">
        <f>5000/24</f>
        <v>208.3333333</v>
      </c>
      <c r="J176" s="16">
        <f t="shared" si="41"/>
        <v>833.3333333</v>
      </c>
      <c r="K176" s="16">
        <f t="shared" si="42"/>
        <v>966.6666667</v>
      </c>
      <c r="L176" s="110">
        <f t="shared" si="43"/>
        <v>0.537037037</v>
      </c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 ht="15.75" customHeight="1">
      <c r="A177" s="83">
        <v>5.0</v>
      </c>
      <c r="B177" s="84" t="s">
        <v>33</v>
      </c>
      <c r="C177" s="96" t="s">
        <v>19</v>
      </c>
      <c r="D177" s="22">
        <v>2300.0</v>
      </c>
      <c r="E177" s="15">
        <f t="shared" si="40"/>
        <v>11500</v>
      </c>
      <c r="F177" s="16"/>
      <c r="G177" s="25"/>
      <c r="H177" s="37"/>
      <c r="I177" s="87">
        <f>25000/15</f>
        <v>1666.666667</v>
      </c>
      <c r="J177" s="16">
        <f t="shared" si="41"/>
        <v>8333.333333</v>
      </c>
      <c r="K177" s="16">
        <f t="shared" si="42"/>
        <v>3166.666667</v>
      </c>
      <c r="L177" s="110">
        <f t="shared" si="43"/>
        <v>0.2753623188</v>
      </c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83">
        <v>2.0</v>
      </c>
      <c r="B178" s="84" t="s">
        <v>33</v>
      </c>
      <c r="C178" s="93" t="s">
        <v>76</v>
      </c>
      <c r="D178" s="22">
        <v>1200.0</v>
      </c>
      <c r="E178" s="15">
        <f t="shared" si="40"/>
        <v>2400</v>
      </c>
      <c r="F178" s="16"/>
      <c r="G178" s="25"/>
      <c r="H178" s="37"/>
      <c r="I178" s="87">
        <f>12000/16</f>
        <v>750</v>
      </c>
      <c r="J178" s="16">
        <f t="shared" si="41"/>
        <v>1500</v>
      </c>
      <c r="K178" s="16">
        <f t="shared" si="42"/>
        <v>900</v>
      </c>
      <c r="L178" s="110">
        <f t="shared" si="43"/>
        <v>0.375</v>
      </c>
      <c r="M178" s="2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83">
        <v>2.0</v>
      </c>
      <c r="B179" s="84" t="s">
        <v>33</v>
      </c>
      <c r="C179" s="93" t="s">
        <v>22</v>
      </c>
      <c r="D179" s="22">
        <v>1200.0</v>
      </c>
      <c r="E179" s="15">
        <f t="shared" si="40"/>
        <v>2400</v>
      </c>
      <c r="F179" s="16"/>
      <c r="G179" s="25"/>
      <c r="H179" s="37"/>
      <c r="I179" s="87">
        <f>10000/14</f>
        <v>714.2857143</v>
      </c>
      <c r="J179" s="16">
        <f t="shared" si="41"/>
        <v>1428.571429</v>
      </c>
      <c r="K179" s="16">
        <f t="shared" si="42"/>
        <v>971.4285714</v>
      </c>
      <c r="L179" s="110">
        <f t="shared" si="43"/>
        <v>0.4047619048</v>
      </c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83">
        <v>1.0</v>
      </c>
      <c r="B180" s="84" t="s">
        <v>38</v>
      </c>
      <c r="C180" s="96" t="s">
        <v>287</v>
      </c>
      <c r="D180" s="22">
        <v>14000.0</v>
      </c>
      <c r="E180" s="15">
        <f t="shared" si="40"/>
        <v>14000</v>
      </c>
      <c r="F180" s="16"/>
      <c r="G180" s="25"/>
      <c r="H180" s="37"/>
      <c r="I180" s="87">
        <v>0.0</v>
      </c>
      <c r="J180" s="16">
        <f t="shared" si="41"/>
        <v>0</v>
      </c>
      <c r="K180" s="16">
        <f t="shared" si="42"/>
        <v>14000</v>
      </c>
      <c r="L180" s="110">
        <f t="shared" si="43"/>
        <v>1</v>
      </c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83">
        <v>0.5</v>
      </c>
      <c r="B181" s="84" t="s">
        <v>38</v>
      </c>
      <c r="C181" s="96" t="s">
        <v>67</v>
      </c>
      <c r="D181" s="22">
        <v>12000.0</v>
      </c>
      <c r="E181" s="15">
        <f t="shared" si="40"/>
        <v>6000</v>
      </c>
      <c r="F181" s="16"/>
      <c r="G181" s="25"/>
      <c r="H181" s="98"/>
      <c r="I181" s="22">
        <v>8000.0</v>
      </c>
      <c r="J181" s="16">
        <f t="shared" si="41"/>
        <v>4000</v>
      </c>
      <c r="K181" s="16">
        <f t="shared" si="42"/>
        <v>2000</v>
      </c>
      <c r="L181" s="110">
        <f t="shared" si="43"/>
        <v>0.3333333333</v>
      </c>
      <c r="M181" s="2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83">
        <v>1.0</v>
      </c>
      <c r="B182" s="84" t="s">
        <v>38</v>
      </c>
      <c r="C182" s="96" t="s">
        <v>46</v>
      </c>
      <c r="D182" s="22">
        <v>14000.0</v>
      </c>
      <c r="E182" s="15">
        <f t="shared" si="40"/>
        <v>14000</v>
      </c>
      <c r="F182" s="16"/>
      <c r="G182" s="25"/>
      <c r="H182" s="98"/>
      <c r="I182" s="22">
        <v>11000.0</v>
      </c>
      <c r="J182" s="16">
        <f t="shared" si="41"/>
        <v>11000</v>
      </c>
      <c r="K182" s="16">
        <f t="shared" si="42"/>
        <v>3000</v>
      </c>
      <c r="L182" s="110">
        <f t="shared" si="43"/>
        <v>0.2142857143</v>
      </c>
      <c r="M182" s="2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83">
        <v>0.5</v>
      </c>
      <c r="B183" s="84" t="s">
        <v>38</v>
      </c>
      <c r="C183" s="96" t="s">
        <v>47</v>
      </c>
      <c r="D183" s="22">
        <v>12000.0</v>
      </c>
      <c r="E183" s="15">
        <f t="shared" si="40"/>
        <v>6000</v>
      </c>
      <c r="F183" s="16"/>
      <c r="G183" s="25"/>
      <c r="H183" s="37"/>
      <c r="I183" s="22">
        <v>8000.0</v>
      </c>
      <c r="J183" s="16">
        <f t="shared" si="41"/>
        <v>4000</v>
      </c>
      <c r="K183" s="16">
        <f t="shared" si="42"/>
        <v>2000</v>
      </c>
      <c r="L183" s="110">
        <f t="shared" si="43"/>
        <v>0.3333333333</v>
      </c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83">
        <v>1.0</v>
      </c>
      <c r="B184" s="84" t="s">
        <v>18</v>
      </c>
      <c r="C184" s="93" t="s">
        <v>381</v>
      </c>
      <c r="D184" s="22">
        <v>65000.0</v>
      </c>
      <c r="E184" s="15">
        <f t="shared" si="40"/>
        <v>65000</v>
      </c>
      <c r="F184" s="16"/>
      <c r="G184" s="25"/>
      <c r="H184" s="37"/>
      <c r="I184" s="87">
        <v>55000.0</v>
      </c>
      <c r="J184" s="16">
        <f t="shared" si="41"/>
        <v>55000</v>
      </c>
      <c r="K184" s="16">
        <f t="shared" si="42"/>
        <v>10000</v>
      </c>
      <c r="L184" s="110">
        <f t="shared" si="43"/>
        <v>0.1538461538</v>
      </c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83">
        <v>1.0</v>
      </c>
      <c r="B185" s="84" t="s">
        <v>29</v>
      </c>
      <c r="C185" s="96" t="s">
        <v>31</v>
      </c>
      <c r="D185" s="22">
        <v>39000.0</v>
      </c>
      <c r="E185" s="15">
        <f t="shared" si="40"/>
        <v>39000</v>
      </c>
      <c r="F185" s="16"/>
      <c r="G185" s="25"/>
      <c r="H185" s="37"/>
      <c r="I185" s="87">
        <v>35000.0</v>
      </c>
      <c r="J185" s="16">
        <f t="shared" si="41"/>
        <v>35000</v>
      </c>
      <c r="K185" s="16">
        <f t="shared" si="42"/>
        <v>4000</v>
      </c>
      <c r="L185" s="110">
        <f t="shared" si="43"/>
        <v>0.1025641026</v>
      </c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83">
        <v>3.0</v>
      </c>
      <c r="B186" s="84" t="s">
        <v>33</v>
      </c>
      <c r="C186" s="96" t="s">
        <v>213</v>
      </c>
      <c r="D186" s="22">
        <v>3500.0</v>
      </c>
      <c r="E186" s="15">
        <f t="shared" si="40"/>
        <v>10500</v>
      </c>
      <c r="F186" s="16"/>
      <c r="G186" s="25"/>
      <c r="H186" s="37"/>
      <c r="I186" s="87">
        <v>3000.0</v>
      </c>
      <c r="J186" s="16">
        <f t="shared" si="41"/>
        <v>9000</v>
      </c>
      <c r="K186" s="16">
        <f t="shared" si="42"/>
        <v>1500</v>
      </c>
      <c r="L186" s="110">
        <f t="shared" si="43"/>
        <v>0.1428571429</v>
      </c>
      <c r="M186" s="2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83">
        <v>3.0</v>
      </c>
      <c r="B187" s="84" t="s">
        <v>33</v>
      </c>
      <c r="C187" s="96" t="s">
        <v>201</v>
      </c>
      <c r="D187" s="22">
        <v>4000.0</v>
      </c>
      <c r="E187" s="15">
        <f t="shared" si="40"/>
        <v>12000</v>
      </c>
      <c r="F187" s="16"/>
      <c r="G187" s="25"/>
      <c r="H187" s="37"/>
      <c r="I187" s="87">
        <v>3000.0</v>
      </c>
      <c r="J187" s="16">
        <f t="shared" si="41"/>
        <v>9000</v>
      </c>
      <c r="K187" s="16">
        <f t="shared" si="42"/>
        <v>3000</v>
      </c>
      <c r="L187" s="110">
        <f t="shared" si="43"/>
        <v>0.25</v>
      </c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83">
        <v>0.5</v>
      </c>
      <c r="B188" s="84" t="s">
        <v>33</v>
      </c>
      <c r="C188" s="96" t="s">
        <v>57</v>
      </c>
      <c r="D188" s="22">
        <v>12000.0</v>
      </c>
      <c r="E188" s="15">
        <f t="shared" si="40"/>
        <v>6000</v>
      </c>
      <c r="F188" s="16"/>
      <c r="G188" s="25"/>
      <c r="H188" s="37"/>
      <c r="I188" s="87">
        <v>12000.0</v>
      </c>
      <c r="J188" s="16">
        <f t="shared" si="41"/>
        <v>6000</v>
      </c>
      <c r="K188" s="16">
        <f t="shared" si="42"/>
        <v>0</v>
      </c>
      <c r="L188" s="110">
        <f t="shared" si="43"/>
        <v>0</v>
      </c>
      <c r="M188" s="2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83">
        <v>0.5</v>
      </c>
      <c r="B189" s="84" t="s">
        <v>33</v>
      </c>
      <c r="C189" s="96" t="s">
        <v>53</v>
      </c>
      <c r="D189" s="22">
        <v>10000.0</v>
      </c>
      <c r="E189" s="15">
        <f t="shared" si="40"/>
        <v>5000</v>
      </c>
      <c r="F189" s="16"/>
      <c r="G189" s="25"/>
      <c r="H189" s="37"/>
      <c r="I189" s="87">
        <f>57000/8</f>
        <v>7125</v>
      </c>
      <c r="J189" s="16">
        <f t="shared" si="41"/>
        <v>3562.5</v>
      </c>
      <c r="K189" s="16">
        <f t="shared" si="42"/>
        <v>1437.5</v>
      </c>
      <c r="L189" s="110">
        <f t="shared" si="43"/>
        <v>0.2875</v>
      </c>
      <c r="M189" s="2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83">
        <v>2.0</v>
      </c>
      <c r="B190" s="84" t="s">
        <v>33</v>
      </c>
      <c r="C190" s="96" t="s">
        <v>72</v>
      </c>
      <c r="D190" s="22">
        <v>2600.0</v>
      </c>
      <c r="E190" s="15">
        <f t="shared" si="40"/>
        <v>5200</v>
      </c>
      <c r="F190" s="16"/>
      <c r="G190" s="25"/>
      <c r="H190" s="37"/>
      <c r="I190" s="87">
        <f>27000/15</f>
        <v>1800</v>
      </c>
      <c r="J190" s="16">
        <f t="shared" si="41"/>
        <v>3600</v>
      </c>
      <c r="K190" s="16">
        <f t="shared" si="42"/>
        <v>1600</v>
      </c>
      <c r="L190" s="110">
        <f t="shared" si="43"/>
        <v>0.3076923077</v>
      </c>
      <c r="M190" s="2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83">
        <v>0.5</v>
      </c>
      <c r="B191" s="84" t="s">
        <v>29</v>
      </c>
      <c r="C191" s="96" t="s">
        <v>78</v>
      </c>
      <c r="D191" s="22">
        <v>50000.0</v>
      </c>
      <c r="E191" s="15">
        <f t="shared" si="40"/>
        <v>25000</v>
      </c>
      <c r="F191" s="16"/>
      <c r="G191" s="25"/>
      <c r="H191" s="37"/>
      <c r="I191" s="87">
        <v>35000.0</v>
      </c>
      <c r="J191" s="16">
        <f t="shared" si="41"/>
        <v>17500</v>
      </c>
      <c r="K191" s="16">
        <f t="shared" si="42"/>
        <v>7500</v>
      </c>
      <c r="L191" s="110">
        <f t="shared" si="43"/>
        <v>0.3</v>
      </c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83">
        <v>4.0</v>
      </c>
      <c r="B192" s="84" t="s">
        <v>33</v>
      </c>
      <c r="C192" s="85" t="s">
        <v>39</v>
      </c>
      <c r="D192" s="22">
        <v>1700.0</v>
      </c>
      <c r="E192" s="15">
        <f t="shared" si="40"/>
        <v>6800</v>
      </c>
      <c r="F192" s="16"/>
      <c r="G192" s="25"/>
      <c r="H192" s="37"/>
      <c r="I192" s="87">
        <f>20000/15</f>
        <v>1333.333333</v>
      </c>
      <c r="J192" s="16">
        <f t="shared" si="41"/>
        <v>5333.333333</v>
      </c>
      <c r="K192" s="16">
        <f t="shared" si="42"/>
        <v>1466.666667</v>
      </c>
      <c r="L192" s="110">
        <f t="shared" si="43"/>
        <v>0.2156862745</v>
      </c>
      <c r="M192" s="2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83">
        <v>3.0</v>
      </c>
      <c r="B193" s="84" t="s">
        <v>33</v>
      </c>
      <c r="C193" s="85" t="s">
        <v>56</v>
      </c>
      <c r="D193" s="22">
        <v>2030.0</v>
      </c>
      <c r="E193" s="15">
        <f t="shared" si="40"/>
        <v>6090</v>
      </c>
      <c r="F193" s="16"/>
      <c r="G193" s="25"/>
      <c r="H193" s="37"/>
      <c r="I193" s="87">
        <f>23000/15</f>
        <v>1533.333333</v>
      </c>
      <c r="J193" s="16">
        <f t="shared" si="41"/>
        <v>4600</v>
      </c>
      <c r="K193" s="16">
        <f t="shared" si="42"/>
        <v>1490</v>
      </c>
      <c r="L193" s="110">
        <f t="shared" si="43"/>
        <v>0.2446633826</v>
      </c>
      <c r="M193" s="2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83">
        <v>9.0</v>
      </c>
      <c r="B194" s="84" t="s">
        <v>33</v>
      </c>
      <c r="C194" s="85" t="s">
        <v>34</v>
      </c>
      <c r="D194" s="22">
        <v>1000.0</v>
      </c>
      <c r="E194" s="15">
        <f t="shared" si="40"/>
        <v>9000</v>
      </c>
      <c r="F194" s="16"/>
      <c r="G194" s="25"/>
      <c r="H194" s="37"/>
      <c r="I194" s="87">
        <v>600.0</v>
      </c>
      <c r="J194" s="16">
        <f t="shared" si="41"/>
        <v>5400</v>
      </c>
      <c r="K194" s="16">
        <f t="shared" si="42"/>
        <v>3600</v>
      </c>
      <c r="L194" s="110">
        <f t="shared" si="43"/>
        <v>0.4</v>
      </c>
      <c r="M194" s="2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83">
        <v>1.6</v>
      </c>
      <c r="B195" s="84" t="s">
        <v>33</v>
      </c>
      <c r="C195" s="85" t="s">
        <v>221</v>
      </c>
      <c r="D195" s="22">
        <v>3500.0</v>
      </c>
      <c r="E195" s="15">
        <f t="shared" si="40"/>
        <v>5600</v>
      </c>
      <c r="F195" s="16"/>
      <c r="G195" s="25"/>
      <c r="H195" s="37"/>
      <c r="I195" s="87">
        <v>3000.0</v>
      </c>
      <c r="J195" s="16">
        <f t="shared" si="41"/>
        <v>4800</v>
      </c>
      <c r="K195" s="16">
        <f t="shared" si="42"/>
        <v>800</v>
      </c>
      <c r="L195" s="110">
        <f t="shared" si="43"/>
        <v>0.1428571429</v>
      </c>
      <c r="M195" s="2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13"/>
      <c r="B196" s="12"/>
      <c r="C196" s="14"/>
      <c r="D196" s="15"/>
      <c r="E196" s="16"/>
      <c r="F196" s="16"/>
      <c r="H196" s="25"/>
      <c r="I196" s="16"/>
      <c r="J196" s="16"/>
      <c r="K196" s="16"/>
      <c r="L196" s="110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>
      <c r="A197" s="13"/>
      <c r="B197" s="12"/>
      <c r="C197" s="14"/>
      <c r="D197" s="15"/>
      <c r="E197" s="16">
        <f>SUM(E167:E196)</f>
        <v>302390</v>
      </c>
      <c r="F197" s="16"/>
      <c r="G197" s="25"/>
      <c r="H197" s="25"/>
      <c r="I197" s="16"/>
      <c r="J197" s="16"/>
      <c r="K197" s="16">
        <f>SUM(K167:K195)</f>
        <v>84832.56494</v>
      </c>
      <c r="L197" s="110">
        <f>IFERROR(K197/E197, 0)</f>
        <v>0.2805402458</v>
      </c>
      <c r="M197" s="2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83"/>
      <c r="B198" s="84"/>
      <c r="C198" s="85"/>
      <c r="D198" s="22"/>
      <c r="E198" s="15"/>
      <c r="F198" s="16"/>
      <c r="G198" s="25"/>
      <c r="H198" s="37"/>
      <c r="I198" s="87"/>
      <c r="J198" s="16"/>
      <c r="K198" s="16"/>
      <c r="L198" s="111"/>
      <c r="M198" s="2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83"/>
      <c r="B199" s="84"/>
      <c r="C199" s="85"/>
      <c r="D199" s="22"/>
      <c r="E199" s="15"/>
      <c r="F199" s="16"/>
      <c r="G199" s="25"/>
      <c r="H199" s="37"/>
      <c r="I199" s="87"/>
      <c r="J199" s="16"/>
      <c r="K199" s="16"/>
      <c r="L199" s="36"/>
      <c r="M199" s="2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 ht="15.75" customHeight="1">
      <c r="A200" s="89" t="s">
        <v>100</v>
      </c>
      <c r="B200" s="24"/>
      <c r="C200" s="24"/>
      <c r="D200" s="81" t="s">
        <v>327</v>
      </c>
      <c r="E200" s="82">
        <v>46078.0</v>
      </c>
      <c r="F200" s="122" t="s">
        <v>2</v>
      </c>
      <c r="G200" s="25"/>
      <c r="H200" s="25"/>
      <c r="I200" s="16"/>
      <c r="J200" s="16"/>
      <c r="K200" s="16"/>
      <c r="L200" s="34"/>
      <c r="M200" s="2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B201" s="25"/>
      <c r="C201" s="35"/>
      <c r="D201" s="25"/>
      <c r="E201" s="25"/>
      <c r="F201" s="25"/>
      <c r="G201" s="25"/>
      <c r="H201" s="25"/>
      <c r="I201" s="16"/>
      <c r="J201" s="16"/>
      <c r="K201" s="16"/>
      <c r="L201" s="34"/>
      <c r="M201" s="2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>
      <c r="A202" s="5" t="s">
        <v>4</v>
      </c>
      <c r="B202" s="10" t="s">
        <v>5</v>
      </c>
      <c r="C202" s="11" t="s">
        <v>6</v>
      </c>
      <c r="D202" s="84" t="s">
        <v>7</v>
      </c>
      <c r="E202" s="10" t="s">
        <v>8</v>
      </c>
      <c r="F202" s="12"/>
      <c r="G202" s="25"/>
      <c r="H202" s="25"/>
      <c r="I202" s="12"/>
      <c r="J202" s="12" t="s">
        <v>8</v>
      </c>
      <c r="K202" s="12" t="s">
        <v>10</v>
      </c>
      <c r="L202" s="34"/>
      <c r="M202" s="2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>
      <c r="A203" s="83">
        <v>4.0</v>
      </c>
      <c r="B203" s="84" t="s">
        <v>5</v>
      </c>
      <c r="C203" s="85" t="s">
        <v>87</v>
      </c>
      <c r="D203" s="22">
        <v>1300.0</v>
      </c>
      <c r="E203" s="15">
        <f t="shared" ref="E203:E204" si="44">A203*D203</f>
        <v>5200</v>
      </c>
      <c r="F203" s="16"/>
      <c r="G203" s="25"/>
      <c r="H203" s="98" t="s">
        <v>274</v>
      </c>
      <c r="I203" s="86"/>
      <c r="J203" s="15">
        <f t="shared" ref="J203:J204" si="45">A203*I203</f>
        <v>0</v>
      </c>
      <c r="K203" s="15">
        <f t="shared" ref="K203:K204" si="46">E203-J203</f>
        <v>5200</v>
      </c>
      <c r="L203" s="110">
        <f t="shared" ref="L203:L204" si="47">K203/E203</f>
        <v>1</v>
      </c>
      <c r="M203" s="2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>
      <c r="A204" s="83">
        <v>2.0</v>
      </c>
      <c r="B204" s="84" t="s">
        <v>33</v>
      </c>
      <c r="C204" s="85" t="s">
        <v>19</v>
      </c>
      <c r="D204" s="22">
        <v>2300.0</v>
      </c>
      <c r="E204" s="15">
        <f t="shared" si="44"/>
        <v>4600</v>
      </c>
      <c r="F204" s="16"/>
      <c r="G204" s="25"/>
      <c r="H204" s="37"/>
      <c r="I204" s="87">
        <f>18000/15</f>
        <v>1200</v>
      </c>
      <c r="J204" s="15">
        <f t="shared" si="45"/>
        <v>2400</v>
      </c>
      <c r="K204" s="15">
        <f t="shared" si="46"/>
        <v>2200</v>
      </c>
      <c r="L204" s="110">
        <f t="shared" si="47"/>
        <v>0.4782608696</v>
      </c>
      <c r="M204" s="2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13"/>
      <c r="B205" s="12"/>
      <c r="C205" s="14"/>
      <c r="D205" s="15"/>
      <c r="E205" s="16"/>
      <c r="F205" s="16"/>
      <c r="H205" s="25"/>
      <c r="I205" s="16"/>
      <c r="J205" s="16"/>
      <c r="K205" s="16"/>
      <c r="L205" s="36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 ht="15.75" customHeight="1">
      <c r="A206" s="13"/>
      <c r="B206" s="12"/>
      <c r="C206" s="14"/>
      <c r="D206" s="15"/>
      <c r="E206" s="16">
        <f>SUM(E203:E205)</f>
        <v>9800</v>
      </c>
      <c r="F206" s="16"/>
      <c r="G206" s="25"/>
      <c r="H206" s="25"/>
      <c r="I206" s="16"/>
      <c r="J206" s="16"/>
      <c r="K206" s="16">
        <f>SUM(K203:K204)</f>
        <v>7400</v>
      </c>
      <c r="L206" s="110">
        <f>K206/E206</f>
        <v>0.7551020408</v>
      </c>
      <c r="M206" s="2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83"/>
      <c r="B207" s="84"/>
      <c r="C207" s="85"/>
      <c r="D207" s="22"/>
      <c r="E207" s="15"/>
      <c r="F207" s="22"/>
      <c r="G207" s="113"/>
      <c r="H207" s="101"/>
      <c r="I207" s="22"/>
      <c r="J207" s="15"/>
      <c r="K207" s="15"/>
      <c r="L207" s="110"/>
      <c r="M207" s="1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 ht="15.75" customHeight="1">
      <c r="A208" s="89" t="s">
        <v>90</v>
      </c>
      <c r="B208" s="89" t="s">
        <v>91</v>
      </c>
      <c r="C208" s="24"/>
      <c r="D208" s="81" t="s">
        <v>285</v>
      </c>
      <c r="E208" s="82">
        <v>46078.0</v>
      </c>
      <c r="F208" s="122" t="s">
        <v>2</v>
      </c>
      <c r="G208" s="25"/>
      <c r="H208" s="25"/>
      <c r="I208" s="16"/>
      <c r="J208" s="16"/>
      <c r="K208" s="16"/>
      <c r="L208" s="34"/>
      <c r="M208" s="2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B209" s="25"/>
      <c r="C209" s="35"/>
      <c r="D209" s="25"/>
      <c r="E209" s="25"/>
      <c r="F209" s="25"/>
      <c r="G209" s="25"/>
      <c r="H209" s="25"/>
      <c r="I209" s="16"/>
      <c r="J209" s="16"/>
      <c r="K209" s="16"/>
      <c r="L209" s="34"/>
      <c r="M209" s="2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5" t="s">
        <v>4</v>
      </c>
      <c r="B210" s="10" t="s">
        <v>5</v>
      </c>
      <c r="C210" s="11" t="s">
        <v>6</v>
      </c>
      <c r="D210" s="84" t="s">
        <v>7</v>
      </c>
      <c r="E210" s="10" t="s">
        <v>8</v>
      </c>
      <c r="F210" s="12"/>
      <c r="G210" s="25"/>
      <c r="H210" s="25"/>
      <c r="I210" s="12"/>
      <c r="J210" s="12" t="s">
        <v>8</v>
      </c>
      <c r="K210" s="12" t="s">
        <v>10</v>
      </c>
      <c r="L210" s="34"/>
      <c r="M210" s="2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>
      <c r="A211" s="83">
        <v>2.0</v>
      </c>
      <c r="B211" s="84" t="s">
        <v>18</v>
      </c>
      <c r="C211" s="85" t="s">
        <v>382</v>
      </c>
      <c r="D211" s="22">
        <v>24000.0</v>
      </c>
      <c r="E211" s="15">
        <f>A211*D211</f>
        <v>48000</v>
      </c>
      <c r="F211" s="16"/>
      <c r="G211" s="25"/>
      <c r="H211" s="37"/>
      <c r="I211" s="86">
        <v>20000.0</v>
      </c>
      <c r="J211" s="15">
        <f>A211*I211</f>
        <v>40000</v>
      </c>
      <c r="K211" s="15">
        <f>E211-J211</f>
        <v>8000</v>
      </c>
      <c r="L211" s="110">
        <f>K211/E211</f>
        <v>0.1666666667</v>
      </c>
      <c r="M211" s="2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>
      <c r="A212" s="13"/>
      <c r="B212" s="12"/>
      <c r="C212" s="14"/>
      <c r="D212" s="15"/>
      <c r="E212" s="16"/>
      <c r="F212" s="16"/>
      <c r="H212" s="25"/>
      <c r="I212" s="16"/>
      <c r="J212" s="16"/>
      <c r="K212" s="16"/>
      <c r="L212" s="36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 ht="15.75" customHeight="1">
      <c r="A213" s="13"/>
      <c r="B213" s="12"/>
      <c r="C213" s="14"/>
      <c r="D213" s="15"/>
      <c r="E213" s="16">
        <f>SUM(E211:E212)</f>
        <v>48000</v>
      </c>
      <c r="F213" s="16"/>
      <c r="G213" s="25"/>
      <c r="H213" s="25"/>
      <c r="I213" s="16"/>
      <c r="J213" s="16"/>
      <c r="K213" s="16">
        <f>SUM(K211)</f>
        <v>8000</v>
      </c>
      <c r="L213" s="110">
        <f>K213/E213</f>
        <v>0.1666666667</v>
      </c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 ht="15.75" customHeight="1">
      <c r="A214" s="83"/>
      <c r="B214" s="84"/>
      <c r="C214" s="85"/>
      <c r="D214" s="22"/>
      <c r="E214" s="15"/>
      <c r="F214" s="16"/>
      <c r="G214" s="25"/>
      <c r="H214" s="37"/>
      <c r="I214" s="87"/>
      <c r="J214" s="16"/>
      <c r="K214" s="16"/>
      <c r="L214" s="36"/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 ht="15.75" customHeight="1">
      <c r="A215" s="83"/>
      <c r="B215" s="84"/>
      <c r="C215" s="85"/>
      <c r="D215" s="22"/>
      <c r="E215" s="15"/>
      <c r="F215" s="16"/>
      <c r="G215" s="25"/>
      <c r="H215" s="37"/>
      <c r="I215" s="22"/>
      <c r="J215" s="16"/>
      <c r="K215" s="16"/>
      <c r="L215" s="36"/>
      <c r="M215" s="2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83"/>
      <c r="B216" s="84"/>
      <c r="C216" s="85"/>
      <c r="D216" s="22"/>
      <c r="E216" s="15"/>
      <c r="F216" s="16"/>
      <c r="G216" s="25"/>
      <c r="H216" s="37"/>
      <c r="I216" s="87"/>
      <c r="J216" s="16"/>
      <c r="K216" s="16"/>
      <c r="L216" s="36"/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89" t="s">
        <v>206</v>
      </c>
      <c r="B217" s="24"/>
      <c r="C217" s="24"/>
      <c r="D217" s="81" t="s">
        <v>229</v>
      </c>
      <c r="E217" s="81" t="s">
        <v>383</v>
      </c>
      <c r="F217" s="107" t="s">
        <v>2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B218" s="25"/>
      <c r="C218" s="35"/>
      <c r="D218" s="25"/>
      <c r="E218" s="2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 t="s">
        <v>4</v>
      </c>
      <c r="B219" s="10" t="s">
        <v>5</v>
      </c>
      <c r="C219" s="11" t="s">
        <v>6</v>
      </c>
      <c r="D219" s="12" t="s">
        <v>7</v>
      </c>
      <c r="E219" s="10" t="s">
        <v>8</v>
      </c>
      <c r="F219" s="2"/>
      <c r="G219" s="2"/>
      <c r="H219" s="2"/>
      <c r="I219" s="12" t="s">
        <v>7</v>
      </c>
      <c r="J219" s="12" t="s">
        <v>8</v>
      </c>
      <c r="K219" s="12" t="s">
        <v>10</v>
      </c>
      <c r="L219" s="3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3">
        <v>2.0</v>
      </c>
      <c r="B220" s="84" t="s">
        <v>11</v>
      </c>
      <c r="C220" s="85" t="s">
        <v>17</v>
      </c>
      <c r="D220" s="22">
        <v>5000.0</v>
      </c>
      <c r="E220" s="15">
        <f t="shared" ref="E220:E231" si="48">A220*D220</f>
        <v>10000</v>
      </c>
      <c r="F220" s="2"/>
      <c r="G220" s="2"/>
      <c r="H220" s="2"/>
      <c r="I220" s="87">
        <v>3400.0</v>
      </c>
      <c r="J220" s="16">
        <f t="shared" ref="J220:J231" si="49">A220*I220</f>
        <v>6800</v>
      </c>
      <c r="K220" s="16">
        <f t="shared" ref="K220:K231" si="50">E220-J220</f>
        <v>3200</v>
      </c>
      <c r="L220" s="116">
        <f t="shared" ref="L220:L231" si="51">K220/E220</f>
        <v>0.32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3">
        <v>1.0</v>
      </c>
      <c r="B221" s="84" t="s">
        <v>18</v>
      </c>
      <c r="C221" s="85" t="s">
        <v>384</v>
      </c>
      <c r="D221" s="22">
        <v>9000.0</v>
      </c>
      <c r="E221" s="15">
        <f t="shared" si="48"/>
        <v>9000</v>
      </c>
      <c r="F221" s="2"/>
      <c r="G221" s="2"/>
      <c r="H221" s="2"/>
      <c r="I221" s="87">
        <v>6000.0</v>
      </c>
      <c r="J221" s="16">
        <f t="shared" si="49"/>
        <v>6000</v>
      </c>
      <c r="K221" s="16">
        <f t="shared" si="50"/>
        <v>3000</v>
      </c>
      <c r="L221" s="116">
        <f t="shared" si="51"/>
        <v>0.3333333333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3">
        <v>1.0</v>
      </c>
      <c r="B222" s="84" t="s">
        <v>18</v>
      </c>
      <c r="C222" s="85" t="s">
        <v>113</v>
      </c>
      <c r="D222" s="22">
        <v>11000.0</v>
      </c>
      <c r="E222" s="15">
        <f t="shared" si="48"/>
        <v>11000</v>
      </c>
      <c r="F222" s="2"/>
      <c r="G222" s="2"/>
      <c r="H222" s="2"/>
      <c r="I222" s="87">
        <v>7000.0</v>
      </c>
      <c r="J222" s="16">
        <f t="shared" si="49"/>
        <v>7000</v>
      </c>
      <c r="K222" s="16">
        <f t="shared" si="50"/>
        <v>4000</v>
      </c>
      <c r="L222" s="116">
        <f t="shared" si="51"/>
        <v>0.3636363636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3">
        <v>1.0</v>
      </c>
      <c r="B223" s="84" t="s">
        <v>18</v>
      </c>
      <c r="C223" s="85" t="s">
        <v>32</v>
      </c>
      <c r="D223" s="22">
        <v>23000.0</v>
      </c>
      <c r="E223" s="15">
        <f t="shared" si="48"/>
        <v>23000</v>
      </c>
      <c r="F223" s="2"/>
      <c r="G223" s="2"/>
      <c r="H223" s="2"/>
      <c r="I223" s="87">
        <v>20000.0</v>
      </c>
      <c r="J223" s="16">
        <f t="shared" si="49"/>
        <v>20000</v>
      </c>
      <c r="K223" s="16">
        <f t="shared" si="50"/>
        <v>3000</v>
      </c>
      <c r="L223" s="116">
        <f t="shared" si="51"/>
        <v>0.1304347826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3">
        <v>1.0</v>
      </c>
      <c r="B224" s="84" t="s">
        <v>18</v>
      </c>
      <c r="C224" s="85" t="s">
        <v>385</v>
      </c>
      <c r="D224" s="22">
        <v>32000.0</v>
      </c>
      <c r="E224" s="15">
        <f t="shared" si="48"/>
        <v>32000</v>
      </c>
      <c r="F224" s="2"/>
      <c r="G224" s="2"/>
      <c r="H224" s="2"/>
      <c r="I224" s="87">
        <v>25000.0</v>
      </c>
      <c r="J224" s="16">
        <f t="shared" si="49"/>
        <v>25000</v>
      </c>
      <c r="K224" s="16">
        <f t="shared" si="50"/>
        <v>7000</v>
      </c>
      <c r="L224" s="116">
        <f t="shared" si="51"/>
        <v>0.21875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3">
        <v>4.0</v>
      </c>
      <c r="B225" s="84" t="s">
        <v>5</v>
      </c>
      <c r="C225" s="85" t="s">
        <v>118</v>
      </c>
      <c r="D225" s="22">
        <v>2500.0</v>
      </c>
      <c r="E225" s="15">
        <f t="shared" si="48"/>
        <v>10000</v>
      </c>
      <c r="F225" s="2"/>
      <c r="G225" s="2"/>
      <c r="H225" s="2"/>
      <c r="I225" s="87">
        <v>2000.0</v>
      </c>
      <c r="J225" s="16">
        <f t="shared" si="49"/>
        <v>8000</v>
      </c>
      <c r="K225" s="16">
        <f t="shared" si="50"/>
        <v>2000</v>
      </c>
      <c r="L225" s="116">
        <f t="shared" si="51"/>
        <v>0.2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3">
        <v>1.0</v>
      </c>
      <c r="B226" s="84" t="s">
        <v>29</v>
      </c>
      <c r="C226" s="85" t="s">
        <v>87</v>
      </c>
      <c r="D226" s="22">
        <v>70000.0</v>
      </c>
      <c r="E226" s="15">
        <f t="shared" si="48"/>
        <v>70000</v>
      </c>
      <c r="F226" s="2"/>
      <c r="G226" s="2"/>
      <c r="H226" s="2"/>
      <c r="I226" s="87">
        <v>65000.0</v>
      </c>
      <c r="J226" s="16">
        <f t="shared" si="49"/>
        <v>65000</v>
      </c>
      <c r="K226" s="16">
        <f t="shared" si="50"/>
        <v>5000</v>
      </c>
      <c r="L226" s="116">
        <f t="shared" si="51"/>
        <v>0.07142857143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3">
        <v>1.0</v>
      </c>
      <c r="B227" s="84" t="s">
        <v>38</v>
      </c>
      <c r="C227" s="85" t="s">
        <v>117</v>
      </c>
      <c r="D227" s="22">
        <v>25000.0</v>
      </c>
      <c r="E227" s="15">
        <f t="shared" si="48"/>
        <v>25000</v>
      </c>
      <c r="F227" s="2"/>
      <c r="G227" s="2"/>
      <c r="H227" s="2"/>
      <c r="I227" s="87">
        <v>14000.0</v>
      </c>
      <c r="J227" s="16">
        <f t="shared" si="49"/>
        <v>14000</v>
      </c>
      <c r="K227" s="16">
        <f t="shared" si="50"/>
        <v>11000</v>
      </c>
      <c r="L227" s="116">
        <f t="shared" si="51"/>
        <v>0.44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3">
        <v>2.0</v>
      </c>
      <c r="B228" s="84" t="s">
        <v>38</v>
      </c>
      <c r="C228" s="85" t="s">
        <v>247</v>
      </c>
      <c r="D228" s="22">
        <v>21000.0</v>
      </c>
      <c r="E228" s="15">
        <f t="shared" si="48"/>
        <v>42000</v>
      </c>
      <c r="F228" s="2"/>
      <c r="G228" s="2"/>
      <c r="H228" s="2"/>
      <c r="I228" s="87">
        <v>18000.0</v>
      </c>
      <c r="J228" s="16">
        <f t="shared" si="49"/>
        <v>36000</v>
      </c>
      <c r="K228" s="16">
        <f t="shared" si="50"/>
        <v>6000</v>
      </c>
      <c r="L228" s="116">
        <f t="shared" si="51"/>
        <v>0.1428571429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3">
        <v>1.0</v>
      </c>
      <c r="B229" s="84" t="s">
        <v>29</v>
      </c>
      <c r="C229" s="85" t="s">
        <v>176</v>
      </c>
      <c r="D229" s="22">
        <v>34000.0</v>
      </c>
      <c r="E229" s="15">
        <f t="shared" si="48"/>
        <v>34000</v>
      </c>
      <c r="F229" s="2"/>
      <c r="G229" s="2"/>
      <c r="H229" s="2"/>
      <c r="I229" s="87">
        <v>23000.0</v>
      </c>
      <c r="J229" s="16">
        <f t="shared" si="49"/>
        <v>23000</v>
      </c>
      <c r="K229" s="16">
        <f t="shared" si="50"/>
        <v>11000</v>
      </c>
      <c r="L229" s="116">
        <f t="shared" si="51"/>
        <v>0.3235294118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3">
        <v>3.0</v>
      </c>
      <c r="B230" s="84" t="s">
        <v>11</v>
      </c>
      <c r="C230" s="85" t="s">
        <v>68</v>
      </c>
      <c r="D230" s="22">
        <v>4000.0</v>
      </c>
      <c r="E230" s="15">
        <f t="shared" si="48"/>
        <v>12000</v>
      </c>
      <c r="F230" s="2"/>
      <c r="G230" s="2"/>
      <c r="H230" s="2"/>
      <c r="I230" s="87">
        <v>1500.0</v>
      </c>
      <c r="J230" s="16">
        <f t="shared" si="49"/>
        <v>4500</v>
      </c>
      <c r="K230" s="16">
        <f t="shared" si="50"/>
        <v>7500</v>
      </c>
      <c r="L230" s="116">
        <f t="shared" si="51"/>
        <v>0.625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3">
        <v>3.0</v>
      </c>
      <c r="B231" s="84" t="s">
        <v>33</v>
      </c>
      <c r="C231" s="85" t="s">
        <v>86</v>
      </c>
      <c r="D231" s="22">
        <v>4000.0</v>
      </c>
      <c r="E231" s="15">
        <f t="shared" si="48"/>
        <v>12000</v>
      </c>
      <c r="F231" s="2"/>
      <c r="G231" s="2"/>
      <c r="H231" s="2"/>
      <c r="I231" s="87">
        <v>3000.0</v>
      </c>
      <c r="J231" s="16">
        <f t="shared" si="49"/>
        <v>9000</v>
      </c>
      <c r="K231" s="16">
        <f t="shared" si="50"/>
        <v>3000</v>
      </c>
      <c r="L231" s="116">
        <f t="shared" si="51"/>
        <v>0.25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3"/>
      <c r="B232" s="12"/>
      <c r="C232" s="14"/>
      <c r="D232" s="15"/>
      <c r="E232" s="16"/>
      <c r="F232" s="2"/>
      <c r="G232" s="2"/>
      <c r="H232" s="2"/>
      <c r="I232" s="16"/>
      <c r="J232" s="16"/>
      <c r="K232" s="16"/>
      <c r="L232" s="110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3"/>
      <c r="B233" s="12"/>
      <c r="C233" s="14"/>
      <c r="D233" s="15"/>
      <c r="E233" s="16">
        <f>SUM(E220:E232)</f>
        <v>290000</v>
      </c>
      <c r="F233" s="2"/>
      <c r="G233" s="2"/>
      <c r="H233" s="2"/>
      <c r="I233" s="16"/>
      <c r="J233" s="16"/>
      <c r="K233" s="16">
        <f>SUM(K220:K231)</f>
        <v>65700</v>
      </c>
      <c r="L233" s="116">
        <f>K233/E233</f>
        <v>0.2265517241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3"/>
      <c r="B234" s="84"/>
      <c r="C234" s="85"/>
      <c r="D234" s="22"/>
      <c r="E234" s="15"/>
      <c r="F234" s="16"/>
      <c r="G234" s="25"/>
      <c r="H234" s="37"/>
      <c r="I234" s="87"/>
      <c r="J234" s="16"/>
      <c r="K234" s="16"/>
      <c r="L234" s="36"/>
      <c r="M234" s="2"/>
      <c r="N234" s="3"/>
      <c r="O234" s="2"/>
      <c r="P234" s="3"/>
      <c r="Q234" s="3"/>
      <c r="R234" s="2"/>
      <c r="S234" s="3"/>
      <c r="T234" s="3"/>
      <c r="U234" s="1"/>
      <c r="V234" s="3"/>
      <c r="W234" s="3"/>
      <c r="X234" s="3"/>
      <c r="Y234" s="3"/>
      <c r="Z234" s="3"/>
    </row>
    <row r="235" ht="15.75" customHeight="1">
      <c r="A235" s="89" t="s">
        <v>80</v>
      </c>
      <c r="B235" s="24"/>
      <c r="C235" s="24"/>
      <c r="D235" s="81" t="s">
        <v>220</v>
      </c>
      <c r="E235" s="81" t="s">
        <v>386</v>
      </c>
      <c r="F235" s="122" t="s">
        <v>2</v>
      </c>
      <c r="G235" s="25"/>
      <c r="H235" s="25"/>
      <c r="I235" s="16"/>
      <c r="J235" s="16"/>
      <c r="K235" s="16"/>
      <c r="L235" s="36"/>
      <c r="M235" s="2"/>
      <c r="N235" s="3"/>
      <c r="O235" s="2"/>
      <c r="P235" s="3"/>
      <c r="Q235" s="3"/>
      <c r="R235" s="2"/>
      <c r="S235" s="3"/>
      <c r="T235" s="3"/>
      <c r="U235" s="1"/>
      <c r="V235" s="3"/>
      <c r="W235" s="3"/>
      <c r="X235" s="3"/>
      <c r="Y235" s="3"/>
      <c r="Z235" s="3"/>
    </row>
    <row r="236" ht="15.75" customHeight="1">
      <c r="B236" s="25"/>
      <c r="C236" s="35"/>
      <c r="D236" s="25"/>
      <c r="E236" s="25"/>
      <c r="F236" s="25"/>
      <c r="G236" s="25"/>
      <c r="H236" s="25"/>
      <c r="I236" s="16"/>
      <c r="J236" s="16"/>
      <c r="K236" s="16"/>
      <c r="L236" s="36"/>
      <c r="M236" s="2"/>
      <c r="N236" s="3"/>
      <c r="O236" s="2"/>
      <c r="P236" s="3"/>
      <c r="Q236" s="3"/>
      <c r="R236" s="2"/>
      <c r="S236" s="3"/>
      <c r="T236" s="3"/>
      <c r="U236" s="1"/>
      <c r="V236" s="3"/>
      <c r="W236" s="3"/>
      <c r="X236" s="3"/>
      <c r="Y236" s="3"/>
      <c r="Z236" s="3"/>
    </row>
    <row r="237" ht="15.75" customHeight="1">
      <c r="A237" s="5" t="s">
        <v>4</v>
      </c>
      <c r="B237" s="10" t="s">
        <v>5</v>
      </c>
      <c r="C237" s="11" t="s">
        <v>6</v>
      </c>
      <c r="D237" s="12" t="s">
        <v>7</v>
      </c>
      <c r="E237" s="10" t="s">
        <v>8</v>
      </c>
      <c r="F237" s="12"/>
      <c r="G237" s="25"/>
      <c r="H237" s="25"/>
      <c r="I237" s="12" t="s">
        <v>7</v>
      </c>
      <c r="J237" s="12" t="s">
        <v>8</v>
      </c>
      <c r="K237" s="12" t="s">
        <v>10</v>
      </c>
      <c r="L237" s="36"/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83">
        <v>1.0</v>
      </c>
      <c r="B238" s="84" t="s">
        <v>38</v>
      </c>
      <c r="C238" s="85" t="s">
        <v>67</v>
      </c>
      <c r="D238" s="22">
        <v>12000.0</v>
      </c>
      <c r="E238" s="15">
        <f>A238*D238</f>
        <v>12000</v>
      </c>
      <c r="F238" s="16"/>
      <c r="G238" s="25"/>
      <c r="H238" s="37"/>
      <c r="I238" s="87">
        <v>8000.0</v>
      </c>
      <c r="J238" s="16">
        <f>I238*A238</f>
        <v>8000</v>
      </c>
      <c r="K238" s="16">
        <f>E238-J238</f>
        <v>4000</v>
      </c>
      <c r="L238" s="36">
        <f>K238/E238</f>
        <v>0.3333333333</v>
      </c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A239" s="13"/>
      <c r="B239" s="12"/>
      <c r="C239" s="14"/>
      <c r="D239" s="15"/>
      <c r="E239" s="16"/>
      <c r="F239" s="16"/>
      <c r="H239" s="25"/>
      <c r="I239" s="16"/>
      <c r="J239" s="16"/>
      <c r="K239" s="16"/>
      <c r="L239" s="36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13"/>
      <c r="B240" s="12"/>
      <c r="C240" s="14"/>
      <c r="D240" s="15"/>
      <c r="E240" s="16">
        <f>SUM(E238:E239)</f>
        <v>12000</v>
      </c>
      <c r="F240" s="16"/>
      <c r="G240" s="25"/>
      <c r="H240" s="25"/>
      <c r="I240" s="16"/>
      <c r="J240" s="16"/>
      <c r="K240" s="16">
        <f>SUM(K238)</f>
        <v>4000</v>
      </c>
      <c r="L240" s="110">
        <f>K240/E240</f>
        <v>0.3333333333</v>
      </c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26.25" customHeight="1">
      <c r="A241" s="30"/>
      <c r="B241" s="4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9" t="s">
        <v>190</v>
      </c>
      <c r="B243" s="24"/>
      <c r="C243" s="24"/>
      <c r="D243" s="81" t="s">
        <v>337</v>
      </c>
      <c r="E243" s="81" t="s">
        <v>383</v>
      </c>
      <c r="F243" s="33" t="s">
        <v>13</v>
      </c>
      <c r="G243" s="25"/>
      <c r="H243" s="25"/>
      <c r="I243" s="16"/>
      <c r="J243" s="16"/>
      <c r="K243" s="16"/>
      <c r="L243" s="34"/>
      <c r="M243" s="2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>
      <c r="B244" s="25"/>
      <c r="C244" s="35"/>
      <c r="D244" s="25"/>
      <c r="E244" s="25"/>
      <c r="F244" s="25"/>
      <c r="G244" s="25"/>
      <c r="H244" s="25"/>
      <c r="I244" s="16"/>
      <c r="J244" s="16"/>
      <c r="K244" s="16"/>
      <c r="L244" s="34"/>
      <c r="M244" s="2"/>
      <c r="N244" s="3"/>
      <c r="O244" s="2"/>
      <c r="P244" s="3"/>
      <c r="Q244" s="3"/>
      <c r="R244" s="2"/>
      <c r="S244" s="3"/>
      <c r="T244" s="3"/>
      <c r="U244" s="1"/>
      <c r="V244" s="3"/>
      <c r="W244" s="3"/>
      <c r="X244" s="3"/>
      <c r="Y244" s="3"/>
      <c r="Z244" s="3"/>
    </row>
    <row r="245">
      <c r="A245" s="5" t="s">
        <v>4</v>
      </c>
      <c r="B245" s="92" t="s">
        <v>5</v>
      </c>
      <c r="C245" s="11" t="s">
        <v>6</v>
      </c>
      <c r="D245" s="12" t="s">
        <v>7</v>
      </c>
      <c r="E245" s="10" t="s">
        <v>8</v>
      </c>
      <c r="F245" s="12"/>
      <c r="G245" s="25"/>
      <c r="H245" s="25"/>
      <c r="I245" s="12" t="s">
        <v>7</v>
      </c>
      <c r="J245" s="12" t="s">
        <v>8</v>
      </c>
      <c r="K245" s="12" t="s">
        <v>10</v>
      </c>
      <c r="L245" s="34"/>
      <c r="M245" s="2"/>
      <c r="N245" s="3"/>
      <c r="O245" s="2"/>
      <c r="P245" s="3"/>
      <c r="Q245" s="3"/>
      <c r="R245" s="2"/>
      <c r="S245" s="3"/>
      <c r="T245" s="3"/>
      <c r="U245" s="1"/>
      <c r="V245" s="3"/>
      <c r="W245" s="3"/>
      <c r="X245" s="3"/>
      <c r="Y245" s="3"/>
      <c r="Z245" s="3"/>
    </row>
    <row r="246">
      <c r="A246" s="83">
        <v>1.5</v>
      </c>
      <c r="B246" s="84" t="s">
        <v>18</v>
      </c>
      <c r="C246" s="85" t="s">
        <v>103</v>
      </c>
      <c r="D246" s="22">
        <v>11000.0</v>
      </c>
      <c r="E246" s="15">
        <f t="shared" ref="E246:E253" si="52">A246*D246</f>
        <v>16500</v>
      </c>
      <c r="F246" s="16"/>
      <c r="G246" s="25"/>
      <c r="H246" s="37"/>
      <c r="I246" s="22">
        <v>8000.0</v>
      </c>
      <c r="J246" s="16">
        <f t="shared" ref="J246:J253" si="53">I246*A246</f>
        <v>12000</v>
      </c>
      <c r="K246" s="16">
        <f t="shared" ref="K246:K253" si="54">E246-J246</f>
        <v>4500</v>
      </c>
      <c r="L246" s="36">
        <f t="shared" ref="L246:L252" si="55">K246/E246</f>
        <v>0.2727272727</v>
      </c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A247" s="83">
        <v>8.0</v>
      </c>
      <c r="B247" s="84" t="s">
        <v>50</v>
      </c>
      <c r="C247" s="85" t="s">
        <v>65</v>
      </c>
      <c r="D247" s="22">
        <v>400.0</v>
      </c>
      <c r="E247" s="15">
        <f t="shared" si="52"/>
        <v>3200</v>
      </c>
      <c r="F247" s="16"/>
      <c r="G247" s="25"/>
      <c r="H247" s="37"/>
      <c r="I247" s="22">
        <f>5000/24</f>
        <v>208.3333333</v>
      </c>
      <c r="J247" s="16">
        <f t="shared" si="53"/>
        <v>1666.666667</v>
      </c>
      <c r="K247" s="16">
        <f t="shared" si="54"/>
        <v>1533.333333</v>
      </c>
      <c r="L247" s="111">
        <f t="shared" si="55"/>
        <v>0.4791666667</v>
      </c>
      <c r="M247" s="2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83">
        <v>3.0</v>
      </c>
      <c r="B248" s="84" t="s">
        <v>50</v>
      </c>
      <c r="C248" s="85" t="s">
        <v>16</v>
      </c>
      <c r="D248" s="22">
        <v>1000.0</v>
      </c>
      <c r="E248" s="15">
        <f t="shared" si="52"/>
        <v>3000</v>
      </c>
      <c r="F248" s="16"/>
      <c r="G248" s="25"/>
      <c r="H248" s="37"/>
      <c r="I248" s="87">
        <f>5000/12</f>
        <v>416.6666667</v>
      </c>
      <c r="J248" s="16">
        <f t="shared" si="53"/>
        <v>1250</v>
      </c>
      <c r="K248" s="16">
        <f t="shared" si="54"/>
        <v>1750</v>
      </c>
      <c r="L248" s="36">
        <f t="shared" si="55"/>
        <v>0.5833333333</v>
      </c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>
      <c r="A249" s="83">
        <v>4.6</v>
      </c>
      <c r="B249" s="84" t="s">
        <v>33</v>
      </c>
      <c r="C249" s="85" t="s">
        <v>177</v>
      </c>
      <c r="D249" s="22">
        <v>1200.0</v>
      </c>
      <c r="E249" s="15">
        <f t="shared" si="52"/>
        <v>5520</v>
      </c>
      <c r="F249" s="16"/>
      <c r="G249" s="25"/>
      <c r="H249" s="37"/>
      <c r="I249" s="87">
        <v>0.0</v>
      </c>
      <c r="J249" s="16">
        <f t="shared" si="53"/>
        <v>0</v>
      </c>
      <c r="K249" s="16">
        <f t="shared" si="54"/>
        <v>5520</v>
      </c>
      <c r="L249" s="111">
        <f t="shared" si="55"/>
        <v>1</v>
      </c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83">
        <v>2.0</v>
      </c>
      <c r="B250" s="84" t="s">
        <v>50</v>
      </c>
      <c r="C250" s="85" t="s">
        <v>17</v>
      </c>
      <c r="D250" s="22">
        <v>5500.0</v>
      </c>
      <c r="E250" s="15">
        <f t="shared" si="52"/>
        <v>11000</v>
      </c>
      <c r="F250" s="16"/>
      <c r="G250" s="25"/>
      <c r="H250" s="37"/>
      <c r="I250" s="87">
        <v>3500.0</v>
      </c>
      <c r="J250" s="16">
        <f t="shared" si="53"/>
        <v>7000</v>
      </c>
      <c r="K250" s="16">
        <f t="shared" si="54"/>
        <v>4000</v>
      </c>
      <c r="L250" s="112">
        <f t="shared" si="55"/>
        <v>0.3636363636</v>
      </c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83">
        <v>0.5</v>
      </c>
      <c r="B251" s="84" t="s">
        <v>50</v>
      </c>
      <c r="C251" s="85" t="s">
        <v>89</v>
      </c>
      <c r="D251" s="22">
        <v>5000.0</v>
      </c>
      <c r="E251" s="15">
        <f t="shared" si="52"/>
        <v>2500</v>
      </c>
      <c r="F251" s="16"/>
      <c r="G251" s="25"/>
      <c r="H251" s="37"/>
      <c r="I251" s="87">
        <v>4000.0</v>
      </c>
      <c r="J251" s="16">
        <f t="shared" si="53"/>
        <v>2000</v>
      </c>
      <c r="K251" s="16">
        <f t="shared" si="54"/>
        <v>500</v>
      </c>
      <c r="L251" s="36">
        <f t="shared" si="55"/>
        <v>0.2</v>
      </c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83">
        <v>1.0</v>
      </c>
      <c r="B252" s="84" t="s">
        <v>18</v>
      </c>
      <c r="C252" s="85" t="s">
        <v>202</v>
      </c>
      <c r="D252" s="22">
        <v>25000.0</v>
      </c>
      <c r="E252" s="15">
        <f t="shared" si="52"/>
        <v>25000</v>
      </c>
      <c r="F252" s="16"/>
      <c r="G252" s="25"/>
      <c r="H252" s="37"/>
      <c r="I252" s="22">
        <v>18000.0</v>
      </c>
      <c r="J252" s="16">
        <f t="shared" si="53"/>
        <v>18000</v>
      </c>
      <c r="K252" s="16">
        <f t="shared" si="54"/>
        <v>7000</v>
      </c>
      <c r="L252" s="111">
        <f t="shared" si="55"/>
        <v>0.28</v>
      </c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83">
        <v>3.0</v>
      </c>
      <c r="B253" s="84" t="s">
        <v>50</v>
      </c>
      <c r="C253" s="85" t="s">
        <v>308</v>
      </c>
      <c r="D253" s="22">
        <v>1500.0</v>
      </c>
      <c r="E253" s="15">
        <f t="shared" si="52"/>
        <v>4500</v>
      </c>
      <c r="F253" s="87" t="s">
        <v>13</v>
      </c>
      <c r="H253" s="25"/>
      <c r="I253" s="87">
        <v>1000.0</v>
      </c>
      <c r="J253" s="16">
        <f t="shared" si="53"/>
        <v>3000</v>
      </c>
      <c r="K253" s="16">
        <f t="shared" si="54"/>
        <v>1500</v>
      </c>
      <c r="L253" s="36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A254" s="13"/>
      <c r="B254" s="12"/>
      <c r="C254" s="14"/>
      <c r="D254" s="15"/>
      <c r="E254" s="87" t="s">
        <v>13</v>
      </c>
      <c r="F254" s="16"/>
      <c r="G254" s="25"/>
      <c r="H254" s="25"/>
      <c r="I254" s="16"/>
      <c r="J254" s="16"/>
      <c r="K254" s="87" t="s">
        <v>13</v>
      </c>
      <c r="L254" s="110" t="str">
        <f>K254/E254</f>
        <v>#VALUE!</v>
      </c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16">
        <f>SUM(E245:E254)</f>
        <v>71220</v>
      </c>
      <c r="F255" s="2"/>
      <c r="G255" s="2"/>
      <c r="H255" s="2"/>
      <c r="I255" s="2"/>
      <c r="J255" s="2"/>
      <c r="K255" s="16">
        <f>SUM(K245:K254)</f>
        <v>26303.33333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75" customHeight="1">
      <c r="A258" s="30" t="s">
        <v>120</v>
      </c>
      <c r="B258" s="31">
        <f>E255+E240+E233+E213+E206+E197+F161+F126+F84+F68+F36+F22</f>
        <v>2706765.15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8.5" customHeight="1">
      <c r="A260" s="30" t="s">
        <v>121</v>
      </c>
      <c r="B260" s="108">
        <f>K255+K240+K233+K213+K206+K197+K161+K126+K84+K68+K36+K22</f>
        <v>900327.2107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8.5" customHeight="1">
      <c r="A263" s="30" t="s">
        <v>123</v>
      </c>
      <c r="B263" s="41">
        <f>B260/B258</f>
        <v>0.3326211034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2" t="s">
        <v>124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</sheetData>
  <mergeCells count="12">
    <mergeCell ref="A87:C87"/>
    <mergeCell ref="I87:K87"/>
    <mergeCell ref="A130:C130"/>
    <mergeCell ref="I130:K130"/>
    <mergeCell ref="A265:B265"/>
    <mergeCell ref="A2:C2"/>
    <mergeCell ref="I2:K2"/>
    <mergeCell ref="I25:K25"/>
    <mergeCell ref="A40:C40"/>
    <mergeCell ref="I40:K40"/>
    <mergeCell ref="A71:C71"/>
    <mergeCell ref="I71:K71"/>
  </mergeCells>
  <conditionalFormatting sqref="L1:L22 L25:L36 L40:L126 L130:L161 L200:L206 L208:L213 L217:L218 K219:K233 L220:L231 L233 L241:L242 L255:L687">
    <cfRule type="cellIs" dxfId="0" priority="1" operator="lessThan">
      <formula>"20%"</formula>
    </cfRule>
  </conditionalFormatting>
  <conditionalFormatting sqref="L1:L22 L25:L36 L40:L126 L130:L161 L200:L206 L208:L213 L217:L218 K219:K233 L220:L231 L233 L241:L242 L255:L687">
    <cfRule type="cellIs" dxfId="1" priority="2" operator="between">
      <formula>"20.01%"</formula>
      <formula>"25%"</formula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25"/>
    <col customWidth="1" min="3" max="3" width="27.13"/>
    <col customWidth="1" min="4" max="4" width="13.88"/>
    <col customWidth="1" min="5" max="5" width="13.25"/>
    <col customWidth="1" min="6" max="7" width="15.75"/>
    <col customWidth="1" min="12" max="12" width="14.63"/>
    <col customWidth="1" min="17" max="17" width="17.25"/>
    <col customWidth="1" min="18" max="18" width="20.38"/>
    <col customWidth="1" min="21" max="21" width="13.63"/>
    <col customWidth="1" min="22" max="22" width="15.75"/>
  </cols>
  <sheetData>
    <row r="1" ht="15.75" customHeight="1">
      <c r="A1" s="1"/>
      <c r="B1" s="2"/>
      <c r="C1" s="2"/>
      <c r="D1" s="3"/>
      <c r="E1" s="3"/>
      <c r="F1" s="3"/>
      <c r="G1" s="2"/>
      <c r="H1" s="2"/>
      <c r="I1" s="2"/>
      <c r="J1" s="2"/>
      <c r="K1" s="3"/>
      <c r="L1" s="4"/>
      <c r="M1" s="2"/>
      <c r="N1" s="3"/>
      <c r="O1" s="2"/>
      <c r="P1" s="3"/>
      <c r="Q1" s="3"/>
      <c r="R1" s="2"/>
      <c r="S1" s="3"/>
      <c r="T1" s="3"/>
      <c r="U1" s="1"/>
      <c r="V1" s="3"/>
      <c r="W1" s="3"/>
      <c r="X1" s="3"/>
      <c r="Y1" s="3"/>
      <c r="Z1" s="3"/>
    </row>
    <row r="2">
      <c r="A2" s="88" t="s">
        <v>0</v>
      </c>
      <c r="D2" s="22"/>
      <c r="E2" s="86" t="s">
        <v>387</v>
      </c>
      <c r="F2" s="82">
        <v>46079.0</v>
      </c>
      <c r="G2" s="6"/>
      <c r="H2" s="3"/>
      <c r="I2" s="8" t="s">
        <v>3</v>
      </c>
      <c r="L2" s="4"/>
      <c r="M2" s="1"/>
      <c r="N2" s="3"/>
      <c r="O2" s="2"/>
      <c r="P2" s="3"/>
      <c r="Q2" s="3"/>
      <c r="R2" s="2"/>
      <c r="S2" s="3"/>
      <c r="T2" s="3"/>
      <c r="U2" s="1"/>
      <c r="V2" s="3"/>
      <c r="W2" s="3"/>
      <c r="X2" s="3"/>
      <c r="Y2" s="3"/>
      <c r="Z2" s="3"/>
    </row>
    <row r="3">
      <c r="A3" s="103"/>
      <c r="B3" s="101"/>
      <c r="C3" s="104"/>
      <c r="D3" s="101"/>
      <c r="E3" s="101"/>
      <c r="F3" s="101"/>
      <c r="G3" s="101"/>
      <c r="H3" s="101"/>
      <c r="I3" s="101"/>
      <c r="J3" s="101"/>
      <c r="K3" s="101"/>
      <c r="L3" s="4"/>
      <c r="M3" s="1"/>
      <c r="N3" s="3"/>
      <c r="O3" s="2"/>
      <c r="P3" s="3"/>
      <c r="Q3" s="3"/>
      <c r="R3" s="2"/>
      <c r="S3" s="3"/>
      <c r="T3" s="3"/>
      <c r="U3" s="1"/>
      <c r="V3" s="3"/>
      <c r="W3" s="3"/>
      <c r="X3" s="3"/>
      <c r="Y3" s="3"/>
      <c r="Z3" s="3"/>
    </row>
    <row r="4">
      <c r="A4" s="5" t="s">
        <v>4</v>
      </c>
      <c r="B4" s="10" t="s">
        <v>5</v>
      </c>
      <c r="C4" s="96" t="s">
        <v>6</v>
      </c>
      <c r="D4" s="10" t="s">
        <v>7</v>
      </c>
      <c r="E4" s="10" t="s">
        <v>8</v>
      </c>
      <c r="F4" s="10" t="s">
        <v>9</v>
      </c>
      <c r="G4" s="101"/>
      <c r="H4" s="101"/>
      <c r="I4" s="10" t="s">
        <v>260</v>
      </c>
      <c r="J4" s="10" t="s">
        <v>8</v>
      </c>
      <c r="K4" s="10" t="s">
        <v>10</v>
      </c>
      <c r="L4" s="4"/>
      <c r="M4" s="1"/>
      <c r="N4" s="3"/>
      <c r="O4" s="2"/>
      <c r="P4" s="3"/>
      <c r="Q4" s="3"/>
      <c r="R4" s="2"/>
      <c r="S4" s="3"/>
      <c r="T4" s="3"/>
      <c r="U4" s="1"/>
      <c r="V4" s="3"/>
      <c r="W4" s="3"/>
      <c r="X4" s="3"/>
      <c r="Y4" s="3"/>
      <c r="Z4" s="3"/>
    </row>
    <row r="5">
      <c r="A5" s="83">
        <v>6.0</v>
      </c>
      <c r="B5" s="84" t="s">
        <v>29</v>
      </c>
      <c r="C5" s="85" t="s">
        <v>30</v>
      </c>
      <c r="D5" s="22">
        <v>63000.0</v>
      </c>
      <c r="E5" s="15">
        <f t="shared" ref="E5:E20" si="1">A5*D5</f>
        <v>378000</v>
      </c>
      <c r="F5" s="22">
        <f t="shared" ref="F5:F14" si="2">E5*1.105</f>
        <v>417690</v>
      </c>
      <c r="G5" s="101"/>
      <c r="H5" s="101"/>
      <c r="I5" s="22"/>
      <c r="J5" s="15">
        <f t="shared" ref="J5:J20" si="3">I5*A5</f>
        <v>0</v>
      </c>
      <c r="K5" s="15">
        <f t="shared" ref="K5:K20" si="4">F5-J5</f>
        <v>417690</v>
      </c>
      <c r="L5" s="110">
        <f t="shared" ref="L5:L20" si="5">IFERROR(K5/E5, 0)</f>
        <v>1.105</v>
      </c>
      <c r="M5" s="1"/>
      <c r="N5" s="3"/>
      <c r="O5" s="2"/>
      <c r="P5" s="3"/>
      <c r="Q5" s="3"/>
      <c r="R5" s="2"/>
      <c r="S5" s="3"/>
      <c r="T5" s="3"/>
      <c r="U5" s="1"/>
      <c r="V5" s="3"/>
      <c r="W5" s="3"/>
      <c r="X5" s="3"/>
      <c r="Y5" s="3"/>
      <c r="Z5" s="3"/>
    </row>
    <row r="6">
      <c r="A6" s="83">
        <v>5.0</v>
      </c>
      <c r="B6" s="84" t="s">
        <v>18</v>
      </c>
      <c r="C6" s="85" t="s">
        <v>54</v>
      </c>
      <c r="D6" s="22"/>
      <c r="E6" s="15">
        <f t="shared" si="1"/>
        <v>0</v>
      </c>
      <c r="F6" s="22">
        <f t="shared" si="2"/>
        <v>0</v>
      </c>
      <c r="G6" s="101"/>
      <c r="H6" s="101"/>
      <c r="I6" s="22"/>
      <c r="J6" s="15">
        <f t="shared" si="3"/>
        <v>0</v>
      </c>
      <c r="K6" s="15">
        <f t="shared" si="4"/>
        <v>0</v>
      </c>
      <c r="L6" s="110">
        <f t="shared" si="5"/>
        <v>0</v>
      </c>
      <c r="M6" s="1"/>
      <c r="N6" s="3"/>
      <c r="O6" s="2"/>
      <c r="P6" s="3"/>
      <c r="Q6" s="3"/>
      <c r="R6" s="2"/>
      <c r="S6" s="3"/>
      <c r="T6" s="3"/>
      <c r="U6" s="1"/>
      <c r="V6" s="3"/>
      <c r="W6" s="3"/>
      <c r="X6" s="3"/>
      <c r="Y6" s="3"/>
      <c r="Z6" s="3"/>
    </row>
    <row r="7">
      <c r="A7" s="83">
        <v>6.0</v>
      </c>
      <c r="B7" s="84" t="s">
        <v>18</v>
      </c>
      <c r="C7" s="85" t="s">
        <v>201</v>
      </c>
      <c r="D7" s="22"/>
      <c r="E7" s="15">
        <f t="shared" si="1"/>
        <v>0</v>
      </c>
      <c r="F7" s="22">
        <f t="shared" si="2"/>
        <v>0</v>
      </c>
      <c r="G7" s="101"/>
      <c r="H7" s="101"/>
      <c r="I7" s="22"/>
      <c r="J7" s="15">
        <f t="shared" si="3"/>
        <v>0</v>
      </c>
      <c r="K7" s="15">
        <f t="shared" si="4"/>
        <v>0</v>
      </c>
      <c r="L7" s="110">
        <f t="shared" si="5"/>
        <v>0</v>
      </c>
      <c r="M7" s="1"/>
      <c r="N7" s="3"/>
      <c r="O7" s="2"/>
      <c r="P7" s="3"/>
      <c r="Q7" s="3"/>
      <c r="R7" s="2"/>
      <c r="S7" s="3"/>
      <c r="T7" s="3"/>
      <c r="U7" s="1"/>
      <c r="V7" s="3"/>
      <c r="W7" s="3"/>
      <c r="X7" s="3"/>
      <c r="Y7" s="3"/>
      <c r="Z7" s="3"/>
    </row>
    <row r="8">
      <c r="A8" s="83">
        <v>6.0</v>
      </c>
      <c r="B8" s="84" t="s">
        <v>29</v>
      </c>
      <c r="C8" s="85" t="s">
        <v>55</v>
      </c>
      <c r="D8" s="22"/>
      <c r="E8" s="15">
        <f t="shared" si="1"/>
        <v>0</v>
      </c>
      <c r="F8" s="22">
        <f t="shared" si="2"/>
        <v>0</v>
      </c>
      <c r="G8" s="101"/>
      <c r="H8" s="113"/>
      <c r="I8" s="22"/>
      <c r="J8" s="15">
        <f t="shared" si="3"/>
        <v>0</v>
      </c>
      <c r="K8" s="15">
        <f t="shared" si="4"/>
        <v>0</v>
      </c>
      <c r="L8" s="110">
        <f t="shared" si="5"/>
        <v>0</v>
      </c>
      <c r="M8" s="1"/>
      <c r="N8" s="3"/>
      <c r="O8" s="2"/>
      <c r="P8" s="3"/>
      <c r="Q8" s="3"/>
      <c r="R8" s="2"/>
      <c r="S8" s="3"/>
      <c r="T8" s="3"/>
      <c r="U8" s="1"/>
      <c r="V8" s="3"/>
      <c r="W8" s="3"/>
      <c r="X8" s="3"/>
      <c r="Y8" s="3"/>
      <c r="Z8" s="3"/>
    </row>
    <row r="9" ht="15.75" customHeight="1">
      <c r="A9" s="83">
        <v>4.0</v>
      </c>
      <c r="B9" s="84" t="s">
        <v>29</v>
      </c>
      <c r="C9" s="85" t="s">
        <v>78</v>
      </c>
      <c r="D9" s="22"/>
      <c r="E9" s="15">
        <f t="shared" si="1"/>
        <v>0</v>
      </c>
      <c r="F9" s="22">
        <f t="shared" si="2"/>
        <v>0</v>
      </c>
      <c r="G9" s="101"/>
      <c r="H9" s="101"/>
      <c r="I9" s="22"/>
      <c r="J9" s="15">
        <f t="shared" si="3"/>
        <v>0</v>
      </c>
      <c r="K9" s="15">
        <f t="shared" si="4"/>
        <v>0</v>
      </c>
      <c r="L9" s="110">
        <f t="shared" si="5"/>
        <v>0</v>
      </c>
      <c r="M9" s="1"/>
      <c r="N9" s="3"/>
      <c r="O9" s="2"/>
      <c r="P9" s="3"/>
      <c r="Q9" s="3"/>
      <c r="R9" s="2"/>
      <c r="S9" s="3"/>
      <c r="T9" s="3"/>
      <c r="U9" s="1"/>
      <c r="V9" s="3"/>
      <c r="W9" s="3"/>
      <c r="X9" s="3"/>
      <c r="Y9" s="3"/>
      <c r="Z9" s="3"/>
    </row>
    <row r="10" ht="15.75" customHeight="1">
      <c r="A10" s="83">
        <v>6.0</v>
      </c>
      <c r="B10" s="84" t="s">
        <v>18</v>
      </c>
      <c r="C10" s="85" t="s">
        <v>213</v>
      </c>
      <c r="D10" s="22"/>
      <c r="E10" s="15">
        <f t="shared" si="1"/>
        <v>0</v>
      </c>
      <c r="F10" s="22">
        <f t="shared" si="2"/>
        <v>0</v>
      </c>
      <c r="G10" s="101"/>
      <c r="H10" s="101"/>
      <c r="I10" s="22"/>
      <c r="J10" s="15">
        <f t="shared" si="3"/>
        <v>0</v>
      </c>
      <c r="K10" s="15">
        <f t="shared" si="4"/>
        <v>0</v>
      </c>
      <c r="L10" s="110">
        <f t="shared" si="5"/>
        <v>0</v>
      </c>
      <c r="M10" s="1"/>
      <c r="N10" s="3"/>
      <c r="O10" s="2"/>
      <c r="P10" s="3"/>
      <c r="Q10" s="3"/>
      <c r="R10" s="2"/>
      <c r="S10" s="3"/>
      <c r="T10" s="3"/>
      <c r="U10" s="1"/>
      <c r="V10" s="3"/>
      <c r="W10" s="3"/>
      <c r="X10" s="3"/>
      <c r="Y10" s="3"/>
      <c r="Z10" s="3"/>
    </row>
    <row r="11" ht="15.75" customHeight="1">
      <c r="A11" s="83">
        <v>32.0</v>
      </c>
      <c r="B11" s="84" t="s">
        <v>33</v>
      </c>
      <c r="C11" s="85" t="s">
        <v>34</v>
      </c>
      <c r="D11" s="22"/>
      <c r="E11" s="15">
        <f t="shared" si="1"/>
        <v>0</v>
      </c>
      <c r="F11" s="22">
        <f t="shared" si="2"/>
        <v>0</v>
      </c>
      <c r="G11" s="101"/>
      <c r="H11" s="101"/>
      <c r="I11" s="22"/>
      <c r="J11" s="15">
        <f t="shared" si="3"/>
        <v>0</v>
      </c>
      <c r="K11" s="15">
        <f t="shared" si="4"/>
        <v>0</v>
      </c>
      <c r="L11" s="110">
        <f t="shared" si="5"/>
        <v>0</v>
      </c>
      <c r="M11" s="1"/>
      <c r="N11" s="3"/>
      <c r="O11" s="2"/>
      <c r="P11" s="3"/>
      <c r="Q11" s="3"/>
      <c r="R11" s="2"/>
      <c r="S11" s="3"/>
      <c r="T11" s="3"/>
      <c r="U11" s="1"/>
      <c r="V11" s="3"/>
      <c r="W11" s="3"/>
      <c r="X11" s="3"/>
      <c r="Y11" s="3"/>
      <c r="Z11" s="3"/>
    </row>
    <row r="12" ht="18.0" customHeight="1">
      <c r="A12" s="83">
        <v>2.0</v>
      </c>
      <c r="B12" s="84" t="s">
        <v>18</v>
      </c>
      <c r="C12" s="85" t="s">
        <v>20</v>
      </c>
      <c r="D12" s="22"/>
      <c r="E12" s="15">
        <f t="shared" si="1"/>
        <v>0</v>
      </c>
      <c r="F12" s="22">
        <f t="shared" si="2"/>
        <v>0</v>
      </c>
      <c r="G12" s="101"/>
      <c r="H12" s="101"/>
      <c r="I12" s="22"/>
      <c r="J12" s="15">
        <f t="shared" si="3"/>
        <v>0</v>
      </c>
      <c r="K12" s="15">
        <f t="shared" si="4"/>
        <v>0</v>
      </c>
      <c r="L12" s="110">
        <f t="shared" si="5"/>
        <v>0</v>
      </c>
      <c r="M12" s="1"/>
      <c r="N12" s="3"/>
      <c r="O12" s="2"/>
      <c r="P12" s="3"/>
      <c r="Q12" s="3"/>
      <c r="R12" s="2"/>
      <c r="S12" s="3"/>
      <c r="T12" s="3"/>
      <c r="U12" s="1"/>
      <c r="V12" s="3"/>
      <c r="W12" s="3"/>
      <c r="X12" s="3"/>
      <c r="Y12" s="3"/>
      <c r="Z12" s="3"/>
    </row>
    <row r="13">
      <c r="A13" s="83">
        <v>2.0</v>
      </c>
      <c r="B13" s="84" t="s">
        <v>18</v>
      </c>
      <c r="C13" s="85" t="s">
        <v>19</v>
      </c>
      <c r="D13" s="22"/>
      <c r="E13" s="15">
        <f t="shared" si="1"/>
        <v>0</v>
      </c>
      <c r="F13" s="22">
        <f t="shared" si="2"/>
        <v>0</v>
      </c>
      <c r="G13" s="113"/>
      <c r="H13" s="101"/>
      <c r="I13" s="22"/>
      <c r="J13" s="15">
        <f t="shared" si="3"/>
        <v>0</v>
      </c>
      <c r="K13" s="15">
        <f t="shared" si="4"/>
        <v>0</v>
      </c>
      <c r="L13" s="110">
        <f t="shared" si="5"/>
        <v>0</v>
      </c>
      <c r="M13" s="1"/>
      <c r="N13" s="3"/>
      <c r="O13" s="2"/>
      <c r="P13" s="3"/>
      <c r="Q13" s="3"/>
      <c r="R13" s="2"/>
      <c r="S13" s="3"/>
      <c r="T13" s="3"/>
      <c r="U13" s="1"/>
      <c r="V13" s="3"/>
      <c r="W13" s="3"/>
      <c r="X13" s="3"/>
      <c r="Y13" s="3"/>
      <c r="Z13" s="3"/>
    </row>
    <row r="14">
      <c r="A14" s="83">
        <v>1.0</v>
      </c>
      <c r="B14" s="84" t="s">
        <v>50</v>
      </c>
      <c r="C14" s="85" t="s">
        <v>236</v>
      </c>
      <c r="D14" s="22"/>
      <c r="E14" s="15">
        <f t="shared" si="1"/>
        <v>0</v>
      </c>
      <c r="F14" s="22">
        <f t="shared" si="2"/>
        <v>0</v>
      </c>
      <c r="G14" s="113"/>
      <c r="H14" s="101"/>
      <c r="I14" s="22"/>
      <c r="J14" s="15">
        <f t="shared" si="3"/>
        <v>0</v>
      </c>
      <c r="K14" s="15">
        <f t="shared" si="4"/>
        <v>0</v>
      </c>
      <c r="L14" s="110">
        <f t="shared" si="5"/>
        <v>0</v>
      </c>
      <c r="M14" s="1"/>
      <c r="N14" s="3"/>
      <c r="O14" s="2"/>
      <c r="P14" s="3"/>
      <c r="Q14" s="3"/>
      <c r="R14" s="2"/>
      <c r="S14" s="3"/>
      <c r="T14" s="3"/>
      <c r="U14" s="1"/>
      <c r="V14" s="3"/>
      <c r="W14" s="3"/>
      <c r="X14" s="3"/>
      <c r="Y14" s="3"/>
      <c r="Z14" s="3"/>
    </row>
    <row r="15">
      <c r="A15" s="83">
        <v>1.0</v>
      </c>
      <c r="B15" s="84" t="s">
        <v>18</v>
      </c>
      <c r="C15" s="85" t="s">
        <v>277</v>
      </c>
      <c r="D15" s="22"/>
      <c r="E15" s="15">
        <f t="shared" si="1"/>
        <v>0</v>
      </c>
      <c r="F15" s="22">
        <f>E15*1.21</f>
        <v>0</v>
      </c>
      <c r="G15" s="113"/>
      <c r="H15" s="101"/>
      <c r="I15" s="22"/>
      <c r="J15" s="15">
        <f t="shared" si="3"/>
        <v>0</v>
      </c>
      <c r="K15" s="15">
        <f t="shared" si="4"/>
        <v>0</v>
      </c>
      <c r="L15" s="110">
        <f t="shared" si="5"/>
        <v>0</v>
      </c>
      <c r="M15" s="1"/>
      <c r="N15" s="3"/>
      <c r="O15" s="2"/>
      <c r="P15" s="3"/>
      <c r="Q15" s="3"/>
      <c r="R15" s="2"/>
      <c r="S15" s="3"/>
      <c r="T15" s="3"/>
      <c r="U15" s="1"/>
      <c r="V15" s="3"/>
      <c r="W15" s="3"/>
      <c r="X15" s="3"/>
      <c r="Y15" s="3"/>
      <c r="Z15" s="3"/>
    </row>
    <row r="16">
      <c r="A16" s="83">
        <v>1.0</v>
      </c>
      <c r="B16" s="84" t="s">
        <v>18</v>
      </c>
      <c r="C16" s="85" t="s">
        <v>30</v>
      </c>
      <c r="D16" s="22"/>
      <c r="E16" s="15">
        <f t="shared" si="1"/>
        <v>0</v>
      </c>
      <c r="F16" s="22">
        <f t="shared" ref="F16:F20" si="6">E16*1.105</f>
        <v>0</v>
      </c>
      <c r="G16" s="113" t="s">
        <v>38</v>
      </c>
      <c r="H16" s="101"/>
      <c r="I16" s="22"/>
      <c r="J16" s="15">
        <f t="shared" si="3"/>
        <v>0</v>
      </c>
      <c r="K16" s="15">
        <f t="shared" si="4"/>
        <v>0</v>
      </c>
      <c r="L16" s="110">
        <f t="shared" si="5"/>
        <v>0</v>
      </c>
      <c r="M16" s="1"/>
      <c r="N16" s="3"/>
      <c r="O16" s="2"/>
      <c r="P16" s="3"/>
      <c r="Q16" s="3"/>
      <c r="R16" s="2"/>
      <c r="S16" s="3"/>
      <c r="T16" s="3"/>
      <c r="U16" s="1"/>
      <c r="V16" s="3"/>
      <c r="W16" s="3"/>
      <c r="X16" s="3"/>
      <c r="Y16" s="3"/>
      <c r="Z16" s="3"/>
    </row>
    <row r="17">
      <c r="A17" s="26">
        <v>1.0</v>
      </c>
      <c r="B17" s="10" t="s">
        <v>18</v>
      </c>
      <c r="C17" s="85" t="s">
        <v>54</v>
      </c>
      <c r="D17" s="15"/>
      <c r="E17" s="15">
        <f t="shared" si="1"/>
        <v>0</v>
      </c>
      <c r="F17" s="22">
        <f t="shared" si="6"/>
        <v>0</v>
      </c>
      <c r="G17" s="86" t="s">
        <v>38</v>
      </c>
      <c r="H17" s="3"/>
      <c r="I17" s="3"/>
      <c r="J17" s="15">
        <f t="shared" si="3"/>
        <v>0</v>
      </c>
      <c r="K17" s="15">
        <f t="shared" si="4"/>
        <v>0</v>
      </c>
      <c r="L17" s="116">
        <f t="shared" si="5"/>
        <v>0</v>
      </c>
      <c r="M17" s="1"/>
      <c r="N17" s="3"/>
      <c r="O17" s="2"/>
      <c r="P17" s="3"/>
      <c r="Q17" s="3"/>
      <c r="R17" s="2"/>
      <c r="S17" s="3"/>
      <c r="T17" s="3"/>
      <c r="U17" s="1"/>
      <c r="V17" s="3"/>
      <c r="W17" s="3"/>
      <c r="X17" s="3"/>
      <c r="Y17" s="3"/>
      <c r="Z17" s="3"/>
    </row>
    <row r="18">
      <c r="A18" s="26">
        <v>1.0</v>
      </c>
      <c r="B18" s="10" t="s">
        <v>18</v>
      </c>
      <c r="C18" s="85" t="s">
        <v>201</v>
      </c>
      <c r="D18" s="15"/>
      <c r="E18" s="15">
        <f t="shared" si="1"/>
        <v>0</v>
      </c>
      <c r="F18" s="22">
        <f t="shared" si="6"/>
        <v>0</v>
      </c>
      <c r="G18" s="86" t="s">
        <v>38</v>
      </c>
      <c r="H18" s="3"/>
      <c r="I18" s="3"/>
      <c r="J18" s="15">
        <f t="shared" si="3"/>
        <v>0</v>
      </c>
      <c r="K18" s="15">
        <f t="shared" si="4"/>
        <v>0</v>
      </c>
      <c r="L18" s="116">
        <f t="shared" si="5"/>
        <v>0</v>
      </c>
      <c r="M18" s="1"/>
      <c r="N18" s="3"/>
      <c r="O18" s="2"/>
      <c r="P18" s="3"/>
      <c r="Q18" s="3"/>
      <c r="R18" s="2"/>
      <c r="S18" s="3"/>
      <c r="T18" s="3"/>
      <c r="U18" s="1"/>
      <c r="V18" s="3"/>
      <c r="W18" s="3"/>
      <c r="X18" s="3"/>
      <c r="Y18" s="3"/>
      <c r="Z18" s="3"/>
    </row>
    <row r="19">
      <c r="A19" s="83">
        <v>1.0</v>
      </c>
      <c r="B19" s="84" t="s">
        <v>18</v>
      </c>
      <c r="C19" s="85" t="s">
        <v>55</v>
      </c>
      <c r="D19" s="22"/>
      <c r="E19" s="15">
        <f t="shared" si="1"/>
        <v>0</v>
      </c>
      <c r="F19" s="22">
        <f t="shared" si="6"/>
        <v>0</v>
      </c>
      <c r="G19" s="113" t="s">
        <v>41</v>
      </c>
      <c r="H19" s="101"/>
      <c r="I19" s="22"/>
      <c r="J19" s="15">
        <f t="shared" si="3"/>
        <v>0</v>
      </c>
      <c r="K19" s="15">
        <f t="shared" si="4"/>
        <v>0</v>
      </c>
      <c r="L19" s="110">
        <f t="shared" si="5"/>
        <v>0</v>
      </c>
      <c r="M19" s="1"/>
      <c r="N19" s="3"/>
      <c r="O19" s="2"/>
      <c r="P19" s="3"/>
      <c r="Q19" s="3"/>
      <c r="R19" s="2"/>
      <c r="S19" s="3"/>
      <c r="T19" s="3"/>
      <c r="U19" s="1"/>
      <c r="V19" s="3"/>
      <c r="W19" s="3"/>
      <c r="X19" s="3"/>
      <c r="Y19" s="3"/>
      <c r="Z19" s="3"/>
    </row>
    <row r="20">
      <c r="A20" s="83">
        <v>1.0</v>
      </c>
      <c r="B20" s="84" t="s">
        <v>18</v>
      </c>
      <c r="C20" s="85" t="s">
        <v>78</v>
      </c>
      <c r="D20" s="22"/>
      <c r="E20" s="15">
        <f t="shared" si="1"/>
        <v>0</v>
      </c>
      <c r="F20" s="22">
        <f t="shared" si="6"/>
        <v>0</v>
      </c>
      <c r="G20" s="113" t="s">
        <v>41</v>
      </c>
      <c r="H20" s="101"/>
      <c r="I20" s="22"/>
      <c r="J20" s="15">
        <f t="shared" si="3"/>
        <v>0</v>
      </c>
      <c r="K20" s="15">
        <f t="shared" si="4"/>
        <v>0</v>
      </c>
      <c r="L20" s="110">
        <f t="shared" si="5"/>
        <v>0</v>
      </c>
      <c r="M20" s="1"/>
      <c r="N20" s="3"/>
      <c r="O20" s="2"/>
      <c r="P20" s="3"/>
      <c r="Q20" s="3"/>
      <c r="R20" s="2"/>
      <c r="S20" s="3"/>
      <c r="T20" s="3"/>
      <c r="U20" s="1"/>
      <c r="V20" s="3"/>
      <c r="W20" s="3"/>
      <c r="X20" s="3"/>
      <c r="Y20" s="3"/>
      <c r="Z20" s="3"/>
    </row>
    <row r="21" ht="15.75" customHeight="1">
      <c r="A21" s="5"/>
      <c r="B21" s="10"/>
      <c r="C21" s="11"/>
      <c r="D21" s="12"/>
      <c r="E21" s="10"/>
      <c r="F21" s="10"/>
      <c r="G21" s="3"/>
      <c r="H21" s="3"/>
      <c r="I21" s="10"/>
      <c r="J21" s="10"/>
      <c r="K21" s="10"/>
      <c r="L21" s="110"/>
      <c r="M21" s="1"/>
      <c r="N21" s="3"/>
      <c r="O21" s="2"/>
      <c r="P21" s="3"/>
      <c r="Q21" s="3"/>
      <c r="R21" s="2"/>
      <c r="S21" s="3"/>
      <c r="T21" s="3"/>
      <c r="U21" s="1"/>
      <c r="V21" s="3"/>
      <c r="W21" s="3"/>
      <c r="X21" s="3"/>
      <c r="Y21" s="3"/>
      <c r="Z21" s="3"/>
    </row>
    <row r="22">
      <c r="A22" s="5"/>
      <c r="B22" s="10"/>
      <c r="C22" s="11"/>
      <c r="D22" s="12"/>
      <c r="E22" s="15">
        <f t="shared" ref="E22:F22" si="7">SUM(E5:E20)</f>
        <v>378000</v>
      </c>
      <c r="F22" s="15">
        <f t="shared" si="7"/>
        <v>417690</v>
      </c>
      <c r="G22" s="101"/>
      <c r="H22" s="101"/>
      <c r="I22" s="101"/>
      <c r="J22" s="101"/>
      <c r="K22" s="15">
        <f>SUM(K5:K20)</f>
        <v>417690</v>
      </c>
      <c r="L22" s="110">
        <f>IFERROR(K22/E22, 0)</f>
        <v>1.105</v>
      </c>
      <c r="M22" s="1"/>
      <c r="N22" s="3"/>
      <c r="O22" s="2"/>
      <c r="P22" s="3"/>
      <c r="Q22" s="3"/>
      <c r="R22" s="2"/>
      <c r="S22" s="3"/>
      <c r="T22" s="3"/>
      <c r="U22" s="1"/>
      <c r="V22" s="3"/>
      <c r="W22" s="3"/>
      <c r="X22" s="3"/>
      <c r="Y22" s="3"/>
      <c r="Z22" s="3"/>
    </row>
    <row r="23">
      <c r="A23" s="83"/>
      <c r="B23" s="84"/>
      <c r="C23" s="85"/>
      <c r="D23" s="22"/>
      <c r="E23" s="15"/>
      <c r="F23" s="15"/>
      <c r="G23" s="101"/>
      <c r="H23" s="101"/>
      <c r="I23" s="22"/>
      <c r="J23" s="15"/>
      <c r="K23" s="15"/>
      <c r="L23" s="110"/>
      <c r="M23" s="1"/>
      <c r="N23" s="3"/>
      <c r="O23" s="2"/>
      <c r="P23" s="3"/>
      <c r="Q23" s="3"/>
      <c r="R23" s="2"/>
      <c r="S23" s="3"/>
      <c r="T23" s="3"/>
      <c r="U23" s="1"/>
      <c r="V23" s="3"/>
      <c r="W23" s="3"/>
      <c r="X23" s="3"/>
      <c r="Y23" s="3"/>
      <c r="Z23" s="3"/>
    </row>
    <row r="24">
      <c r="A24" s="103"/>
      <c r="B24" s="101"/>
      <c r="C24" s="104"/>
      <c r="D24" s="101"/>
      <c r="E24" s="101"/>
      <c r="F24" s="101"/>
      <c r="G24" s="101"/>
      <c r="H24" s="101"/>
      <c r="I24" s="101"/>
      <c r="J24" s="101"/>
      <c r="K24" s="101"/>
      <c r="L24" s="105"/>
      <c r="M24" s="1"/>
      <c r="N24" s="3"/>
      <c r="O24" s="2"/>
      <c r="P24" s="3"/>
      <c r="Q24" s="3"/>
      <c r="R24" s="2"/>
      <c r="S24" s="3"/>
      <c r="T24" s="3"/>
      <c r="U24" s="1"/>
      <c r="V24" s="3"/>
      <c r="W24" s="3"/>
      <c r="X24" s="3"/>
      <c r="Y24" s="3"/>
      <c r="Z24" s="3"/>
    </row>
    <row r="25">
      <c r="A25" s="103"/>
      <c r="B25" s="101"/>
      <c r="C25" s="104"/>
      <c r="D25" s="101"/>
      <c r="E25" s="15"/>
      <c r="F25" s="15"/>
      <c r="G25" s="101"/>
      <c r="H25" s="101"/>
      <c r="I25" s="101"/>
      <c r="J25" s="101"/>
      <c r="K25" s="15"/>
      <c r="L25" s="110"/>
      <c r="M25" s="1"/>
      <c r="N25" s="3"/>
      <c r="O25" s="2"/>
      <c r="P25" s="3"/>
      <c r="Q25" s="3"/>
      <c r="R25" s="2"/>
      <c r="S25" s="3"/>
      <c r="T25" s="3"/>
      <c r="U25" s="1"/>
      <c r="V25" s="3"/>
      <c r="W25" s="3"/>
      <c r="X25" s="3"/>
      <c r="Y25" s="3"/>
      <c r="Z25" s="3"/>
    </row>
    <row r="26">
      <c r="A26" s="91"/>
      <c r="B26" s="92"/>
      <c r="C26" s="93"/>
      <c r="D26" s="22"/>
      <c r="E26" s="15"/>
      <c r="F26" s="15"/>
      <c r="G26" s="3"/>
      <c r="H26" s="3"/>
      <c r="I26" s="22"/>
      <c r="J26" s="15"/>
      <c r="K26" s="15"/>
      <c r="L26" s="36"/>
      <c r="M26" s="1"/>
      <c r="N26" s="3"/>
      <c r="O26" s="2"/>
      <c r="P26" s="3"/>
      <c r="Q26" s="3"/>
      <c r="R26" s="2"/>
      <c r="S26" s="3"/>
      <c r="T26" s="3"/>
      <c r="U26" s="1"/>
      <c r="V26" s="3"/>
      <c r="W26" s="3"/>
      <c r="X26" s="3"/>
      <c r="Y26" s="3"/>
      <c r="Z26" s="3"/>
    </row>
    <row r="27">
      <c r="A27" s="91"/>
      <c r="B27" s="92"/>
      <c r="C27" s="93"/>
      <c r="D27" s="22"/>
      <c r="E27" s="15"/>
      <c r="F27" s="15"/>
      <c r="G27" s="3"/>
      <c r="H27" s="3"/>
      <c r="I27" s="22"/>
      <c r="J27" s="15"/>
      <c r="K27" s="15"/>
      <c r="L27" s="36"/>
      <c r="M27" s="1"/>
      <c r="N27" s="3"/>
      <c r="O27" s="2"/>
      <c r="P27" s="3"/>
      <c r="Q27" s="3"/>
      <c r="R27" s="2"/>
      <c r="S27" s="3"/>
      <c r="T27" s="3"/>
      <c r="U27" s="1"/>
      <c r="V27" s="3"/>
      <c r="W27" s="3"/>
      <c r="X27" s="3"/>
      <c r="Y27" s="3"/>
      <c r="Z27" s="3"/>
    </row>
    <row r="28">
      <c r="A28" s="5" t="s">
        <v>42</v>
      </c>
      <c r="B28" s="95" t="s">
        <v>66</v>
      </c>
      <c r="C28" s="5"/>
      <c r="D28" s="3"/>
      <c r="E28" s="86" t="s">
        <v>377</v>
      </c>
      <c r="F28" s="82">
        <v>46078.0</v>
      </c>
      <c r="G28" s="86" t="s">
        <v>2</v>
      </c>
      <c r="H28" s="3"/>
      <c r="I28" s="8" t="s">
        <v>3</v>
      </c>
      <c r="L28" s="4"/>
      <c r="M28" s="1"/>
      <c r="N28" s="3"/>
      <c r="O28" s="2"/>
      <c r="P28" s="3"/>
      <c r="Q28" s="3"/>
      <c r="R28" s="2"/>
      <c r="S28" s="3"/>
      <c r="T28" s="3"/>
      <c r="U28" s="1"/>
      <c r="V28" s="3"/>
      <c r="W28" s="3"/>
      <c r="X28" s="3"/>
      <c r="Y28" s="3"/>
      <c r="Z28" s="3"/>
    </row>
    <row r="29">
      <c r="A29" s="1"/>
      <c r="B29" s="3"/>
      <c r="C29" s="9"/>
      <c r="D29" s="3"/>
      <c r="E29" s="3"/>
      <c r="F29" s="3"/>
      <c r="G29" s="3"/>
      <c r="H29" s="3"/>
      <c r="I29" s="3"/>
      <c r="J29" s="3"/>
      <c r="K29" s="3"/>
      <c r="L29" s="4"/>
      <c r="M29" s="1"/>
      <c r="N29" s="3"/>
      <c r="O29" s="2"/>
      <c r="P29" s="3"/>
      <c r="Q29" s="3"/>
      <c r="R29" s="2"/>
      <c r="S29" s="3"/>
      <c r="T29" s="3"/>
      <c r="U29" s="1"/>
      <c r="V29" s="3"/>
      <c r="W29" s="3"/>
      <c r="X29" s="3"/>
      <c r="Y29" s="3"/>
      <c r="Z29" s="3"/>
    </row>
    <row r="30">
      <c r="A30" s="5" t="s">
        <v>4</v>
      </c>
      <c r="B30" s="10" t="s">
        <v>5</v>
      </c>
      <c r="C30" s="11" t="s">
        <v>6</v>
      </c>
      <c r="D30" s="10" t="s">
        <v>7</v>
      </c>
      <c r="E30" s="10" t="s">
        <v>8</v>
      </c>
      <c r="F30" s="10" t="s">
        <v>9</v>
      </c>
      <c r="G30" s="3"/>
      <c r="H30" s="3"/>
      <c r="I30" s="10" t="s">
        <v>260</v>
      </c>
      <c r="J30" s="10" t="s">
        <v>8</v>
      </c>
      <c r="K30" s="10" t="s">
        <v>10</v>
      </c>
      <c r="L30" s="4"/>
      <c r="M30" s="1"/>
      <c r="N30" s="3"/>
      <c r="O30" s="2"/>
      <c r="P30" s="3"/>
      <c r="Q30" s="3"/>
      <c r="R30" s="9"/>
      <c r="S30" s="3"/>
      <c r="T30" s="3"/>
      <c r="U30" s="1"/>
      <c r="V30" s="3"/>
      <c r="W30" s="3"/>
      <c r="X30" s="3"/>
      <c r="Y30" s="3"/>
      <c r="Z30" s="3"/>
    </row>
    <row r="31" ht="15.75" customHeight="1">
      <c r="A31" s="91">
        <v>5.2</v>
      </c>
      <c r="B31" s="92" t="s">
        <v>33</v>
      </c>
      <c r="C31" s="93" t="s">
        <v>19</v>
      </c>
      <c r="D31" s="22">
        <v>2500.0</v>
      </c>
      <c r="E31" s="15">
        <f t="shared" ref="E31:E37" si="8">A31*D31</f>
        <v>13000</v>
      </c>
      <c r="F31" s="15">
        <f t="shared" ref="F31:F37" si="9">E31*1.105</f>
        <v>14365</v>
      </c>
      <c r="G31" s="3"/>
      <c r="H31" s="3"/>
      <c r="I31" s="22">
        <f>25000/15</f>
        <v>1666.666667</v>
      </c>
      <c r="J31" s="15">
        <f t="shared" ref="J31:J37" si="10">I31*A31</f>
        <v>8666.666667</v>
      </c>
      <c r="K31" s="15">
        <f t="shared" ref="K31:K37" si="11">F31-J31</f>
        <v>5698.333333</v>
      </c>
      <c r="L31" s="116">
        <f t="shared" ref="L31:L37" si="12">IFERROR(K31/E31, 0)</f>
        <v>0.4383333333</v>
      </c>
      <c r="M31" s="1"/>
      <c r="N31" s="3"/>
      <c r="O31" s="2"/>
      <c r="P31" s="3"/>
      <c r="Q31" s="3"/>
      <c r="R31" s="9"/>
      <c r="S31" s="3"/>
      <c r="T31" s="3"/>
      <c r="U31" s="1"/>
      <c r="V31" s="3"/>
      <c r="W31" s="3"/>
      <c r="X31" s="3"/>
      <c r="Y31" s="3"/>
      <c r="Z31" s="3"/>
    </row>
    <row r="32" ht="15.75" customHeight="1">
      <c r="A32" s="91">
        <v>3.7</v>
      </c>
      <c r="B32" s="92" t="s">
        <v>33</v>
      </c>
      <c r="C32" s="93" t="s">
        <v>192</v>
      </c>
      <c r="D32" s="22">
        <v>1200.0</v>
      </c>
      <c r="E32" s="15">
        <f t="shared" si="8"/>
        <v>4440</v>
      </c>
      <c r="F32" s="15">
        <f t="shared" si="9"/>
        <v>4906.2</v>
      </c>
      <c r="G32" s="3"/>
      <c r="H32" s="3"/>
      <c r="I32" s="15">
        <f>12000/16</f>
        <v>750</v>
      </c>
      <c r="J32" s="15">
        <f t="shared" si="10"/>
        <v>2775</v>
      </c>
      <c r="K32" s="15">
        <f t="shared" si="11"/>
        <v>2131.2</v>
      </c>
      <c r="L32" s="116">
        <f t="shared" si="12"/>
        <v>0.48</v>
      </c>
      <c r="M32" s="1"/>
      <c r="N32" s="3"/>
      <c r="O32" s="2"/>
      <c r="P32" s="3"/>
      <c r="Q32" s="3"/>
      <c r="R32" s="2"/>
      <c r="S32" s="3"/>
      <c r="T32" s="3"/>
      <c r="U32" s="1"/>
      <c r="V32" s="3"/>
      <c r="W32" s="3"/>
      <c r="X32" s="3"/>
      <c r="Y32" s="3"/>
      <c r="Z32" s="3"/>
    </row>
    <row r="33" ht="15.75" customHeight="1">
      <c r="A33" s="91">
        <v>0.5</v>
      </c>
      <c r="B33" s="92" t="s">
        <v>38</v>
      </c>
      <c r="C33" s="93" t="s">
        <v>179</v>
      </c>
      <c r="D33" s="22">
        <v>20000.0</v>
      </c>
      <c r="E33" s="15">
        <f t="shared" si="8"/>
        <v>10000</v>
      </c>
      <c r="F33" s="15">
        <f t="shared" si="9"/>
        <v>11050</v>
      </c>
      <c r="G33" s="3"/>
      <c r="H33" s="3"/>
      <c r="I33" s="22">
        <v>18000.0</v>
      </c>
      <c r="J33" s="15">
        <f t="shared" si="10"/>
        <v>9000</v>
      </c>
      <c r="K33" s="15">
        <f t="shared" si="11"/>
        <v>2050</v>
      </c>
      <c r="L33" s="116">
        <f t="shared" si="12"/>
        <v>0.205</v>
      </c>
      <c r="M33" s="1"/>
      <c r="N33" s="3"/>
      <c r="O33" s="2"/>
      <c r="P33" s="3"/>
      <c r="Q33" s="3"/>
      <c r="R33" s="2"/>
      <c r="S33" s="3"/>
      <c r="T33" s="3"/>
      <c r="U33" s="1"/>
      <c r="V33" s="3"/>
      <c r="W33" s="3"/>
      <c r="X33" s="3"/>
      <c r="Y33" s="3"/>
      <c r="Z33" s="3"/>
    </row>
    <row r="34" ht="15.75" customHeight="1">
      <c r="A34" s="91">
        <v>1.0</v>
      </c>
      <c r="B34" s="92" t="s">
        <v>33</v>
      </c>
      <c r="C34" s="93" t="s">
        <v>20</v>
      </c>
      <c r="D34" s="22">
        <v>3000.0</v>
      </c>
      <c r="E34" s="15">
        <f t="shared" si="8"/>
        <v>3000</v>
      </c>
      <c r="F34" s="15">
        <f t="shared" si="9"/>
        <v>3315</v>
      </c>
      <c r="G34" s="3"/>
      <c r="H34" s="3"/>
      <c r="I34" s="15">
        <f>18000/8</f>
        <v>2250</v>
      </c>
      <c r="J34" s="15">
        <f t="shared" si="10"/>
        <v>2250</v>
      </c>
      <c r="K34" s="15">
        <f t="shared" si="11"/>
        <v>1065</v>
      </c>
      <c r="L34" s="116">
        <f t="shared" si="12"/>
        <v>0.355</v>
      </c>
      <c r="M34" s="1"/>
      <c r="N34" s="3"/>
      <c r="O34" s="2"/>
      <c r="P34" s="3"/>
      <c r="Q34" s="3"/>
      <c r="R34" s="2"/>
      <c r="S34" s="3"/>
      <c r="T34" s="3"/>
      <c r="U34" s="1"/>
      <c r="V34" s="3"/>
      <c r="W34" s="3"/>
      <c r="X34" s="3"/>
      <c r="Y34" s="3"/>
      <c r="Z34" s="3"/>
    </row>
    <row r="35" ht="15.75" customHeight="1">
      <c r="A35" s="91">
        <v>2.0</v>
      </c>
      <c r="B35" s="92" t="s">
        <v>33</v>
      </c>
      <c r="C35" s="93" t="s">
        <v>24</v>
      </c>
      <c r="D35" s="22">
        <v>4000.0</v>
      </c>
      <c r="E35" s="15">
        <f t="shared" si="8"/>
        <v>8000</v>
      </c>
      <c r="F35" s="15">
        <f t="shared" si="9"/>
        <v>8840</v>
      </c>
      <c r="G35" s="3"/>
      <c r="H35" s="3"/>
      <c r="I35" s="22">
        <f>20000/7</f>
        <v>2857.142857</v>
      </c>
      <c r="J35" s="15">
        <f t="shared" si="10"/>
        <v>5714.285714</v>
      </c>
      <c r="K35" s="15">
        <f t="shared" si="11"/>
        <v>3125.714286</v>
      </c>
      <c r="L35" s="116">
        <f t="shared" si="12"/>
        <v>0.3907142857</v>
      </c>
      <c r="M35" s="1"/>
      <c r="N35" s="3"/>
      <c r="O35" s="2"/>
      <c r="P35" s="3"/>
      <c r="Q35" s="3"/>
      <c r="R35" s="2"/>
      <c r="S35" s="3"/>
      <c r="T35" s="3"/>
      <c r="U35" s="1"/>
      <c r="V35" s="3"/>
      <c r="W35" s="3"/>
      <c r="X35" s="3"/>
      <c r="Y35" s="3"/>
      <c r="Z35" s="3"/>
    </row>
    <row r="36" ht="15.75" customHeight="1">
      <c r="A36" s="91">
        <v>4.0</v>
      </c>
      <c r="B36" s="92" t="s">
        <v>50</v>
      </c>
      <c r="C36" s="93" t="s">
        <v>65</v>
      </c>
      <c r="D36" s="22">
        <v>300.0</v>
      </c>
      <c r="E36" s="15">
        <f t="shared" si="8"/>
        <v>1200</v>
      </c>
      <c r="F36" s="15">
        <f t="shared" si="9"/>
        <v>1326</v>
      </c>
      <c r="G36" s="3"/>
      <c r="H36" s="3"/>
      <c r="I36" s="22">
        <f>5000/24</f>
        <v>208.3333333</v>
      </c>
      <c r="J36" s="15">
        <f t="shared" si="10"/>
        <v>833.3333333</v>
      </c>
      <c r="K36" s="15">
        <f t="shared" si="11"/>
        <v>492.6666667</v>
      </c>
      <c r="L36" s="116">
        <f t="shared" si="12"/>
        <v>0.4105555556</v>
      </c>
      <c r="M36" s="1"/>
      <c r="N36" s="3"/>
      <c r="O36" s="2"/>
      <c r="P36" s="3"/>
      <c r="Q36" s="3"/>
      <c r="R36" s="2"/>
      <c r="S36" s="3"/>
      <c r="T36" s="3"/>
      <c r="U36" s="1"/>
      <c r="V36" s="3"/>
      <c r="W36" s="3"/>
      <c r="X36" s="3"/>
      <c r="Y36" s="3"/>
      <c r="Z36" s="3"/>
    </row>
    <row r="37" ht="15.75" customHeight="1">
      <c r="A37" s="91">
        <v>1.0</v>
      </c>
      <c r="B37" s="92" t="s">
        <v>38</v>
      </c>
      <c r="C37" s="93" t="s">
        <v>67</v>
      </c>
      <c r="D37" s="22">
        <v>10000.0</v>
      </c>
      <c r="E37" s="15">
        <f t="shared" si="8"/>
        <v>10000</v>
      </c>
      <c r="F37" s="15">
        <f t="shared" si="9"/>
        <v>11050</v>
      </c>
      <c r="G37" s="3"/>
      <c r="H37" s="3"/>
      <c r="I37" s="22">
        <v>8000.0</v>
      </c>
      <c r="J37" s="15">
        <f t="shared" si="10"/>
        <v>8000</v>
      </c>
      <c r="K37" s="15">
        <f t="shared" si="11"/>
        <v>3050</v>
      </c>
      <c r="L37" s="116">
        <f t="shared" si="12"/>
        <v>0.305</v>
      </c>
      <c r="M37" s="1"/>
      <c r="N37" s="3"/>
      <c r="O37" s="2"/>
      <c r="P37" s="3"/>
      <c r="Q37" s="3"/>
      <c r="R37" s="2"/>
      <c r="S37" s="3"/>
      <c r="T37" s="3"/>
      <c r="U37" s="1"/>
      <c r="V37" s="3"/>
      <c r="W37" s="3"/>
      <c r="X37" s="3"/>
      <c r="Y37" s="3"/>
      <c r="Z37" s="3"/>
    </row>
    <row r="38" ht="15.75" customHeight="1">
      <c r="A38" s="117"/>
      <c r="B38" s="3"/>
      <c r="C38" s="2"/>
      <c r="D38" s="3"/>
      <c r="E38" s="3"/>
      <c r="F38" s="3"/>
      <c r="G38" s="3"/>
      <c r="H38" s="3"/>
      <c r="I38" s="3"/>
      <c r="J38" s="3"/>
      <c r="K38" s="3"/>
      <c r="L38" s="118"/>
      <c r="M38" s="1"/>
      <c r="N38" s="3"/>
      <c r="O38" s="2"/>
      <c r="P38" s="3"/>
      <c r="Q38" s="3"/>
      <c r="R38" s="2"/>
      <c r="S38" s="3"/>
      <c r="T38" s="3"/>
      <c r="U38" s="1"/>
      <c r="V38" s="3"/>
      <c r="W38" s="3"/>
      <c r="X38" s="3"/>
      <c r="Y38" s="3"/>
      <c r="Z38" s="3"/>
    </row>
    <row r="39" ht="15.75" customHeight="1">
      <c r="A39" s="117"/>
      <c r="B39" s="3"/>
      <c r="C39" s="2"/>
      <c r="D39" s="3"/>
      <c r="E39" s="15">
        <f t="shared" ref="E39:F39" si="13">SUM(E31:E37)</f>
        <v>49640</v>
      </c>
      <c r="F39" s="15">
        <f t="shared" si="13"/>
        <v>54852.2</v>
      </c>
      <c r="G39" s="3"/>
      <c r="H39" s="3"/>
      <c r="I39" s="3"/>
      <c r="J39" s="3"/>
      <c r="K39" s="15">
        <f>SUM(K31:K37)</f>
        <v>17612.91429</v>
      </c>
      <c r="L39" s="116">
        <f>IFERROR(K39/E39, 0)</f>
        <v>0.3548129389</v>
      </c>
      <c r="M39" s="1"/>
      <c r="N39" s="3"/>
      <c r="O39" s="2"/>
      <c r="P39" s="3"/>
      <c r="Q39" s="3"/>
      <c r="R39" s="9"/>
      <c r="S39" s="3"/>
      <c r="T39" s="3"/>
      <c r="U39" s="1"/>
      <c r="V39" s="3"/>
      <c r="W39" s="3"/>
      <c r="X39" s="3"/>
      <c r="Y39" s="3"/>
      <c r="Z39" s="3"/>
    </row>
    <row r="40">
      <c r="A40" s="91"/>
      <c r="B40" s="92"/>
      <c r="C40" s="93"/>
      <c r="D40" s="22"/>
      <c r="E40" s="15"/>
      <c r="F40" s="15"/>
      <c r="G40" s="3"/>
      <c r="H40" s="3"/>
      <c r="I40" s="22"/>
      <c r="J40" s="15"/>
      <c r="K40" s="15"/>
      <c r="L40" s="36"/>
      <c r="M40" s="1"/>
      <c r="N40" s="3"/>
      <c r="O40" s="2"/>
      <c r="P40" s="3"/>
      <c r="Q40" s="3"/>
      <c r="R40" s="2"/>
      <c r="S40" s="3"/>
      <c r="T40" s="3"/>
      <c r="U40" s="1"/>
      <c r="V40" s="3"/>
      <c r="W40" s="3"/>
      <c r="X40" s="3"/>
      <c r="Y40" s="3"/>
      <c r="Z40" s="3"/>
    </row>
    <row r="41">
      <c r="A41" s="91"/>
      <c r="B41" s="92"/>
      <c r="C41" s="93"/>
      <c r="D41" s="22"/>
      <c r="E41" s="15"/>
      <c r="F41" s="15"/>
      <c r="G41" s="3"/>
      <c r="H41" s="3"/>
      <c r="I41" s="22"/>
      <c r="J41" s="15"/>
      <c r="K41" s="15"/>
      <c r="L41" s="36"/>
      <c r="M41" s="1"/>
      <c r="N41" s="3"/>
      <c r="O41" s="2"/>
      <c r="P41" s="3"/>
      <c r="Q41" s="3"/>
      <c r="R41" s="2"/>
      <c r="S41" s="3"/>
      <c r="T41" s="3"/>
      <c r="U41" s="1"/>
      <c r="V41" s="3"/>
      <c r="W41" s="3"/>
      <c r="X41" s="3"/>
      <c r="Y41" s="3"/>
      <c r="Z41" s="3"/>
    </row>
    <row r="42">
      <c r="A42" s="91"/>
      <c r="B42" s="92"/>
      <c r="C42" s="93"/>
      <c r="D42" s="22"/>
      <c r="E42" s="15"/>
      <c r="F42" s="15"/>
      <c r="G42" s="3"/>
      <c r="H42" s="3"/>
      <c r="I42" s="22"/>
      <c r="J42" s="15"/>
      <c r="K42" s="15"/>
      <c r="L42" s="36"/>
      <c r="M42" s="1"/>
      <c r="N42" s="3"/>
      <c r="O42" s="2"/>
      <c r="P42" s="3"/>
      <c r="Q42" s="3"/>
      <c r="R42" s="2"/>
      <c r="S42" s="3"/>
      <c r="T42" s="3"/>
      <c r="U42" s="1"/>
      <c r="V42" s="3"/>
      <c r="W42" s="3"/>
      <c r="X42" s="3"/>
      <c r="Y42" s="3"/>
      <c r="Z42" s="3"/>
    </row>
    <row r="43">
      <c r="A43" s="5" t="s">
        <v>311</v>
      </c>
      <c r="D43" s="3"/>
      <c r="E43" s="86" t="s">
        <v>170</v>
      </c>
      <c r="F43" s="82">
        <v>46078.0</v>
      </c>
      <c r="G43" s="86" t="s">
        <v>2</v>
      </c>
      <c r="H43" s="3"/>
      <c r="I43" s="8" t="s">
        <v>3</v>
      </c>
      <c r="L43" s="4"/>
      <c r="M43" s="1"/>
      <c r="N43" s="3"/>
      <c r="O43" s="2"/>
      <c r="P43" s="3"/>
      <c r="Q43" s="3"/>
      <c r="R43" s="2"/>
      <c r="S43" s="3"/>
      <c r="T43" s="3"/>
      <c r="U43" s="1"/>
      <c r="V43" s="3"/>
      <c r="W43" s="3"/>
      <c r="X43" s="3"/>
      <c r="Y43" s="3"/>
      <c r="Z43" s="3"/>
    </row>
    <row r="44">
      <c r="A44" s="1"/>
      <c r="B44" s="3"/>
      <c r="C44" s="9"/>
      <c r="D44" s="3"/>
      <c r="E44" s="3"/>
      <c r="F44" s="3"/>
      <c r="G44" s="3"/>
      <c r="H44" s="3"/>
      <c r="I44" s="3"/>
      <c r="J44" s="3"/>
      <c r="K44" s="3"/>
      <c r="L44" s="4"/>
      <c r="M44" s="1"/>
      <c r="N44" s="3"/>
      <c r="O44" s="2"/>
      <c r="P44" s="3"/>
      <c r="Q44" s="3"/>
      <c r="R44" s="2"/>
      <c r="S44" s="3"/>
      <c r="T44" s="3"/>
      <c r="U44" s="1"/>
      <c r="V44" s="3"/>
      <c r="W44" s="3"/>
      <c r="X44" s="3"/>
      <c r="Y44" s="3"/>
      <c r="Z44" s="3"/>
    </row>
    <row r="45">
      <c r="A45" s="5" t="s">
        <v>4</v>
      </c>
      <c r="B45" s="10" t="s">
        <v>5</v>
      </c>
      <c r="C45" s="96" t="s">
        <v>6</v>
      </c>
      <c r="D45" s="10" t="s">
        <v>7</v>
      </c>
      <c r="E45" s="10" t="s">
        <v>8</v>
      </c>
      <c r="F45" s="10" t="s">
        <v>9</v>
      </c>
      <c r="G45" s="3"/>
      <c r="H45" s="3"/>
      <c r="I45" s="10" t="s">
        <v>260</v>
      </c>
      <c r="J45" s="10" t="s">
        <v>8</v>
      </c>
      <c r="K45" s="10" t="s">
        <v>10</v>
      </c>
      <c r="L45" s="4"/>
      <c r="M45" s="1"/>
      <c r="N45" s="3"/>
      <c r="O45" s="2"/>
      <c r="P45" s="3"/>
      <c r="Q45" s="3"/>
      <c r="R45" s="2"/>
      <c r="S45" s="3"/>
      <c r="T45" s="3"/>
      <c r="U45" s="1"/>
      <c r="V45" s="3"/>
      <c r="W45" s="3"/>
      <c r="X45" s="3"/>
      <c r="Y45" s="3"/>
      <c r="Z45" s="3"/>
    </row>
    <row r="46">
      <c r="A46" s="91">
        <v>2.0</v>
      </c>
      <c r="B46" s="92" t="s">
        <v>5</v>
      </c>
      <c r="C46" s="93" t="s">
        <v>95</v>
      </c>
      <c r="D46" s="22">
        <v>2500.0</v>
      </c>
      <c r="E46" s="15">
        <f t="shared" ref="E46:E69" si="14">A46*D46</f>
        <v>5000</v>
      </c>
      <c r="F46" s="15">
        <f t="shared" ref="F46:F49" si="15">E46*1.105</f>
        <v>5525</v>
      </c>
      <c r="G46" s="3"/>
      <c r="H46" s="3"/>
      <c r="I46" s="22">
        <f>16000/9</f>
        <v>1777.777778</v>
      </c>
      <c r="J46" s="15">
        <f t="shared" ref="J46:J70" si="16">I46*A46</f>
        <v>3555.555556</v>
      </c>
      <c r="K46" s="15">
        <f t="shared" ref="K46:K70" si="17">F46-J46</f>
        <v>1969.444444</v>
      </c>
      <c r="L46" s="116">
        <f t="shared" ref="L46:L71" si="18">IFERROR(K46/E46, 0)</f>
        <v>0.3938888889</v>
      </c>
      <c r="M46" s="1"/>
      <c r="N46" s="3"/>
      <c r="O46" s="2"/>
      <c r="P46" s="3"/>
      <c r="Q46" s="3"/>
      <c r="R46" s="2"/>
      <c r="S46" s="3"/>
      <c r="T46" s="3"/>
      <c r="U46" s="1"/>
      <c r="V46" s="3"/>
      <c r="W46" s="3"/>
      <c r="X46" s="3"/>
      <c r="Y46" s="3"/>
      <c r="Z46" s="3"/>
    </row>
    <row r="47">
      <c r="A47" s="91">
        <v>1.0</v>
      </c>
      <c r="B47" s="92" t="s">
        <v>38</v>
      </c>
      <c r="C47" s="93" t="s">
        <v>45</v>
      </c>
      <c r="D47" s="22">
        <v>13000.0</v>
      </c>
      <c r="E47" s="15">
        <f t="shared" si="14"/>
        <v>13000</v>
      </c>
      <c r="F47" s="15">
        <f t="shared" si="15"/>
        <v>14365</v>
      </c>
      <c r="G47" s="3"/>
      <c r="H47" s="3"/>
      <c r="I47" s="22">
        <v>8000.0</v>
      </c>
      <c r="J47" s="15">
        <f t="shared" si="16"/>
        <v>8000</v>
      </c>
      <c r="K47" s="15">
        <f t="shared" si="17"/>
        <v>6365</v>
      </c>
      <c r="L47" s="116">
        <f t="shared" si="18"/>
        <v>0.4896153846</v>
      </c>
      <c r="M47" s="1"/>
      <c r="N47" s="3"/>
      <c r="O47" s="2"/>
      <c r="P47" s="3"/>
      <c r="Q47" s="3"/>
      <c r="R47" s="2"/>
      <c r="S47" s="3"/>
      <c r="T47" s="3"/>
      <c r="U47" s="1"/>
      <c r="V47" s="3"/>
      <c r="W47" s="3"/>
      <c r="X47" s="3"/>
      <c r="Y47" s="3"/>
      <c r="Z47" s="3"/>
    </row>
    <row r="48">
      <c r="A48" s="91">
        <v>1.0</v>
      </c>
      <c r="B48" s="92" t="s">
        <v>18</v>
      </c>
      <c r="C48" s="93" t="s">
        <v>103</v>
      </c>
      <c r="D48" s="22">
        <v>13000.0</v>
      </c>
      <c r="E48" s="15">
        <f t="shared" si="14"/>
        <v>13000</v>
      </c>
      <c r="F48" s="15">
        <f t="shared" si="15"/>
        <v>14365</v>
      </c>
      <c r="G48" s="3"/>
      <c r="H48" s="3"/>
      <c r="I48" s="22">
        <v>8000.0</v>
      </c>
      <c r="J48" s="15">
        <f t="shared" si="16"/>
        <v>8000</v>
      </c>
      <c r="K48" s="15">
        <f t="shared" si="17"/>
        <v>6365</v>
      </c>
      <c r="L48" s="116">
        <f t="shared" si="18"/>
        <v>0.4896153846</v>
      </c>
      <c r="M48" s="1"/>
      <c r="N48" s="3"/>
      <c r="O48" s="2"/>
      <c r="P48" s="3"/>
      <c r="Q48" s="3"/>
      <c r="R48" s="2"/>
      <c r="S48" s="3"/>
      <c r="T48" s="3"/>
      <c r="U48" s="1"/>
      <c r="V48" s="3"/>
      <c r="W48" s="3"/>
      <c r="X48" s="3"/>
      <c r="Y48" s="3"/>
      <c r="Z48" s="3"/>
    </row>
    <row r="49">
      <c r="A49" s="91">
        <v>1.0</v>
      </c>
      <c r="B49" s="92" t="s">
        <v>38</v>
      </c>
      <c r="C49" s="93" t="s">
        <v>180</v>
      </c>
      <c r="D49" s="22">
        <v>16000.0</v>
      </c>
      <c r="E49" s="15">
        <f t="shared" si="14"/>
        <v>16000</v>
      </c>
      <c r="F49" s="15">
        <f t="shared" si="15"/>
        <v>17680</v>
      </c>
      <c r="G49" s="3"/>
      <c r="H49" s="3"/>
      <c r="I49" s="22">
        <v>11000.0</v>
      </c>
      <c r="J49" s="15">
        <f t="shared" si="16"/>
        <v>11000</v>
      </c>
      <c r="K49" s="15">
        <f t="shared" si="17"/>
        <v>6680</v>
      </c>
      <c r="L49" s="116">
        <f t="shared" si="18"/>
        <v>0.4175</v>
      </c>
      <c r="M49" s="1"/>
      <c r="N49" s="3"/>
      <c r="O49" s="2"/>
      <c r="P49" s="3"/>
      <c r="Q49" s="3"/>
      <c r="R49" s="2"/>
      <c r="S49" s="3"/>
      <c r="T49" s="3"/>
      <c r="U49" s="1"/>
      <c r="V49" s="3"/>
      <c r="W49" s="3"/>
      <c r="X49" s="3"/>
      <c r="Y49" s="3"/>
      <c r="Z49" s="3"/>
    </row>
    <row r="50">
      <c r="A50" s="91">
        <v>0.5</v>
      </c>
      <c r="B50" s="92" t="s">
        <v>18</v>
      </c>
      <c r="C50" s="93" t="s">
        <v>277</v>
      </c>
      <c r="D50" s="22">
        <v>52000.0</v>
      </c>
      <c r="E50" s="15">
        <f t="shared" si="14"/>
        <v>26000</v>
      </c>
      <c r="F50" s="15">
        <f>E50*1.21</f>
        <v>31460</v>
      </c>
      <c r="G50" s="3"/>
      <c r="H50" s="3"/>
      <c r="I50" s="22">
        <v>55000.0</v>
      </c>
      <c r="J50" s="15">
        <f t="shared" si="16"/>
        <v>27500</v>
      </c>
      <c r="K50" s="15">
        <f t="shared" si="17"/>
        <v>3960</v>
      </c>
      <c r="L50" s="116">
        <f t="shared" si="18"/>
        <v>0.1523076923</v>
      </c>
      <c r="M50" s="1"/>
      <c r="N50" s="3"/>
      <c r="O50" s="2"/>
      <c r="P50" s="3"/>
      <c r="Q50" s="3"/>
      <c r="R50" s="2"/>
      <c r="S50" s="3"/>
      <c r="T50" s="3"/>
      <c r="U50" s="1"/>
      <c r="V50" s="3"/>
      <c r="W50" s="3"/>
      <c r="X50" s="3"/>
      <c r="Y50" s="3"/>
      <c r="Z50" s="3"/>
    </row>
    <row r="51">
      <c r="A51" s="91">
        <v>3.0</v>
      </c>
      <c r="B51" s="92" t="s">
        <v>33</v>
      </c>
      <c r="C51" s="93" t="s">
        <v>67</v>
      </c>
      <c r="D51" s="22">
        <v>800.0</v>
      </c>
      <c r="E51" s="15">
        <f t="shared" si="14"/>
        <v>2400</v>
      </c>
      <c r="F51" s="15">
        <f t="shared" ref="F51:F69" si="19">E51*1.105</f>
        <v>2652</v>
      </c>
      <c r="G51" s="3"/>
      <c r="H51" s="3"/>
      <c r="I51" s="22">
        <f>8000/17</f>
        <v>470.5882353</v>
      </c>
      <c r="J51" s="15">
        <f t="shared" si="16"/>
        <v>1411.764706</v>
      </c>
      <c r="K51" s="15">
        <f t="shared" si="17"/>
        <v>1240.235294</v>
      </c>
      <c r="L51" s="116">
        <f t="shared" si="18"/>
        <v>0.5167647059</v>
      </c>
      <c r="M51" s="1"/>
      <c r="N51" s="3"/>
      <c r="O51" s="2"/>
      <c r="P51" s="3"/>
      <c r="Q51" s="3"/>
      <c r="R51" s="2"/>
      <c r="S51" s="3"/>
      <c r="T51" s="3"/>
      <c r="U51" s="1"/>
      <c r="V51" s="3"/>
      <c r="W51" s="3"/>
      <c r="X51" s="3"/>
      <c r="Y51" s="3"/>
      <c r="Z51" s="3"/>
    </row>
    <row r="52">
      <c r="A52" s="91">
        <v>2.0</v>
      </c>
      <c r="B52" s="92" t="s">
        <v>33</v>
      </c>
      <c r="C52" s="93" t="s">
        <v>174</v>
      </c>
      <c r="D52" s="22">
        <v>1600.0</v>
      </c>
      <c r="E52" s="15">
        <f t="shared" si="14"/>
        <v>3200</v>
      </c>
      <c r="F52" s="15">
        <f t="shared" si="19"/>
        <v>3536</v>
      </c>
      <c r="G52" s="3"/>
      <c r="H52" s="3"/>
      <c r="I52" s="22">
        <f>13000/17</f>
        <v>764.7058824</v>
      </c>
      <c r="J52" s="15">
        <f t="shared" si="16"/>
        <v>1529.411765</v>
      </c>
      <c r="K52" s="15">
        <f t="shared" si="17"/>
        <v>2006.588235</v>
      </c>
      <c r="L52" s="116">
        <f t="shared" si="18"/>
        <v>0.6270588235</v>
      </c>
      <c r="M52" s="1"/>
      <c r="N52" s="3"/>
      <c r="O52" s="2"/>
      <c r="P52" s="3"/>
      <c r="Q52" s="3"/>
      <c r="R52" s="2"/>
      <c r="S52" s="3"/>
      <c r="T52" s="3"/>
      <c r="U52" s="1"/>
      <c r="V52" s="3"/>
      <c r="W52" s="3"/>
      <c r="X52" s="3"/>
      <c r="Y52" s="3"/>
      <c r="Z52" s="3"/>
    </row>
    <row r="53">
      <c r="A53" s="91">
        <v>2.8</v>
      </c>
      <c r="B53" s="92" t="s">
        <v>33</v>
      </c>
      <c r="C53" s="93" t="s">
        <v>24</v>
      </c>
      <c r="D53" s="22">
        <v>4000.0</v>
      </c>
      <c r="E53" s="15">
        <f t="shared" si="14"/>
        <v>11200</v>
      </c>
      <c r="F53" s="15">
        <f t="shared" si="19"/>
        <v>12376</v>
      </c>
      <c r="G53" s="3"/>
      <c r="H53" s="3"/>
      <c r="I53" s="22">
        <f>20000/7</f>
        <v>2857.142857</v>
      </c>
      <c r="J53" s="15">
        <f t="shared" si="16"/>
        <v>8000</v>
      </c>
      <c r="K53" s="15">
        <f t="shared" si="17"/>
        <v>4376</v>
      </c>
      <c r="L53" s="116">
        <f t="shared" si="18"/>
        <v>0.3907142857</v>
      </c>
      <c r="M53" s="1"/>
      <c r="N53" s="3"/>
      <c r="O53" s="2"/>
      <c r="P53" s="3"/>
      <c r="Q53" s="3"/>
      <c r="R53" s="2"/>
      <c r="S53" s="3"/>
      <c r="T53" s="3"/>
      <c r="U53" s="1"/>
      <c r="V53" s="3"/>
      <c r="W53" s="3"/>
      <c r="X53" s="3"/>
      <c r="Y53" s="3"/>
      <c r="Z53" s="3"/>
    </row>
    <row r="54">
      <c r="A54" s="91">
        <v>2.2</v>
      </c>
      <c r="B54" s="92" t="s">
        <v>33</v>
      </c>
      <c r="C54" s="93" t="s">
        <v>26</v>
      </c>
      <c r="D54" s="22">
        <v>4000.0</v>
      </c>
      <c r="E54" s="15">
        <f t="shared" si="14"/>
        <v>8800</v>
      </c>
      <c r="F54" s="15">
        <f t="shared" si="19"/>
        <v>9724</v>
      </c>
      <c r="G54" s="3"/>
      <c r="H54" s="3"/>
      <c r="I54" s="22">
        <f>22000/7</f>
        <v>3142.857143</v>
      </c>
      <c r="J54" s="15">
        <f t="shared" si="16"/>
        <v>6914.285714</v>
      </c>
      <c r="K54" s="15">
        <f t="shared" si="17"/>
        <v>2809.714286</v>
      </c>
      <c r="L54" s="116">
        <f t="shared" si="18"/>
        <v>0.3192857143</v>
      </c>
      <c r="M54" s="1"/>
      <c r="N54" s="3"/>
      <c r="O54" s="2"/>
      <c r="P54" s="3"/>
      <c r="Q54" s="3"/>
      <c r="R54" s="2"/>
      <c r="S54" s="3"/>
      <c r="T54" s="3"/>
      <c r="U54" s="1"/>
      <c r="V54" s="3"/>
      <c r="W54" s="3"/>
      <c r="X54" s="3"/>
      <c r="Y54" s="3"/>
      <c r="Z54" s="3"/>
    </row>
    <row r="55">
      <c r="A55" s="91">
        <v>2.2</v>
      </c>
      <c r="B55" s="92" t="s">
        <v>33</v>
      </c>
      <c r="C55" s="93" t="s">
        <v>25</v>
      </c>
      <c r="D55" s="22">
        <v>3100.0</v>
      </c>
      <c r="E55" s="15">
        <f t="shared" si="14"/>
        <v>6820</v>
      </c>
      <c r="F55" s="15">
        <f t="shared" si="19"/>
        <v>7536.1</v>
      </c>
      <c r="G55" s="3"/>
      <c r="H55" s="3"/>
      <c r="I55" s="22">
        <f>12000/7</f>
        <v>1714.285714</v>
      </c>
      <c r="J55" s="15">
        <f t="shared" si="16"/>
        <v>3771.428571</v>
      </c>
      <c r="K55" s="15">
        <f t="shared" si="17"/>
        <v>3764.671429</v>
      </c>
      <c r="L55" s="116">
        <f t="shared" si="18"/>
        <v>0.5520046083</v>
      </c>
      <c r="M55" s="1"/>
      <c r="N55" s="3"/>
      <c r="O55" s="2"/>
      <c r="P55" s="3"/>
      <c r="Q55" s="3"/>
      <c r="R55" s="2"/>
      <c r="S55" s="3"/>
      <c r="T55" s="3"/>
      <c r="U55" s="1"/>
      <c r="V55" s="3"/>
      <c r="W55" s="3"/>
      <c r="X55" s="3"/>
      <c r="Y55" s="3"/>
      <c r="Z55" s="3"/>
    </row>
    <row r="56">
      <c r="A56" s="91">
        <v>3.0</v>
      </c>
      <c r="B56" s="92" t="s">
        <v>38</v>
      </c>
      <c r="C56" s="93" t="s">
        <v>179</v>
      </c>
      <c r="D56" s="22">
        <v>21000.0</v>
      </c>
      <c r="E56" s="15">
        <f t="shared" si="14"/>
        <v>63000</v>
      </c>
      <c r="F56" s="15">
        <f t="shared" si="19"/>
        <v>69615</v>
      </c>
      <c r="G56" s="3"/>
      <c r="H56" s="3"/>
      <c r="I56" s="22">
        <v>18000.0</v>
      </c>
      <c r="J56" s="15">
        <f t="shared" si="16"/>
        <v>54000</v>
      </c>
      <c r="K56" s="15">
        <f t="shared" si="17"/>
        <v>15615</v>
      </c>
      <c r="L56" s="116">
        <f t="shared" si="18"/>
        <v>0.2478571429</v>
      </c>
      <c r="M56" s="1"/>
      <c r="N56" s="3"/>
      <c r="O56" s="2"/>
      <c r="P56" s="3"/>
      <c r="Q56" s="3"/>
      <c r="R56" s="2"/>
      <c r="S56" s="3"/>
      <c r="T56" s="3"/>
      <c r="U56" s="1"/>
      <c r="V56" s="3"/>
      <c r="W56" s="3"/>
      <c r="X56" s="3"/>
      <c r="Y56" s="3"/>
      <c r="Z56" s="3"/>
    </row>
    <row r="57">
      <c r="A57" s="91">
        <v>1.0</v>
      </c>
      <c r="B57" s="92" t="s">
        <v>38</v>
      </c>
      <c r="C57" s="93" t="s">
        <v>47</v>
      </c>
      <c r="D57" s="22">
        <v>13000.0</v>
      </c>
      <c r="E57" s="15">
        <f t="shared" si="14"/>
        <v>13000</v>
      </c>
      <c r="F57" s="15">
        <f t="shared" si="19"/>
        <v>14365</v>
      </c>
      <c r="G57" s="3"/>
      <c r="H57" s="3"/>
      <c r="I57" s="22">
        <v>8000.0</v>
      </c>
      <c r="J57" s="15">
        <f t="shared" si="16"/>
        <v>8000</v>
      </c>
      <c r="K57" s="15">
        <f t="shared" si="17"/>
        <v>6365</v>
      </c>
      <c r="L57" s="116">
        <f t="shared" si="18"/>
        <v>0.4896153846</v>
      </c>
      <c r="M57" s="1"/>
      <c r="N57" s="3"/>
      <c r="O57" s="2"/>
      <c r="P57" s="3"/>
      <c r="Q57" s="3"/>
      <c r="R57" s="2"/>
      <c r="S57" s="3"/>
      <c r="T57" s="3"/>
      <c r="U57" s="1"/>
      <c r="V57" s="3"/>
      <c r="W57" s="3"/>
      <c r="X57" s="3"/>
      <c r="Y57" s="3"/>
      <c r="Z57" s="3"/>
    </row>
    <row r="58">
      <c r="A58" s="91">
        <v>10.0</v>
      </c>
      <c r="B58" s="92" t="s">
        <v>33</v>
      </c>
      <c r="C58" s="93" t="s">
        <v>64</v>
      </c>
      <c r="D58" s="22">
        <v>2300.0</v>
      </c>
      <c r="E58" s="15">
        <f t="shared" si="14"/>
        <v>23000</v>
      </c>
      <c r="F58" s="15">
        <f t="shared" si="19"/>
        <v>25415</v>
      </c>
      <c r="G58" s="3"/>
      <c r="H58" s="3"/>
      <c r="I58" s="22">
        <f>18000/15</f>
        <v>1200</v>
      </c>
      <c r="J58" s="15">
        <f t="shared" si="16"/>
        <v>12000</v>
      </c>
      <c r="K58" s="15">
        <f t="shared" si="17"/>
        <v>13415</v>
      </c>
      <c r="L58" s="116">
        <f t="shared" si="18"/>
        <v>0.5832608696</v>
      </c>
      <c r="M58" s="1"/>
      <c r="N58" s="3"/>
      <c r="O58" s="2"/>
      <c r="P58" s="3"/>
      <c r="Q58" s="3"/>
      <c r="R58" s="2"/>
      <c r="S58" s="3"/>
      <c r="T58" s="3"/>
      <c r="U58" s="1"/>
      <c r="V58" s="3"/>
      <c r="W58" s="3"/>
      <c r="X58" s="3"/>
      <c r="Y58" s="3"/>
      <c r="Z58" s="3"/>
    </row>
    <row r="59">
      <c r="A59" s="91">
        <v>1.0</v>
      </c>
      <c r="B59" s="92" t="s">
        <v>33</v>
      </c>
      <c r="C59" s="93" t="s">
        <v>69</v>
      </c>
      <c r="D59" s="22">
        <v>2000.0</v>
      </c>
      <c r="E59" s="15">
        <f t="shared" si="14"/>
        <v>2000</v>
      </c>
      <c r="F59" s="15">
        <f t="shared" si="19"/>
        <v>2210</v>
      </c>
      <c r="G59" s="3"/>
      <c r="H59" s="3"/>
      <c r="I59" s="22">
        <v>0.0</v>
      </c>
      <c r="J59" s="15">
        <f t="shared" si="16"/>
        <v>0</v>
      </c>
      <c r="K59" s="15">
        <f t="shared" si="17"/>
        <v>2210</v>
      </c>
      <c r="L59" s="116">
        <f t="shared" si="18"/>
        <v>1.105</v>
      </c>
      <c r="M59" s="1"/>
      <c r="N59" s="3"/>
      <c r="O59" s="2"/>
      <c r="P59" s="3"/>
      <c r="Q59" s="3"/>
      <c r="R59" s="2"/>
      <c r="S59" s="3"/>
      <c r="T59" s="3"/>
      <c r="U59" s="1"/>
      <c r="V59" s="3"/>
      <c r="W59" s="3"/>
      <c r="X59" s="3"/>
      <c r="Y59" s="3"/>
      <c r="Z59" s="3"/>
    </row>
    <row r="60">
      <c r="A60" s="91">
        <v>2.0</v>
      </c>
      <c r="B60" s="92" t="s">
        <v>33</v>
      </c>
      <c r="C60" s="93" t="s">
        <v>233</v>
      </c>
      <c r="D60" s="22">
        <v>2800.0</v>
      </c>
      <c r="E60" s="15">
        <f t="shared" si="14"/>
        <v>5600</v>
      </c>
      <c r="F60" s="15">
        <f t="shared" si="19"/>
        <v>6188</v>
      </c>
      <c r="G60" s="3"/>
      <c r="H60" s="3"/>
      <c r="I60" s="22">
        <v>0.0</v>
      </c>
      <c r="J60" s="15">
        <f t="shared" si="16"/>
        <v>0</v>
      </c>
      <c r="K60" s="15">
        <f t="shared" si="17"/>
        <v>6188</v>
      </c>
      <c r="L60" s="116">
        <f t="shared" si="18"/>
        <v>1.105</v>
      </c>
      <c r="M60" s="1"/>
      <c r="N60" s="3"/>
      <c r="O60" s="2"/>
      <c r="P60" s="3"/>
      <c r="Q60" s="3"/>
      <c r="R60" s="2"/>
      <c r="S60" s="3"/>
      <c r="T60" s="3"/>
      <c r="U60" s="1"/>
      <c r="V60" s="3"/>
      <c r="W60" s="3"/>
      <c r="X60" s="3"/>
      <c r="Y60" s="3"/>
      <c r="Z60" s="3"/>
    </row>
    <row r="61">
      <c r="A61" s="91">
        <v>12.0</v>
      </c>
      <c r="B61" s="92" t="s">
        <v>11</v>
      </c>
      <c r="C61" s="93" t="s">
        <v>65</v>
      </c>
      <c r="D61" s="22">
        <v>500.0</v>
      </c>
      <c r="E61" s="15">
        <f t="shared" si="14"/>
        <v>6000</v>
      </c>
      <c r="F61" s="15">
        <f t="shared" si="19"/>
        <v>6630</v>
      </c>
      <c r="G61" s="3"/>
      <c r="H61" s="3"/>
      <c r="I61" s="22">
        <f>5000/24</f>
        <v>208.3333333</v>
      </c>
      <c r="J61" s="15">
        <f t="shared" si="16"/>
        <v>2500</v>
      </c>
      <c r="K61" s="15">
        <f t="shared" si="17"/>
        <v>4130</v>
      </c>
      <c r="L61" s="116">
        <f t="shared" si="18"/>
        <v>0.6883333333</v>
      </c>
      <c r="M61" s="1"/>
      <c r="N61" s="3"/>
      <c r="O61" s="2"/>
      <c r="P61" s="3"/>
      <c r="Q61" s="3"/>
      <c r="R61" s="2"/>
      <c r="S61" s="3"/>
      <c r="T61" s="3"/>
      <c r="U61" s="1"/>
      <c r="V61" s="3"/>
      <c r="W61" s="3"/>
      <c r="X61" s="3"/>
      <c r="Y61" s="3"/>
      <c r="Z61" s="3"/>
    </row>
    <row r="62">
      <c r="A62" s="91">
        <v>3.5</v>
      </c>
      <c r="B62" s="92" t="s">
        <v>33</v>
      </c>
      <c r="C62" s="93" t="s">
        <v>98</v>
      </c>
      <c r="D62" s="22">
        <v>1800.0</v>
      </c>
      <c r="E62" s="15">
        <f t="shared" si="14"/>
        <v>6300</v>
      </c>
      <c r="F62" s="15">
        <f t="shared" si="19"/>
        <v>6961.5</v>
      </c>
      <c r="G62" s="3"/>
      <c r="H62" s="3"/>
      <c r="I62" s="22">
        <v>1000.0</v>
      </c>
      <c r="J62" s="15">
        <f t="shared" si="16"/>
        <v>3500</v>
      </c>
      <c r="K62" s="15">
        <f t="shared" si="17"/>
        <v>3461.5</v>
      </c>
      <c r="L62" s="116">
        <f t="shared" si="18"/>
        <v>0.5494444444</v>
      </c>
      <c r="M62" s="1"/>
      <c r="N62" s="3"/>
      <c r="O62" s="2"/>
      <c r="P62" s="3"/>
      <c r="Q62" s="3"/>
      <c r="R62" s="2"/>
      <c r="S62" s="3"/>
      <c r="T62" s="3"/>
      <c r="U62" s="1"/>
      <c r="V62" s="3"/>
      <c r="W62" s="3"/>
      <c r="X62" s="3"/>
      <c r="Y62" s="3"/>
      <c r="Z62" s="3"/>
    </row>
    <row r="63" ht="15.75" customHeight="1">
      <c r="A63" s="91">
        <v>3.5</v>
      </c>
      <c r="B63" s="92" t="s">
        <v>33</v>
      </c>
      <c r="C63" s="93" t="s">
        <v>99</v>
      </c>
      <c r="D63" s="22">
        <v>1800.0</v>
      </c>
      <c r="E63" s="15">
        <f t="shared" si="14"/>
        <v>6300</v>
      </c>
      <c r="F63" s="15">
        <f t="shared" si="19"/>
        <v>6961.5</v>
      </c>
      <c r="G63" s="3"/>
      <c r="H63" s="3"/>
      <c r="I63" s="22">
        <v>1000.0</v>
      </c>
      <c r="J63" s="15">
        <f t="shared" si="16"/>
        <v>3500</v>
      </c>
      <c r="K63" s="15">
        <f t="shared" si="17"/>
        <v>3461.5</v>
      </c>
      <c r="L63" s="116">
        <f t="shared" si="18"/>
        <v>0.5494444444</v>
      </c>
      <c r="M63" s="1"/>
      <c r="N63" s="3"/>
      <c r="O63" s="2"/>
      <c r="P63" s="3"/>
      <c r="Q63" s="3"/>
      <c r="R63" s="2"/>
      <c r="S63" s="3"/>
      <c r="T63" s="3"/>
      <c r="U63" s="1"/>
      <c r="V63" s="3"/>
      <c r="W63" s="3"/>
      <c r="X63" s="3"/>
      <c r="Y63" s="3"/>
      <c r="Z63" s="3"/>
    </row>
    <row r="64">
      <c r="A64" s="91">
        <v>1.0</v>
      </c>
      <c r="B64" s="92" t="s">
        <v>50</v>
      </c>
      <c r="C64" s="93" t="s">
        <v>104</v>
      </c>
      <c r="D64" s="22">
        <v>2500.0</v>
      </c>
      <c r="E64" s="15">
        <f t="shared" si="14"/>
        <v>2500</v>
      </c>
      <c r="F64" s="15">
        <f t="shared" si="19"/>
        <v>2762.5</v>
      </c>
      <c r="G64" s="3"/>
      <c r="H64" s="3"/>
      <c r="I64" s="22">
        <v>1000.0</v>
      </c>
      <c r="J64" s="15">
        <f t="shared" si="16"/>
        <v>1000</v>
      </c>
      <c r="K64" s="15">
        <f t="shared" si="17"/>
        <v>1762.5</v>
      </c>
      <c r="L64" s="116">
        <f t="shared" si="18"/>
        <v>0.705</v>
      </c>
      <c r="M64" s="1"/>
      <c r="N64" s="3"/>
      <c r="O64" s="2"/>
      <c r="P64" s="3"/>
      <c r="Q64" s="3"/>
      <c r="R64" s="2"/>
      <c r="S64" s="3"/>
      <c r="T64" s="3"/>
      <c r="U64" s="1"/>
      <c r="V64" s="3"/>
      <c r="W64" s="3"/>
      <c r="X64" s="3"/>
      <c r="Y64" s="3"/>
      <c r="Z64" s="3"/>
    </row>
    <row r="65" ht="15.75" customHeight="1">
      <c r="A65" s="91">
        <v>1.0</v>
      </c>
      <c r="B65" s="92" t="s">
        <v>33</v>
      </c>
      <c r="C65" s="93" t="s">
        <v>72</v>
      </c>
      <c r="D65" s="22">
        <v>2600.0</v>
      </c>
      <c r="E65" s="15">
        <f t="shared" si="14"/>
        <v>2600</v>
      </c>
      <c r="F65" s="15">
        <f t="shared" si="19"/>
        <v>2873</v>
      </c>
      <c r="G65" s="3"/>
      <c r="H65" s="3"/>
      <c r="I65" s="22">
        <f>27000/15</f>
        <v>1800</v>
      </c>
      <c r="J65" s="15">
        <f t="shared" si="16"/>
        <v>1800</v>
      </c>
      <c r="K65" s="15">
        <f t="shared" si="17"/>
        <v>1073</v>
      </c>
      <c r="L65" s="116">
        <f t="shared" si="18"/>
        <v>0.4126923077</v>
      </c>
      <c r="M65" s="1"/>
      <c r="N65" s="3"/>
      <c r="O65" s="2"/>
      <c r="P65" s="3"/>
      <c r="Q65" s="3"/>
      <c r="R65" s="2"/>
      <c r="S65" s="3"/>
      <c r="T65" s="3"/>
      <c r="U65" s="1"/>
      <c r="V65" s="3"/>
      <c r="W65" s="3"/>
      <c r="X65" s="3"/>
      <c r="Y65" s="3"/>
      <c r="Z65" s="3"/>
    </row>
    <row r="66" ht="15.75" customHeight="1">
      <c r="A66" s="91">
        <v>1.0</v>
      </c>
      <c r="B66" s="92" t="s">
        <v>18</v>
      </c>
      <c r="C66" s="93" t="s">
        <v>356</v>
      </c>
      <c r="D66" s="22">
        <v>24000.0</v>
      </c>
      <c r="E66" s="15">
        <f t="shared" si="14"/>
        <v>24000</v>
      </c>
      <c r="F66" s="15">
        <f t="shared" si="19"/>
        <v>26520</v>
      </c>
      <c r="G66" s="3"/>
      <c r="H66" s="3"/>
      <c r="I66" s="22">
        <v>20000.0</v>
      </c>
      <c r="J66" s="15">
        <f t="shared" si="16"/>
        <v>20000</v>
      </c>
      <c r="K66" s="15">
        <f t="shared" si="17"/>
        <v>6520</v>
      </c>
      <c r="L66" s="116">
        <f t="shared" si="18"/>
        <v>0.2716666667</v>
      </c>
      <c r="M66" s="1"/>
      <c r="N66" s="3"/>
      <c r="O66" s="2"/>
      <c r="P66" s="3"/>
      <c r="Q66" s="3"/>
      <c r="R66" s="2"/>
      <c r="S66" s="3"/>
      <c r="T66" s="3"/>
      <c r="U66" s="1"/>
      <c r="V66" s="3"/>
      <c r="W66" s="3"/>
      <c r="X66" s="3"/>
      <c r="Y66" s="3"/>
      <c r="Z66" s="3"/>
    </row>
    <row r="67" ht="15.75" customHeight="1">
      <c r="A67" s="91">
        <v>1.0</v>
      </c>
      <c r="B67" s="92" t="s">
        <v>18</v>
      </c>
      <c r="C67" s="93" t="s">
        <v>78</v>
      </c>
      <c r="D67" s="22">
        <v>55000.0</v>
      </c>
      <c r="E67" s="15">
        <f t="shared" si="14"/>
        <v>55000</v>
      </c>
      <c r="F67" s="15">
        <f t="shared" si="19"/>
        <v>60775</v>
      </c>
      <c r="G67" s="3"/>
      <c r="H67" s="3"/>
      <c r="I67" s="22">
        <v>35000.0</v>
      </c>
      <c r="J67" s="15">
        <f t="shared" si="16"/>
        <v>35000</v>
      </c>
      <c r="K67" s="15">
        <f t="shared" si="17"/>
        <v>25775</v>
      </c>
      <c r="L67" s="116">
        <f t="shared" si="18"/>
        <v>0.4686363636</v>
      </c>
      <c r="M67" s="1"/>
      <c r="N67" s="3"/>
      <c r="O67" s="2"/>
      <c r="P67" s="3"/>
      <c r="Q67" s="3"/>
      <c r="R67" s="2"/>
      <c r="S67" s="3"/>
      <c r="T67" s="3"/>
      <c r="U67" s="1"/>
      <c r="V67" s="3"/>
      <c r="W67" s="3"/>
      <c r="X67" s="3"/>
      <c r="Y67" s="3"/>
      <c r="Z67" s="3"/>
    </row>
    <row r="68" ht="15.75" customHeight="1">
      <c r="A68" s="91">
        <v>6.0</v>
      </c>
      <c r="B68" s="92" t="s">
        <v>33</v>
      </c>
      <c r="C68" s="93" t="s">
        <v>119</v>
      </c>
      <c r="D68" s="22">
        <v>3800.0</v>
      </c>
      <c r="E68" s="15">
        <f t="shared" si="14"/>
        <v>22800</v>
      </c>
      <c r="F68" s="15">
        <f t="shared" si="19"/>
        <v>25194</v>
      </c>
      <c r="G68" s="3"/>
      <c r="H68" s="3"/>
      <c r="I68" s="22">
        <v>3000.0</v>
      </c>
      <c r="J68" s="15">
        <f t="shared" si="16"/>
        <v>18000</v>
      </c>
      <c r="K68" s="15">
        <f t="shared" si="17"/>
        <v>7194</v>
      </c>
      <c r="L68" s="116">
        <f t="shared" si="18"/>
        <v>0.3155263158</v>
      </c>
      <c r="M68" s="1"/>
      <c r="N68" s="3"/>
      <c r="O68" s="2"/>
      <c r="P68" s="3"/>
      <c r="Q68" s="3"/>
      <c r="R68" s="2"/>
      <c r="S68" s="3"/>
      <c r="T68" s="3"/>
      <c r="U68" s="1"/>
      <c r="V68" s="3"/>
      <c r="W68" s="3"/>
      <c r="X68" s="3"/>
      <c r="Y68" s="3"/>
      <c r="Z68" s="3"/>
    </row>
    <row r="69" ht="15.75" customHeight="1">
      <c r="A69" s="91">
        <v>4.0</v>
      </c>
      <c r="B69" s="92" t="s">
        <v>33</v>
      </c>
      <c r="C69" s="93" t="s">
        <v>378</v>
      </c>
      <c r="D69" s="22">
        <v>2800.0</v>
      </c>
      <c r="E69" s="15">
        <f t="shared" si="14"/>
        <v>11200</v>
      </c>
      <c r="F69" s="15">
        <f t="shared" si="19"/>
        <v>12376</v>
      </c>
      <c r="G69" s="3"/>
      <c r="H69" s="3"/>
      <c r="I69" s="22">
        <f>35000/18</f>
        <v>1944.444444</v>
      </c>
      <c r="J69" s="15">
        <f t="shared" si="16"/>
        <v>7777.777778</v>
      </c>
      <c r="K69" s="15">
        <f t="shared" si="17"/>
        <v>4598.222222</v>
      </c>
      <c r="L69" s="116">
        <f t="shared" si="18"/>
        <v>0.4105555556</v>
      </c>
      <c r="M69" s="1"/>
      <c r="N69" s="3"/>
      <c r="O69" s="2"/>
      <c r="P69" s="3"/>
      <c r="Q69" s="3"/>
      <c r="R69" s="2"/>
      <c r="S69" s="3"/>
      <c r="T69" s="3"/>
      <c r="U69" s="1"/>
      <c r="V69" s="3"/>
      <c r="W69" s="3"/>
      <c r="X69" s="3"/>
      <c r="Y69" s="3"/>
      <c r="Z69" s="3"/>
    </row>
    <row r="70" ht="15.75" customHeight="1">
      <c r="A70" s="91"/>
      <c r="B70" s="92"/>
      <c r="C70" s="93"/>
      <c r="D70" s="22"/>
      <c r="E70" s="15"/>
      <c r="F70" s="15"/>
      <c r="G70" s="3"/>
      <c r="H70" s="3"/>
      <c r="I70" s="22"/>
      <c r="J70" s="15">
        <f t="shared" si="16"/>
        <v>0</v>
      </c>
      <c r="K70" s="15">
        <f t="shared" si="17"/>
        <v>0</v>
      </c>
      <c r="L70" s="116">
        <f t="shared" si="18"/>
        <v>0</v>
      </c>
      <c r="M70" s="1"/>
      <c r="N70" s="3"/>
      <c r="O70" s="2"/>
      <c r="P70" s="3"/>
      <c r="Q70" s="3"/>
      <c r="R70" s="2"/>
      <c r="S70" s="3"/>
      <c r="T70" s="3"/>
      <c r="U70" s="1"/>
      <c r="V70" s="3"/>
      <c r="W70" s="3"/>
      <c r="X70" s="3"/>
      <c r="Y70" s="3"/>
      <c r="Z70" s="3"/>
    </row>
    <row r="71" ht="15.75" customHeight="1">
      <c r="A71" s="117"/>
      <c r="B71" s="3"/>
      <c r="C71" s="2"/>
      <c r="D71" s="3"/>
      <c r="E71" s="15">
        <f t="shared" ref="E71:F71" si="20">SUM(E46:E70)</f>
        <v>348720</v>
      </c>
      <c r="F71" s="15">
        <f t="shared" si="20"/>
        <v>388065.6</v>
      </c>
      <c r="G71" s="3"/>
      <c r="H71" s="3"/>
      <c r="I71" s="3"/>
      <c r="J71" s="3"/>
      <c r="K71" s="15">
        <f>SUM(K46:K70)</f>
        <v>141305.3759</v>
      </c>
      <c r="L71" s="116">
        <f t="shared" si="18"/>
        <v>0.405211562</v>
      </c>
      <c r="M71" s="1"/>
      <c r="N71" s="3"/>
      <c r="O71" s="2"/>
      <c r="P71" s="3"/>
      <c r="Q71" s="3"/>
      <c r="R71" s="9"/>
      <c r="S71" s="3"/>
      <c r="T71" s="3"/>
      <c r="U71" s="1"/>
      <c r="V71" s="3"/>
      <c r="W71" s="3"/>
      <c r="X71" s="3"/>
      <c r="Y71" s="3"/>
      <c r="Z71" s="3"/>
    </row>
    <row r="72" ht="15.75" customHeight="1">
      <c r="A72" s="83"/>
      <c r="B72" s="84"/>
      <c r="C72" s="85"/>
      <c r="D72" s="22"/>
      <c r="E72" s="15"/>
      <c r="F72" s="16"/>
      <c r="G72" s="25"/>
      <c r="H72" s="37"/>
      <c r="I72" s="87"/>
      <c r="J72" s="16"/>
      <c r="K72" s="16"/>
      <c r="L72" s="1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8" t="s">
        <v>92</v>
      </c>
      <c r="E74" s="86" t="s">
        <v>337</v>
      </c>
      <c r="F74" s="82">
        <v>46078.0</v>
      </c>
      <c r="G74" s="86" t="s">
        <v>2</v>
      </c>
      <c r="H74" s="3"/>
      <c r="I74" s="8" t="s">
        <v>3</v>
      </c>
      <c r="L74" s="4"/>
      <c r="M74" s="2"/>
      <c r="N74" s="3"/>
      <c r="O74" s="2"/>
      <c r="P74" s="3"/>
      <c r="Q74" s="3"/>
      <c r="R74" s="2"/>
      <c r="S74" s="3"/>
      <c r="T74" s="3"/>
      <c r="U74" s="1"/>
      <c r="V74" s="3"/>
      <c r="W74" s="3"/>
      <c r="X74" s="3"/>
      <c r="Y74" s="3"/>
      <c r="Z74" s="3"/>
    </row>
    <row r="75" ht="15.75" customHeight="1">
      <c r="A75" s="1"/>
      <c r="B75" s="3"/>
      <c r="C75" s="9"/>
      <c r="D75" s="3"/>
      <c r="E75" s="3"/>
      <c r="F75" s="3"/>
      <c r="G75" s="3"/>
      <c r="H75" s="3"/>
      <c r="I75" s="3"/>
      <c r="J75" s="3"/>
      <c r="K75" s="3"/>
      <c r="L75" s="4"/>
      <c r="M75" s="1"/>
      <c r="N75" s="3"/>
      <c r="O75" s="2"/>
      <c r="P75" s="3"/>
      <c r="Q75" s="3"/>
      <c r="R75" s="2"/>
      <c r="S75" s="3"/>
      <c r="T75" s="3"/>
      <c r="U75" s="1"/>
      <c r="V75" s="3"/>
      <c r="W75" s="3"/>
      <c r="X75" s="3"/>
      <c r="Y75" s="3"/>
      <c r="Z75" s="3"/>
    </row>
    <row r="76" ht="15.75" customHeight="1">
      <c r="A76" s="5" t="s">
        <v>4</v>
      </c>
      <c r="B76" s="10" t="s">
        <v>5</v>
      </c>
      <c r="C76" s="96" t="s">
        <v>6</v>
      </c>
      <c r="D76" s="10" t="s">
        <v>7</v>
      </c>
      <c r="E76" s="10" t="s">
        <v>8</v>
      </c>
      <c r="F76" s="10" t="s">
        <v>9</v>
      </c>
      <c r="G76" s="101"/>
      <c r="H76" s="101"/>
      <c r="I76" s="10" t="s">
        <v>260</v>
      </c>
      <c r="J76" s="10" t="s">
        <v>8</v>
      </c>
      <c r="K76" s="10" t="s">
        <v>10</v>
      </c>
      <c r="L76" s="102"/>
      <c r="M76" s="1"/>
      <c r="N76" s="3"/>
      <c r="O76" s="2"/>
      <c r="P76" s="3"/>
      <c r="Q76" s="3"/>
      <c r="R76" s="2"/>
      <c r="S76" s="3"/>
      <c r="T76" s="3"/>
      <c r="U76" s="1"/>
      <c r="V76" s="3"/>
      <c r="W76" s="3"/>
      <c r="X76" s="3"/>
      <c r="Y76" s="3"/>
      <c r="Z76" s="3"/>
    </row>
    <row r="77">
      <c r="A77" s="83">
        <v>2.0</v>
      </c>
      <c r="B77" s="84" t="s">
        <v>38</v>
      </c>
      <c r="C77" s="85" t="s">
        <v>45</v>
      </c>
      <c r="D77" s="22">
        <v>12000.0</v>
      </c>
      <c r="E77" s="15">
        <f t="shared" ref="E77:E85" si="21">A77*D77</f>
        <v>24000</v>
      </c>
      <c r="F77" s="15">
        <f t="shared" ref="F77:F85" si="22">E77*1.105</f>
        <v>26520</v>
      </c>
      <c r="G77" s="101"/>
      <c r="H77" s="101"/>
      <c r="I77" s="22">
        <v>8000.0</v>
      </c>
      <c r="J77" s="15">
        <f t="shared" ref="J77:J85" si="23">I77*A77</f>
        <v>16000</v>
      </c>
      <c r="K77" s="15">
        <f t="shared" ref="K77:K85" si="24">F77-J77</f>
        <v>10520</v>
      </c>
      <c r="L77" s="110">
        <f t="shared" ref="L77:L85" si="25">IFERROR(K77/E77, 0)</f>
        <v>0.4383333333</v>
      </c>
      <c r="M77" s="1"/>
      <c r="N77" s="3"/>
      <c r="O77" s="2"/>
      <c r="P77" s="3"/>
      <c r="Q77" s="3"/>
      <c r="R77" s="2"/>
      <c r="S77" s="3"/>
      <c r="T77" s="3"/>
      <c r="U77" s="1"/>
      <c r="V77" s="3"/>
      <c r="W77" s="3"/>
      <c r="X77" s="3"/>
      <c r="Y77" s="3"/>
      <c r="Z77" s="3"/>
    </row>
    <row r="78">
      <c r="A78" s="83">
        <v>2.0</v>
      </c>
      <c r="B78" s="84" t="s">
        <v>38</v>
      </c>
      <c r="C78" s="85" t="s">
        <v>96</v>
      </c>
      <c r="D78" s="22">
        <v>12000.0</v>
      </c>
      <c r="E78" s="15">
        <f t="shared" si="21"/>
        <v>24000</v>
      </c>
      <c r="F78" s="15">
        <f t="shared" si="22"/>
        <v>26520</v>
      </c>
      <c r="G78" s="101"/>
      <c r="H78" s="101"/>
      <c r="I78" s="87">
        <v>8000.0</v>
      </c>
      <c r="J78" s="15">
        <f t="shared" si="23"/>
        <v>16000</v>
      </c>
      <c r="K78" s="15">
        <f t="shared" si="24"/>
        <v>10520</v>
      </c>
      <c r="L78" s="110">
        <f t="shared" si="25"/>
        <v>0.4383333333</v>
      </c>
      <c r="M78" s="1"/>
      <c r="N78" s="3"/>
      <c r="O78" s="2"/>
      <c r="P78" s="3"/>
      <c r="Q78" s="3"/>
      <c r="R78" s="2"/>
      <c r="S78" s="3"/>
      <c r="T78" s="3"/>
      <c r="U78" s="1"/>
      <c r="V78" s="3"/>
      <c r="W78" s="3"/>
      <c r="X78" s="3"/>
      <c r="Y78" s="3"/>
      <c r="Z78" s="3"/>
    </row>
    <row r="79">
      <c r="A79" s="83">
        <v>5.0</v>
      </c>
      <c r="B79" s="84" t="s">
        <v>38</v>
      </c>
      <c r="C79" s="85" t="s">
        <v>226</v>
      </c>
      <c r="D79" s="22">
        <v>14000.0</v>
      </c>
      <c r="E79" s="15">
        <f t="shared" si="21"/>
        <v>70000</v>
      </c>
      <c r="F79" s="15">
        <f t="shared" si="22"/>
        <v>77350</v>
      </c>
      <c r="G79" s="101"/>
      <c r="H79" s="101"/>
      <c r="I79" s="22">
        <v>11000.0</v>
      </c>
      <c r="J79" s="15">
        <f t="shared" si="23"/>
        <v>55000</v>
      </c>
      <c r="K79" s="15">
        <f t="shared" si="24"/>
        <v>22350</v>
      </c>
      <c r="L79" s="110">
        <f t="shared" si="25"/>
        <v>0.3192857143</v>
      </c>
      <c r="M79" s="1"/>
      <c r="N79" s="3"/>
      <c r="O79" s="2"/>
      <c r="P79" s="3"/>
      <c r="Q79" s="3"/>
      <c r="R79" s="2"/>
      <c r="S79" s="3"/>
      <c r="T79" s="3"/>
      <c r="U79" s="1"/>
      <c r="V79" s="3"/>
      <c r="W79" s="3"/>
      <c r="X79" s="3"/>
      <c r="Y79" s="3"/>
      <c r="Z79" s="3"/>
    </row>
    <row r="80">
      <c r="A80" s="83">
        <v>2.0</v>
      </c>
      <c r="B80" s="84" t="s">
        <v>38</v>
      </c>
      <c r="C80" s="85" t="s">
        <v>180</v>
      </c>
      <c r="D80" s="22">
        <v>15000.0</v>
      </c>
      <c r="E80" s="15">
        <f t="shared" si="21"/>
        <v>30000</v>
      </c>
      <c r="F80" s="15">
        <f t="shared" si="22"/>
        <v>33150</v>
      </c>
      <c r="G80" s="101"/>
      <c r="H80" s="101"/>
      <c r="I80" s="22">
        <v>11000.0</v>
      </c>
      <c r="J80" s="15">
        <f t="shared" si="23"/>
        <v>22000</v>
      </c>
      <c r="K80" s="15">
        <f t="shared" si="24"/>
        <v>11150</v>
      </c>
      <c r="L80" s="110">
        <f t="shared" si="25"/>
        <v>0.3716666667</v>
      </c>
      <c r="M80" s="1"/>
      <c r="N80" s="3"/>
      <c r="O80" s="2"/>
      <c r="P80" s="3"/>
      <c r="Q80" s="3"/>
      <c r="R80" s="2"/>
      <c r="S80" s="3"/>
      <c r="T80" s="3"/>
      <c r="U80" s="1"/>
      <c r="V80" s="3"/>
      <c r="W80" s="3"/>
      <c r="X80" s="3"/>
      <c r="Y80" s="3"/>
      <c r="Z80" s="3"/>
    </row>
    <row r="81">
      <c r="A81" s="83">
        <v>1.0</v>
      </c>
      <c r="B81" s="84" t="s">
        <v>38</v>
      </c>
      <c r="C81" s="93" t="s">
        <v>67</v>
      </c>
      <c r="D81" s="22">
        <v>12000.0</v>
      </c>
      <c r="E81" s="15">
        <f t="shared" si="21"/>
        <v>12000</v>
      </c>
      <c r="F81" s="15">
        <f t="shared" si="22"/>
        <v>13260</v>
      </c>
      <c r="G81" s="101"/>
      <c r="H81" s="101"/>
      <c r="I81" s="22">
        <v>8000.0</v>
      </c>
      <c r="J81" s="15">
        <f t="shared" si="23"/>
        <v>8000</v>
      </c>
      <c r="K81" s="15">
        <f t="shared" si="24"/>
        <v>5260</v>
      </c>
      <c r="L81" s="110">
        <f t="shared" si="25"/>
        <v>0.4383333333</v>
      </c>
      <c r="M81" s="1"/>
      <c r="N81" s="3"/>
      <c r="O81" s="2"/>
      <c r="P81" s="3"/>
      <c r="Q81" s="3"/>
      <c r="R81" s="2"/>
      <c r="S81" s="3"/>
      <c r="T81" s="3"/>
      <c r="U81" s="1"/>
      <c r="V81" s="3"/>
      <c r="W81" s="3"/>
      <c r="X81" s="3"/>
      <c r="Y81" s="3"/>
      <c r="Z81" s="3"/>
    </row>
    <row r="82">
      <c r="A82" s="83">
        <v>1.0</v>
      </c>
      <c r="B82" s="84" t="s">
        <v>18</v>
      </c>
      <c r="C82" s="85" t="s">
        <v>24</v>
      </c>
      <c r="D82" s="22">
        <v>30000.0</v>
      </c>
      <c r="E82" s="15">
        <f t="shared" si="21"/>
        <v>30000</v>
      </c>
      <c r="F82" s="15">
        <f t="shared" si="22"/>
        <v>33150</v>
      </c>
      <c r="G82" s="101"/>
      <c r="H82" s="101"/>
      <c r="I82" s="22">
        <v>20000.0</v>
      </c>
      <c r="J82" s="15">
        <f t="shared" si="23"/>
        <v>20000</v>
      </c>
      <c r="K82" s="15">
        <f t="shared" si="24"/>
        <v>13150</v>
      </c>
      <c r="L82" s="110">
        <f t="shared" si="25"/>
        <v>0.4383333333</v>
      </c>
      <c r="M82" s="1"/>
      <c r="N82" s="3"/>
      <c r="O82" s="2"/>
      <c r="P82" s="3"/>
      <c r="Q82" s="3"/>
      <c r="R82" s="2"/>
      <c r="S82" s="3"/>
      <c r="T82" s="3"/>
      <c r="U82" s="1"/>
      <c r="V82" s="3"/>
      <c r="W82" s="3"/>
      <c r="X82" s="3"/>
      <c r="Y82" s="3"/>
      <c r="Z82" s="3"/>
    </row>
    <row r="83">
      <c r="A83" s="83">
        <v>2.0</v>
      </c>
      <c r="B83" s="84" t="s">
        <v>18</v>
      </c>
      <c r="C83" s="85" t="s">
        <v>356</v>
      </c>
      <c r="D83" s="22">
        <v>23000.0</v>
      </c>
      <c r="E83" s="15">
        <f t="shared" si="21"/>
        <v>46000</v>
      </c>
      <c r="F83" s="15">
        <f t="shared" si="22"/>
        <v>50830</v>
      </c>
      <c r="G83" s="101"/>
      <c r="H83" s="113"/>
      <c r="I83" s="22">
        <v>20000.0</v>
      </c>
      <c r="J83" s="15">
        <f t="shared" si="23"/>
        <v>40000</v>
      </c>
      <c r="K83" s="15">
        <f t="shared" si="24"/>
        <v>10830</v>
      </c>
      <c r="L83" s="110">
        <f t="shared" si="25"/>
        <v>0.2354347826</v>
      </c>
      <c r="M83" s="1"/>
      <c r="N83" s="3"/>
      <c r="O83" s="2"/>
      <c r="P83" s="3"/>
      <c r="Q83" s="3"/>
      <c r="R83" s="2"/>
      <c r="S83" s="3"/>
      <c r="T83" s="3"/>
      <c r="U83" s="1"/>
      <c r="V83" s="3"/>
      <c r="W83" s="3"/>
      <c r="X83" s="3"/>
      <c r="Y83" s="3"/>
      <c r="Z83" s="3"/>
    </row>
    <row r="84">
      <c r="A84" s="83">
        <v>1.0</v>
      </c>
      <c r="B84" s="84" t="s">
        <v>18</v>
      </c>
      <c r="C84" s="85" t="s">
        <v>69</v>
      </c>
      <c r="D84" s="22">
        <v>25000.0</v>
      </c>
      <c r="E84" s="15">
        <f t="shared" si="21"/>
        <v>25000</v>
      </c>
      <c r="F84" s="15">
        <f t="shared" si="22"/>
        <v>27625</v>
      </c>
      <c r="G84" s="101"/>
      <c r="H84" s="101"/>
      <c r="I84" s="22">
        <v>20000.0</v>
      </c>
      <c r="J84" s="15">
        <f t="shared" si="23"/>
        <v>20000</v>
      </c>
      <c r="K84" s="15">
        <f t="shared" si="24"/>
        <v>7625</v>
      </c>
      <c r="L84" s="110">
        <f t="shared" si="25"/>
        <v>0.305</v>
      </c>
      <c r="M84" s="1"/>
      <c r="N84" s="3"/>
      <c r="O84" s="2"/>
      <c r="P84" s="3"/>
      <c r="Q84" s="3"/>
      <c r="R84" s="2"/>
      <c r="S84" s="3"/>
      <c r="T84" s="3"/>
      <c r="U84" s="1"/>
      <c r="V84" s="3"/>
      <c r="W84" s="3"/>
      <c r="X84" s="3"/>
      <c r="Y84" s="3"/>
      <c r="Z84" s="3"/>
    </row>
    <row r="85">
      <c r="A85" s="83">
        <v>1.0</v>
      </c>
      <c r="B85" s="84" t="s">
        <v>29</v>
      </c>
      <c r="C85" s="85" t="s">
        <v>78</v>
      </c>
      <c r="D85" s="22">
        <v>36000.0</v>
      </c>
      <c r="E85" s="15">
        <f t="shared" si="21"/>
        <v>36000</v>
      </c>
      <c r="F85" s="15">
        <f t="shared" si="22"/>
        <v>39780</v>
      </c>
      <c r="G85" s="101"/>
      <c r="H85" s="101"/>
      <c r="I85" s="22">
        <v>30000.0</v>
      </c>
      <c r="J85" s="15">
        <f t="shared" si="23"/>
        <v>30000</v>
      </c>
      <c r="K85" s="15">
        <f t="shared" si="24"/>
        <v>9780</v>
      </c>
      <c r="L85" s="110">
        <f t="shared" si="25"/>
        <v>0.2716666667</v>
      </c>
      <c r="M85" s="1"/>
      <c r="N85" s="3"/>
      <c r="O85" s="2"/>
      <c r="P85" s="3"/>
      <c r="Q85" s="3"/>
      <c r="R85" s="2"/>
      <c r="S85" s="3"/>
      <c r="T85" s="3"/>
      <c r="U85" s="1"/>
      <c r="V85" s="3"/>
      <c r="W85" s="3"/>
      <c r="X85" s="3"/>
      <c r="Y85" s="3"/>
      <c r="Z85" s="3"/>
    </row>
    <row r="86">
      <c r="A86" s="103"/>
      <c r="B86" s="101"/>
      <c r="C86" s="104"/>
      <c r="D86" s="101"/>
      <c r="E86" s="101"/>
      <c r="F86" s="101"/>
      <c r="G86" s="101"/>
      <c r="H86" s="101"/>
      <c r="I86" s="101"/>
      <c r="J86" s="101"/>
      <c r="K86" s="101"/>
      <c r="L86" s="105"/>
      <c r="M86" s="1"/>
      <c r="N86" s="3"/>
      <c r="O86" s="2"/>
      <c r="P86" s="3"/>
      <c r="Q86" s="3"/>
      <c r="R86" s="2"/>
      <c r="S86" s="3"/>
      <c r="T86" s="3"/>
      <c r="U86" s="1"/>
      <c r="V86" s="3"/>
      <c r="W86" s="3"/>
      <c r="X86" s="3"/>
      <c r="Y86" s="3"/>
      <c r="Z86" s="3"/>
    </row>
    <row r="87">
      <c r="A87" s="103"/>
      <c r="B87" s="101"/>
      <c r="C87" s="104"/>
      <c r="D87" s="101"/>
      <c r="E87" s="15">
        <f t="shared" ref="E87:F87" si="26">SUM(E77:E85)</f>
        <v>297000</v>
      </c>
      <c r="F87" s="15">
        <f t="shared" si="26"/>
        <v>328185</v>
      </c>
      <c r="G87" s="101"/>
      <c r="H87" s="101"/>
      <c r="I87" s="101"/>
      <c r="J87" s="101"/>
      <c r="K87" s="15">
        <f>SUM(K77:K85)</f>
        <v>101185</v>
      </c>
      <c r="L87" s="110">
        <f>IFERROR(K87/E87, 0)</f>
        <v>0.3406902357</v>
      </c>
      <c r="M87" s="1"/>
      <c r="N87" s="3"/>
      <c r="O87" s="2"/>
      <c r="P87" s="3"/>
      <c r="Q87" s="3"/>
      <c r="R87" s="2"/>
      <c r="S87" s="3"/>
      <c r="T87" s="3"/>
      <c r="U87" s="1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E89" s="86"/>
      <c r="F89" s="82"/>
      <c r="G89" s="6"/>
      <c r="H89" s="3"/>
      <c r="I89" s="8"/>
      <c r="J89" s="8"/>
      <c r="K89" s="8"/>
      <c r="L89" s="4"/>
      <c r="M89" s="2"/>
      <c r="N89" s="3"/>
      <c r="O89" s="2"/>
      <c r="P89" s="3"/>
      <c r="Q89" s="3"/>
      <c r="R89" s="2"/>
      <c r="S89" s="3"/>
      <c r="T89" s="3"/>
      <c r="U89" s="1"/>
      <c r="V89" s="3"/>
      <c r="W89" s="3"/>
      <c r="X89" s="3"/>
      <c r="Y89" s="3"/>
      <c r="Z89" s="3"/>
    </row>
    <row r="90">
      <c r="A90" s="5" t="s">
        <v>352</v>
      </c>
      <c r="E90" s="86" t="s">
        <v>62</v>
      </c>
      <c r="F90" s="82">
        <v>46078.0</v>
      </c>
      <c r="G90" s="86" t="s">
        <v>2</v>
      </c>
      <c r="H90" s="3"/>
      <c r="I90" s="8" t="s">
        <v>3</v>
      </c>
      <c r="L90" s="4"/>
      <c r="M90" s="2"/>
      <c r="N90" s="3"/>
      <c r="O90" s="2"/>
      <c r="P90" s="3"/>
      <c r="Q90" s="3"/>
      <c r="R90" s="2"/>
      <c r="S90" s="3"/>
      <c r="T90" s="3"/>
      <c r="U90" s="1"/>
      <c r="V90" s="3"/>
      <c r="W90" s="3"/>
      <c r="X90" s="3"/>
      <c r="Y90" s="3"/>
      <c r="Z90" s="3"/>
    </row>
    <row r="91">
      <c r="A91" s="1"/>
      <c r="B91" s="3"/>
      <c r="C91" s="9"/>
      <c r="D91" s="3"/>
      <c r="E91" s="3"/>
      <c r="F91" s="3"/>
      <c r="G91" s="3"/>
      <c r="H91" s="3"/>
      <c r="I91" s="3"/>
      <c r="J91" s="3"/>
      <c r="K91" s="3"/>
      <c r="L91" s="4"/>
      <c r="M91" s="1"/>
      <c r="N91" s="3"/>
      <c r="O91" s="2"/>
      <c r="P91" s="3"/>
      <c r="Q91" s="3"/>
      <c r="R91" s="2"/>
      <c r="S91" s="3"/>
      <c r="T91" s="3"/>
      <c r="U91" s="1"/>
      <c r="V91" s="3"/>
      <c r="W91" s="3"/>
      <c r="X91" s="3"/>
      <c r="Y91" s="3"/>
      <c r="Z91" s="3"/>
    </row>
    <row r="92">
      <c r="A92" s="5" t="s">
        <v>4</v>
      </c>
      <c r="B92" s="10" t="s">
        <v>5</v>
      </c>
      <c r="C92" s="96" t="s">
        <v>6</v>
      </c>
      <c r="D92" s="10" t="s">
        <v>7</v>
      </c>
      <c r="E92" s="10" t="s">
        <v>8</v>
      </c>
      <c r="F92" s="10" t="s">
        <v>9</v>
      </c>
      <c r="G92" s="101"/>
      <c r="H92" s="101"/>
      <c r="I92" s="10" t="s">
        <v>260</v>
      </c>
      <c r="J92" s="10" t="s">
        <v>8</v>
      </c>
      <c r="K92" s="10" t="s">
        <v>10</v>
      </c>
      <c r="L92" s="102"/>
      <c r="M92" s="1"/>
      <c r="N92" s="3"/>
      <c r="O92" s="2"/>
      <c r="P92" s="3"/>
      <c r="Q92" s="3"/>
      <c r="R92" s="2"/>
      <c r="S92" s="3"/>
      <c r="T92" s="3"/>
      <c r="U92" s="1"/>
      <c r="V92" s="3"/>
      <c r="W92" s="3"/>
      <c r="X92" s="3"/>
      <c r="Y92" s="3"/>
      <c r="Z92" s="3"/>
    </row>
    <row r="93">
      <c r="A93" s="83">
        <v>2.0</v>
      </c>
      <c r="B93" s="84" t="s">
        <v>18</v>
      </c>
      <c r="C93" s="85" t="s">
        <v>64</v>
      </c>
      <c r="D93" s="22">
        <v>32000.0</v>
      </c>
      <c r="E93" s="15">
        <f t="shared" ref="E93:E127" si="27">A93*D93</f>
        <v>64000</v>
      </c>
      <c r="F93" s="15">
        <f t="shared" ref="F93:F95" si="28">E93*1.105</f>
        <v>70720</v>
      </c>
      <c r="G93" s="101"/>
      <c r="H93" s="113" t="s">
        <v>13</v>
      </c>
      <c r="I93" s="22">
        <v>18000.0</v>
      </c>
      <c r="J93" s="15">
        <f t="shared" ref="J93:J127" si="29">I93*A93</f>
        <v>36000</v>
      </c>
      <c r="K93" s="15">
        <f t="shared" ref="K93:K127" si="30">F93-J93</f>
        <v>34720</v>
      </c>
      <c r="L93" s="110">
        <f t="shared" ref="L93:L127" si="31">IFERROR(K93/E93, 0)</f>
        <v>0.5425</v>
      </c>
      <c r="M93" s="1"/>
      <c r="N93" s="3"/>
      <c r="O93" s="2"/>
      <c r="P93" s="3"/>
      <c r="Q93" s="3"/>
      <c r="R93" s="2"/>
      <c r="S93" s="3"/>
      <c r="T93" s="3"/>
      <c r="U93" s="1"/>
      <c r="V93" s="3"/>
      <c r="W93" s="3"/>
      <c r="X93" s="3"/>
      <c r="Y93" s="3"/>
      <c r="Z93" s="3"/>
    </row>
    <row r="94">
      <c r="A94" s="83">
        <v>1.0</v>
      </c>
      <c r="B94" s="84" t="s">
        <v>18</v>
      </c>
      <c r="C94" s="85" t="s">
        <v>233</v>
      </c>
      <c r="D94" s="22">
        <v>14000.0</v>
      </c>
      <c r="E94" s="15">
        <f t="shared" si="27"/>
        <v>14000</v>
      </c>
      <c r="F94" s="15">
        <f t="shared" si="28"/>
        <v>15470</v>
      </c>
      <c r="G94" s="101"/>
      <c r="H94" s="101"/>
      <c r="I94" s="87">
        <v>10000.0</v>
      </c>
      <c r="J94" s="15">
        <f t="shared" si="29"/>
        <v>10000</v>
      </c>
      <c r="K94" s="15">
        <f t="shared" si="30"/>
        <v>5470</v>
      </c>
      <c r="L94" s="110">
        <f t="shared" si="31"/>
        <v>0.3907142857</v>
      </c>
      <c r="M94" s="1"/>
      <c r="N94" s="3"/>
      <c r="O94" s="2"/>
      <c r="P94" s="3"/>
      <c r="Q94" s="3"/>
      <c r="R94" s="2"/>
      <c r="S94" s="3"/>
      <c r="T94" s="3"/>
      <c r="U94" s="1"/>
      <c r="V94" s="3"/>
      <c r="W94" s="3"/>
      <c r="X94" s="3"/>
      <c r="Y94" s="3"/>
      <c r="Z94" s="3"/>
    </row>
    <row r="95">
      <c r="A95" s="83">
        <v>1.0</v>
      </c>
      <c r="B95" s="84" t="s">
        <v>18</v>
      </c>
      <c r="C95" s="85" t="s">
        <v>65</v>
      </c>
      <c r="D95" s="22">
        <v>8000.0</v>
      </c>
      <c r="E95" s="15">
        <f t="shared" si="27"/>
        <v>8000</v>
      </c>
      <c r="F95" s="15">
        <f t="shared" si="28"/>
        <v>8840</v>
      </c>
      <c r="G95" s="101"/>
      <c r="H95" s="101"/>
      <c r="I95" s="22">
        <v>5000.0</v>
      </c>
      <c r="J95" s="15">
        <f t="shared" si="29"/>
        <v>5000</v>
      </c>
      <c r="K95" s="15">
        <f t="shared" si="30"/>
        <v>3840</v>
      </c>
      <c r="L95" s="110">
        <f t="shared" si="31"/>
        <v>0.48</v>
      </c>
      <c r="M95" s="1"/>
      <c r="N95" s="3"/>
      <c r="O95" s="2"/>
      <c r="P95" s="3"/>
      <c r="Q95" s="3"/>
      <c r="R95" s="2"/>
      <c r="S95" s="3"/>
      <c r="T95" s="3"/>
      <c r="U95" s="1"/>
      <c r="V95" s="3"/>
      <c r="W95" s="3"/>
      <c r="X95" s="3"/>
      <c r="Y95" s="3"/>
      <c r="Z95" s="3"/>
    </row>
    <row r="96">
      <c r="A96" s="83">
        <v>0.5</v>
      </c>
      <c r="B96" s="84" t="s">
        <v>18</v>
      </c>
      <c r="C96" s="85" t="s">
        <v>277</v>
      </c>
      <c r="D96" s="22">
        <v>52000.0</v>
      </c>
      <c r="E96" s="15">
        <f t="shared" si="27"/>
        <v>26000</v>
      </c>
      <c r="F96" s="15">
        <f>E96*1.21</f>
        <v>31460</v>
      </c>
      <c r="G96" s="101"/>
      <c r="H96" s="101"/>
      <c r="I96" s="22">
        <v>48000.0</v>
      </c>
      <c r="J96" s="15">
        <f t="shared" si="29"/>
        <v>24000</v>
      </c>
      <c r="K96" s="15">
        <f t="shared" si="30"/>
        <v>7460</v>
      </c>
      <c r="L96" s="110">
        <f t="shared" si="31"/>
        <v>0.2869230769</v>
      </c>
      <c r="M96" s="1"/>
      <c r="N96" s="3"/>
      <c r="O96" s="2"/>
      <c r="P96" s="3"/>
      <c r="Q96" s="3"/>
      <c r="R96" s="2"/>
      <c r="S96" s="3"/>
      <c r="T96" s="3"/>
      <c r="U96" s="1"/>
      <c r="V96" s="3"/>
      <c r="W96" s="3"/>
      <c r="X96" s="3"/>
      <c r="Y96" s="3"/>
      <c r="Z96" s="3"/>
    </row>
    <row r="97">
      <c r="A97" s="83">
        <v>1.0</v>
      </c>
      <c r="B97" s="84" t="s">
        <v>18</v>
      </c>
      <c r="C97" s="85" t="s">
        <v>103</v>
      </c>
      <c r="D97" s="22">
        <v>13000.0</v>
      </c>
      <c r="E97" s="15">
        <f t="shared" si="27"/>
        <v>13000</v>
      </c>
      <c r="F97" s="15">
        <f t="shared" ref="F97:F127" si="32">E97*1.105</f>
        <v>14365</v>
      </c>
      <c r="G97" s="101"/>
      <c r="H97" s="101"/>
      <c r="I97" s="22">
        <v>8000.0</v>
      </c>
      <c r="J97" s="15">
        <f t="shared" si="29"/>
        <v>8000</v>
      </c>
      <c r="K97" s="15">
        <f t="shared" si="30"/>
        <v>6365</v>
      </c>
      <c r="L97" s="110">
        <f t="shared" si="31"/>
        <v>0.4896153846</v>
      </c>
      <c r="M97" s="1"/>
      <c r="N97" s="3"/>
      <c r="O97" s="2"/>
      <c r="P97" s="3"/>
      <c r="Q97" s="3"/>
      <c r="R97" s="2"/>
      <c r="S97" s="3"/>
      <c r="T97" s="3"/>
      <c r="U97" s="1"/>
      <c r="V97" s="3"/>
      <c r="W97" s="3"/>
      <c r="X97" s="3"/>
      <c r="Y97" s="3"/>
      <c r="Z97" s="3"/>
    </row>
    <row r="98">
      <c r="A98" s="83">
        <v>2.0</v>
      </c>
      <c r="B98" s="84" t="s">
        <v>50</v>
      </c>
      <c r="C98" s="85" t="s">
        <v>236</v>
      </c>
      <c r="D98" s="22">
        <v>5000.0</v>
      </c>
      <c r="E98" s="15">
        <f t="shared" si="27"/>
        <v>10000</v>
      </c>
      <c r="F98" s="15">
        <f t="shared" si="32"/>
        <v>11050</v>
      </c>
      <c r="G98" s="101"/>
      <c r="H98" s="101"/>
      <c r="I98" s="22">
        <v>3400.0</v>
      </c>
      <c r="J98" s="15">
        <f t="shared" si="29"/>
        <v>6800</v>
      </c>
      <c r="K98" s="15">
        <f t="shared" si="30"/>
        <v>4250</v>
      </c>
      <c r="L98" s="110">
        <f t="shared" si="31"/>
        <v>0.425</v>
      </c>
      <c r="M98" s="1"/>
      <c r="N98" s="3"/>
      <c r="O98" s="2"/>
      <c r="P98" s="3"/>
      <c r="Q98" s="3"/>
      <c r="R98" s="2"/>
      <c r="S98" s="3"/>
      <c r="T98" s="3"/>
      <c r="U98" s="1"/>
      <c r="V98" s="3"/>
      <c r="W98" s="3"/>
      <c r="X98" s="3"/>
      <c r="Y98" s="3"/>
      <c r="Z98" s="3"/>
    </row>
    <row r="99">
      <c r="A99" s="83">
        <v>1.0</v>
      </c>
      <c r="B99" s="84" t="s">
        <v>50</v>
      </c>
      <c r="C99" s="85" t="s">
        <v>171</v>
      </c>
      <c r="D99" s="22">
        <v>3000.0</v>
      </c>
      <c r="E99" s="15">
        <f t="shared" si="27"/>
        <v>3000</v>
      </c>
      <c r="F99" s="15">
        <f t="shared" si="32"/>
        <v>3315</v>
      </c>
      <c r="G99" s="101"/>
      <c r="H99" s="101"/>
      <c r="I99" s="22">
        <f>3500/6</f>
        <v>583.3333333</v>
      </c>
      <c r="J99" s="15">
        <f t="shared" si="29"/>
        <v>583.3333333</v>
      </c>
      <c r="K99" s="15">
        <f t="shared" si="30"/>
        <v>2731.666667</v>
      </c>
      <c r="L99" s="110">
        <f t="shared" si="31"/>
        <v>0.9105555556</v>
      </c>
      <c r="M99" s="1"/>
      <c r="N99" s="3"/>
      <c r="O99" s="2"/>
      <c r="P99" s="3"/>
      <c r="Q99" s="3"/>
      <c r="R99" s="2"/>
      <c r="S99" s="3"/>
      <c r="T99" s="3"/>
      <c r="U99" s="1"/>
      <c r="V99" s="3"/>
      <c r="W99" s="3"/>
      <c r="X99" s="3"/>
      <c r="Y99" s="3"/>
      <c r="Z99" s="3"/>
    </row>
    <row r="100">
      <c r="A100" s="83">
        <v>1.0</v>
      </c>
      <c r="B100" s="84" t="s">
        <v>50</v>
      </c>
      <c r="C100" s="85" t="s">
        <v>235</v>
      </c>
      <c r="D100" s="22">
        <v>3000.0</v>
      </c>
      <c r="E100" s="15">
        <f t="shared" si="27"/>
        <v>3000</v>
      </c>
      <c r="F100" s="15">
        <f t="shared" si="32"/>
        <v>3315</v>
      </c>
      <c r="G100" s="101"/>
      <c r="H100" s="101"/>
      <c r="I100" s="22">
        <v>1000.0</v>
      </c>
      <c r="J100" s="15">
        <f t="shared" si="29"/>
        <v>1000</v>
      </c>
      <c r="K100" s="15">
        <f t="shared" si="30"/>
        <v>2315</v>
      </c>
      <c r="L100" s="110">
        <f t="shared" si="31"/>
        <v>0.7716666667</v>
      </c>
      <c r="M100" s="1"/>
      <c r="N100" s="3"/>
      <c r="O100" s="2"/>
      <c r="P100" s="3"/>
      <c r="Q100" s="3"/>
      <c r="R100" s="2"/>
      <c r="S100" s="3"/>
      <c r="T100" s="3"/>
      <c r="U100" s="1"/>
      <c r="V100" s="3"/>
      <c r="W100" s="3"/>
      <c r="X100" s="3"/>
      <c r="Y100" s="3"/>
      <c r="Z100" s="3"/>
    </row>
    <row r="101">
      <c r="A101" s="83">
        <v>2.0</v>
      </c>
      <c r="B101" s="84" t="s">
        <v>5</v>
      </c>
      <c r="C101" s="85" t="s">
        <v>176</v>
      </c>
      <c r="D101" s="22">
        <v>900.0</v>
      </c>
      <c r="E101" s="15">
        <f t="shared" si="27"/>
        <v>1800</v>
      </c>
      <c r="F101" s="15">
        <f t="shared" si="32"/>
        <v>1989</v>
      </c>
      <c r="G101" s="101"/>
      <c r="H101" s="101"/>
      <c r="I101" s="22">
        <v>460.0</v>
      </c>
      <c r="J101" s="15">
        <f t="shared" si="29"/>
        <v>920</v>
      </c>
      <c r="K101" s="15">
        <f t="shared" si="30"/>
        <v>1069</v>
      </c>
      <c r="L101" s="110">
        <f t="shared" si="31"/>
        <v>0.5938888889</v>
      </c>
      <c r="M101" s="1"/>
      <c r="N101" s="3"/>
      <c r="O101" s="2"/>
      <c r="P101" s="3"/>
      <c r="Q101" s="3"/>
      <c r="R101" s="2"/>
      <c r="S101" s="3"/>
      <c r="T101" s="3"/>
      <c r="U101" s="1"/>
      <c r="V101" s="3"/>
      <c r="W101" s="3"/>
      <c r="X101" s="3"/>
      <c r="Y101" s="3"/>
      <c r="Z101" s="3"/>
    </row>
    <row r="102">
      <c r="A102" s="83">
        <v>1.0</v>
      </c>
      <c r="B102" s="84" t="s">
        <v>50</v>
      </c>
      <c r="C102" s="85" t="s">
        <v>104</v>
      </c>
      <c r="D102" s="22">
        <v>2500.0</v>
      </c>
      <c r="E102" s="15">
        <f t="shared" si="27"/>
        <v>2500</v>
      </c>
      <c r="F102" s="15">
        <f t="shared" si="32"/>
        <v>2762.5</v>
      </c>
      <c r="G102" s="101"/>
      <c r="H102" s="101"/>
      <c r="I102" s="22">
        <v>1000.0</v>
      </c>
      <c r="J102" s="15">
        <f t="shared" si="29"/>
        <v>1000</v>
      </c>
      <c r="K102" s="15">
        <f t="shared" si="30"/>
        <v>1762.5</v>
      </c>
      <c r="L102" s="110">
        <f t="shared" si="31"/>
        <v>0.705</v>
      </c>
      <c r="M102" s="1"/>
      <c r="N102" s="3"/>
      <c r="O102" s="2"/>
      <c r="P102" s="3"/>
      <c r="Q102" s="3"/>
      <c r="R102" s="2"/>
      <c r="S102" s="3"/>
      <c r="T102" s="3"/>
      <c r="U102" s="1"/>
      <c r="V102" s="3"/>
      <c r="W102" s="3"/>
      <c r="X102" s="3"/>
      <c r="Y102" s="3"/>
      <c r="Z102" s="3"/>
    </row>
    <row r="103">
      <c r="A103" s="83">
        <v>2.0</v>
      </c>
      <c r="B103" s="84" t="s">
        <v>33</v>
      </c>
      <c r="C103" s="85" t="s">
        <v>22</v>
      </c>
      <c r="D103" s="22">
        <v>1000.0</v>
      </c>
      <c r="E103" s="15">
        <f t="shared" si="27"/>
        <v>2000</v>
      </c>
      <c r="F103" s="15">
        <f t="shared" si="32"/>
        <v>2210</v>
      </c>
      <c r="G103" s="101"/>
      <c r="H103" s="101"/>
      <c r="I103" s="22">
        <f>10000/14</f>
        <v>714.2857143</v>
      </c>
      <c r="J103" s="15">
        <f t="shared" si="29"/>
        <v>1428.571429</v>
      </c>
      <c r="K103" s="15">
        <f t="shared" si="30"/>
        <v>781.4285714</v>
      </c>
      <c r="L103" s="110">
        <f t="shared" si="31"/>
        <v>0.3907142857</v>
      </c>
      <c r="M103" s="1"/>
      <c r="N103" s="3"/>
      <c r="O103" s="2"/>
      <c r="P103" s="3"/>
      <c r="Q103" s="3"/>
      <c r="R103" s="2"/>
      <c r="S103" s="3"/>
      <c r="T103" s="3"/>
      <c r="U103" s="1"/>
      <c r="V103" s="3"/>
      <c r="W103" s="3"/>
      <c r="X103" s="3"/>
      <c r="Y103" s="3"/>
      <c r="Z103" s="3"/>
    </row>
    <row r="104">
      <c r="A104" s="83">
        <v>1.0</v>
      </c>
      <c r="B104" s="84" t="s">
        <v>33</v>
      </c>
      <c r="C104" s="85" t="s">
        <v>23</v>
      </c>
      <c r="D104" s="22">
        <v>1400.0</v>
      </c>
      <c r="E104" s="15">
        <f t="shared" si="27"/>
        <v>1400</v>
      </c>
      <c r="F104" s="15">
        <f t="shared" si="32"/>
        <v>1547</v>
      </c>
      <c r="G104" s="101"/>
      <c r="H104" s="101"/>
      <c r="I104" s="22">
        <v>1000.0</v>
      </c>
      <c r="J104" s="15">
        <f t="shared" si="29"/>
        <v>1000</v>
      </c>
      <c r="K104" s="15">
        <f t="shared" si="30"/>
        <v>547</v>
      </c>
      <c r="L104" s="110">
        <f t="shared" si="31"/>
        <v>0.3907142857</v>
      </c>
      <c r="M104" s="1"/>
      <c r="N104" s="3"/>
      <c r="O104" s="2"/>
      <c r="P104" s="3"/>
      <c r="Q104" s="3"/>
      <c r="R104" s="2"/>
      <c r="S104" s="3"/>
      <c r="T104" s="3"/>
      <c r="U104" s="1"/>
      <c r="V104" s="3"/>
      <c r="W104" s="3"/>
      <c r="X104" s="3"/>
      <c r="Y104" s="3"/>
      <c r="Z104" s="3"/>
    </row>
    <row r="105">
      <c r="A105" s="83">
        <v>1.0</v>
      </c>
      <c r="B105" s="84" t="s">
        <v>5</v>
      </c>
      <c r="C105" s="85" t="s">
        <v>95</v>
      </c>
      <c r="D105" s="22">
        <v>2500.0</v>
      </c>
      <c r="E105" s="15">
        <f t="shared" si="27"/>
        <v>2500</v>
      </c>
      <c r="F105" s="15">
        <f t="shared" si="32"/>
        <v>2762.5</v>
      </c>
      <c r="G105" s="101"/>
      <c r="H105" s="101"/>
      <c r="I105" s="22">
        <f>16000/9</f>
        <v>1777.777778</v>
      </c>
      <c r="J105" s="15">
        <f t="shared" si="29"/>
        <v>1777.777778</v>
      </c>
      <c r="K105" s="15">
        <f t="shared" si="30"/>
        <v>984.7222222</v>
      </c>
      <c r="L105" s="110">
        <f t="shared" si="31"/>
        <v>0.3938888889</v>
      </c>
      <c r="M105" s="1"/>
      <c r="N105" s="3"/>
      <c r="O105" s="2"/>
      <c r="P105" s="3"/>
      <c r="Q105" s="3"/>
      <c r="R105" s="2"/>
      <c r="S105" s="3"/>
      <c r="T105" s="3"/>
      <c r="U105" s="1"/>
      <c r="V105" s="3"/>
      <c r="W105" s="3"/>
      <c r="X105" s="3"/>
      <c r="Y105" s="3"/>
      <c r="Z105" s="3"/>
    </row>
    <row r="106" ht="15.75" customHeight="1">
      <c r="A106" s="83">
        <v>2.0</v>
      </c>
      <c r="B106" s="84" t="s">
        <v>33</v>
      </c>
      <c r="C106" s="85" t="s">
        <v>192</v>
      </c>
      <c r="D106" s="22">
        <v>1000.0</v>
      </c>
      <c r="E106" s="15">
        <f t="shared" si="27"/>
        <v>2000</v>
      </c>
      <c r="F106" s="15">
        <f t="shared" si="32"/>
        <v>2210</v>
      </c>
      <c r="G106" s="101"/>
      <c r="H106" s="101"/>
      <c r="I106" s="22">
        <f>12000/16</f>
        <v>750</v>
      </c>
      <c r="J106" s="15">
        <f t="shared" si="29"/>
        <v>1500</v>
      </c>
      <c r="K106" s="15">
        <f t="shared" si="30"/>
        <v>710</v>
      </c>
      <c r="L106" s="110">
        <f t="shared" si="31"/>
        <v>0.355</v>
      </c>
      <c r="M106" s="1"/>
      <c r="N106" s="3"/>
      <c r="O106" s="2"/>
      <c r="P106" s="3"/>
      <c r="Q106" s="3"/>
      <c r="R106" s="2"/>
      <c r="S106" s="3"/>
      <c r="T106" s="3"/>
      <c r="U106" s="1"/>
      <c r="V106" s="3"/>
      <c r="W106" s="3"/>
      <c r="X106" s="3"/>
      <c r="Y106" s="3"/>
      <c r="Z106" s="3"/>
    </row>
    <row r="107" ht="15.75" customHeight="1">
      <c r="A107" s="91">
        <v>0.5</v>
      </c>
      <c r="B107" s="92" t="s">
        <v>33</v>
      </c>
      <c r="C107" s="93" t="s">
        <v>177</v>
      </c>
      <c r="D107" s="22">
        <v>1000.0</v>
      </c>
      <c r="E107" s="15">
        <f t="shared" si="27"/>
        <v>500</v>
      </c>
      <c r="F107" s="15">
        <f t="shared" si="32"/>
        <v>552.5</v>
      </c>
      <c r="G107" s="3"/>
      <c r="H107" s="3"/>
      <c r="I107" s="22">
        <v>0.0</v>
      </c>
      <c r="J107" s="15">
        <f t="shared" si="29"/>
        <v>0</v>
      </c>
      <c r="K107" s="15">
        <f t="shared" si="30"/>
        <v>552.5</v>
      </c>
      <c r="L107" s="116">
        <f t="shared" si="31"/>
        <v>1.105</v>
      </c>
      <c r="M107" s="1"/>
      <c r="N107" s="3"/>
      <c r="O107" s="2"/>
      <c r="P107" s="3"/>
      <c r="Q107" s="3"/>
      <c r="R107" s="2"/>
      <c r="S107" s="3"/>
      <c r="T107" s="3"/>
      <c r="U107" s="1"/>
      <c r="V107" s="3"/>
      <c r="W107" s="3"/>
      <c r="X107" s="3"/>
      <c r="Y107" s="3"/>
      <c r="Z107" s="3"/>
    </row>
    <row r="108" ht="15.75" customHeight="1">
      <c r="A108" s="91">
        <v>4.0</v>
      </c>
      <c r="B108" s="92" t="s">
        <v>5</v>
      </c>
      <c r="C108" s="93" t="s">
        <v>87</v>
      </c>
      <c r="D108" s="22">
        <v>1300.0</v>
      </c>
      <c r="E108" s="15">
        <f t="shared" si="27"/>
        <v>5200</v>
      </c>
      <c r="F108" s="15">
        <f t="shared" si="32"/>
        <v>5746</v>
      </c>
      <c r="G108" s="3"/>
      <c r="H108" s="3"/>
      <c r="I108" s="22">
        <f>65000/80</f>
        <v>812.5</v>
      </c>
      <c r="J108" s="15">
        <f t="shared" si="29"/>
        <v>3250</v>
      </c>
      <c r="K108" s="15">
        <f t="shared" si="30"/>
        <v>2496</v>
      </c>
      <c r="L108" s="116">
        <f t="shared" si="31"/>
        <v>0.48</v>
      </c>
      <c r="M108" s="1"/>
      <c r="N108" s="3"/>
      <c r="O108" s="2"/>
      <c r="P108" s="3"/>
      <c r="Q108" s="3"/>
      <c r="R108" s="2"/>
      <c r="S108" s="3"/>
      <c r="T108" s="3"/>
      <c r="U108" s="1"/>
      <c r="V108" s="3"/>
      <c r="W108" s="3"/>
      <c r="X108" s="3"/>
      <c r="Y108" s="3"/>
      <c r="Z108" s="3"/>
    </row>
    <row r="109" ht="15.75" customHeight="1">
      <c r="A109" s="91">
        <v>2.0</v>
      </c>
      <c r="B109" s="92" t="s">
        <v>33</v>
      </c>
      <c r="C109" s="93" t="s">
        <v>24</v>
      </c>
      <c r="D109" s="22">
        <v>4000.0</v>
      </c>
      <c r="E109" s="15">
        <f t="shared" si="27"/>
        <v>8000</v>
      </c>
      <c r="F109" s="15">
        <f t="shared" si="32"/>
        <v>8840</v>
      </c>
      <c r="G109" s="3"/>
      <c r="H109" s="3"/>
      <c r="I109" s="15">
        <f>20000/7</f>
        <v>2857.142857</v>
      </c>
      <c r="J109" s="15">
        <f t="shared" si="29"/>
        <v>5714.285714</v>
      </c>
      <c r="K109" s="15">
        <f t="shared" si="30"/>
        <v>3125.714286</v>
      </c>
      <c r="L109" s="116">
        <f t="shared" si="31"/>
        <v>0.3907142857</v>
      </c>
      <c r="M109" s="1"/>
      <c r="N109" s="3"/>
      <c r="O109" s="2"/>
      <c r="P109" s="3"/>
      <c r="Q109" s="3"/>
      <c r="R109" s="2"/>
      <c r="S109" s="3"/>
      <c r="T109" s="3"/>
      <c r="U109" s="1"/>
      <c r="V109" s="3"/>
      <c r="W109" s="3"/>
      <c r="X109" s="3"/>
      <c r="Y109" s="3"/>
      <c r="Z109" s="3"/>
    </row>
    <row r="110" ht="15.75" customHeight="1">
      <c r="A110" s="91">
        <v>2.0</v>
      </c>
      <c r="B110" s="92" t="s">
        <v>33</v>
      </c>
      <c r="C110" s="93" t="s">
        <v>25</v>
      </c>
      <c r="D110" s="22">
        <v>3100.0</v>
      </c>
      <c r="E110" s="15">
        <f t="shared" si="27"/>
        <v>6200</v>
      </c>
      <c r="F110" s="15">
        <f t="shared" si="32"/>
        <v>6851</v>
      </c>
      <c r="G110" s="3"/>
      <c r="H110" s="3"/>
      <c r="I110" s="15">
        <f>12000/7</f>
        <v>1714.285714</v>
      </c>
      <c r="J110" s="15">
        <f t="shared" si="29"/>
        <v>3428.571429</v>
      </c>
      <c r="K110" s="15">
        <f t="shared" si="30"/>
        <v>3422.428571</v>
      </c>
      <c r="L110" s="116">
        <f t="shared" si="31"/>
        <v>0.5520046083</v>
      </c>
      <c r="M110" s="1"/>
      <c r="N110" s="3"/>
      <c r="O110" s="2"/>
      <c r="P110" s="3"/>
      <c r="Q110" s="3"/>
      <c r="R110" s="2"/>
      <c r="S110" s="3"/>
      <c r="T110" s="3"/>
      <c r="U110" s="1"/>
      <c r="V110" s="3"/>
      <c r="W110" s="3"/>
      <c r="X110" s="3"/>
      <c r="Y110" s="3"/>
      <c r="Z110" s="3"/>
    </row>
    <row r="111" ht="15.75" customHeight="1">
      <c r="A111" s="91">
        <v>2.0</v>
      </c>
      <c r="B111" s="92" t="s">
        <v>33</v>
      </c>
      <c r="C111" s="93" t="s">
        <v>26</v>
      </c>
      <c r="D111" s="22">
        <v>4000.0</v>
      </c>
      <c r="E111" s="15">
        <f t="shared" si="27"/>
        <v>8000</v>
      </c>
      <c r="F111" s="15">
        <f t="shared" si="32"/>
        <v>8840</v>
      </c>
      <c r="G111" s="3"/>
      <c r="H111" s="3"/>
      <c r="I111" s="22">
        <f>22000/7</f>
        <v>3142.857143</v>
      </c>
      <c r="J111" s="15">
        <f t="shared" si="29"/>
        <v>6285.714286</v>
      </c>
      <c r="K111" s="15">
        <f t="shared" si="30"/>
        <v>2554.285714</v>
      </c>
      <c r="L111" s="116">
        <f t="shared" si="31"/>
        <v>0.3192857143</v>
      </c>
      <c r="M111" s="1"/>
      <c r="N111" s="3"/>
      <c r="O111" s="2"/>
      <c r="P111" s="3"/>
      <c r="Q111" s="3"/>
      <c r="R111" s="2"/>
      <c r="S111" s="3"/>
      <c r="T111" s="3"/>
      <c r="U111" s="1"/>
      <c r="V111" s="3"/>
      <c r="W111" s="3"/>
      <c r="X111" s="3"/>
      <c r="Y111" s="3"/>
      <c r="Z111" s="3"/>
    </row>
    <row r="112" ht="15.75" customHeight="1">
      <c r="A112" s="91">
        <v>5.0</v>
      </c>
      <c r="B112" s="92" t="s">
        <v>33</v>
      </c>
      <c r="C112" s="93" t="s">
        <v>67</v>
      </c>
      <c r="D112" s="22">
        <v>800.0</v>
      </c>
      <c r="E112" s="15">
        <f t="shared" si="27"/>
        <v>4000</v>
      </c>
      <c r="F112" s="15">
        <f t="shared" si="32"/>
        <v>4420</v>
      </c>
      <c r="G112" s="3"/>
      <c r="H112" s="3"/>
      <c r="I112" s="22">
        <f>8000/17</f>
        <v>470.5882353</v>
      </c>
      <c r="J112" s="15">
        <f t="shared" si="29"/>
        <v>2352.941176</v>
      </c>
      <c r="K112" s="15">
        <f t="shared" si="30"/>
        <v>2067.058824</v>
      </c>
      <c r="L112" s="116">
        <f t="shared" si="31"/>
        <v>0.5167647059</v>
      </c>
      <c r="M112" s="1"/>
      <c r="N112" s="3"/>
      <c r="O112" s="2"/>
      <c r="P112" s="3"/>
      <c r="Q112" s="3"/>
      <c r="R112" s="2"/>
      <c r="S112" s="3"/>
      <c r="T112" s="3"/>
      <c r="U112" s="1"/>
      <c r="V112" s="3"/>
      <c r="W112" s="3"/>
      <c r="X112" s="3"/>
      <c r="Y112" s="3"/>
      <c r="Z112" s="3"/>
    </row>
    <row r="113" ht="15.75" customHeight="1">
      <c r="A113" s="91">
        <v>5.0</v>
      </c>
      <c r="B113" s="92" t="s">
        <v>33</v>
      </c>
      <c r="C113" s="93" t="s">
        <v>174</v>
      </c>
      <c r="D113" s="22">
        <v>1600.0</v>
      </c>
      <c r="E113" s="15">
        <f t="shared" si="27"/>
        <v>8000</v>
      </c>
      <c r="F113" s="15">
        <f t="shared" si="32"/>
        <v>8840</v>
      </c>
      <c r="G113" s="3"/>
      <c r="H113" s="3"/>
      <c r="I113" s="22">
        <f>13000/17</f>
        <v>764.7058824</v>
      </c>
      <c r="J113" s="15">
        <f t="shared" si="29"/>
        <v>3823.529412</v>
      </c>
      <c r="K113" s="15">
        <f t="shared" si="30"/>
        <v>5016.470588</v>
      </c>
      <c r="L113" s="116">
        <f t="shared" si="31"/>
        <v>0.6270588235</v>
      </c>
      <c r="M113" s="1"/>
      <c r="N113" s="3"/>
      <c r="O113" s="2"/>
      <c r="P113" s="3"/>
      <c r="Q113" s="3"/>
      <c r="R113" s="2"/>
      <c r="S113" s="3"/>
      <c r="T113" s="3"/>
      <c r="U113" s="1"/>
      <c r="V113" s="3"/>
      <c r="W113" s="3"/>
      <c r="X113" s="3"/>
      <c r="Y113" s="3"/>
      <c r="Z113" s="3"/>
    </row>
    <row r="114">
      <c r="A114" s="91">
        <v>5.3</v>
      </c>
      <c r="B114" s="92" t="s">
        <v>33</v>
      </c>
      <c r="C114" s="93" t="s">
        <v>99</v>
      </c>
      <c r="D114" s="22">
        <v>1800.0</v>
      </c>
      <c r="E114" s="15">
        <f t="shared" si="27"/>
        <v>9540</v>
      </c>
      <c r="F114" s="15">
        <f t="shared" si="32"/>
        <v>10541.7</v>
      </c>
      <c r="G114" s="3"/>
      <c r="H114" s="3"/>
      <c r="I114" s="22">
        <v>1000.0</v>
      </c>
      <c r="J114" s="15">
        <f t="shared" si="29"/>
        <v>5300</v>
      </c>
      <c r="K114" s="15">
        <f t="shared" si="30"/>
        <v>5241.7</v>
      </c>
      <c r="L114" s="116">
        <f t="shared" si="31"/>
        <v>0.5494444444</v>
      </c>
      <c r="M114" s="1"/>
      <c r="N114" s="3"/>
      <c r="O114" s="2"/>
      <c r="P114" s="3"/>
      <c r="Q114" s="3"/>
      <c r="R114" s="2"/>
      <c r="S114" s="3"/>
      <c r="T114" s="3"/>
      <c r="U114" s="1"/>
      <c r="V114" s="3"/>
      <c r="W114" s="3"/>
      <c r="X114" s="3"/>
      <c r="Y114" s="3"/>
      <c r="Z114" s="3"/>
    </row>
    <row r="115">
      <c r="A115" s="91">
        <v>3.6</v>
      </c>
      <c r="B115" s="92" t="s">
        <v>33</v>
      </c>
      <c r="C115" s="93" t="s">
        <v>98</v>
      </c>
      <c r="D115" s="22">
        <v>1800.0</v>
      </c>
      <c r="E115" s="15">
        <f t="shared" si="27"/>
        <v>6480</v>
      </c>
      <c r="F115" s="15">
        <f t="shared" si="32"/>
        <v>7160.4</v>
      </c>
      <c r="G115" s="3"/>
      <c r="H115" s="3"/>
      <c r="I115" s="22">
        <v>1000.0</v>
      </c>
      <c r="J115" s="15">
        <f t="shared" si="29"/>
        <v>3600</v>
      </c>
      <c r="K115" s="15">
        <f t="shared" si="30"/>
        <v>3560.4</v>
      </c>
      <c r="L115" s="116">
        <f t="shared" si="31"/>
        <v>0.5494444444</v>
      </c>
      <c r="M115" s="1"/>
      <c r="N115" s="3"/>
      <c r="O115" s="2"/>
      <c r="P115" s="3"/>
      <c r="Q115" s="3"/>
      <c r="R115" s="2"/>
      <c r="S115" s="3"/>
      <c r="T115" s="3"/>
      <c r="U115" s="1"/>
      <c r="V115" s="3"/>
      <c r="W115" s="3"/>
      <c r="X115" s="3"/>
      <c r="Y115" s="3"/>
      <c r="Z115" s="3"/>
    </row>
    <row r="116">
      <c r="A116" s="91">
        <v>3.0</v>
      </c>
      <c r="B116" s="92" t="s">
        <v>38</v>
      </c>
      <c r="C116" s="93" t="s">
        <v>47</v>
      </c>
      <c r="D116" s="22">
        <v>13000.0</v>
      </c>
      <c r="E116" s="15">
        <f t="shared" si="27"/>
        <v>39000</v>
      </c>
      <c r="F116" s="15">
        <f t="shared" si="32"/>
        <v>43095</v>
      </c>
      <c r="G116" s="3"/>
      <c r="H116" s="3"/>
      <c r="I116" s="22">
        <v>8000.0</v>
      </c>
      <c r="J116" s="15">
        <f t="shared" si="29"/>
        <v>24000</v>
      </c>
      <c r="K116" s="15">
        <f t="shared" si="30"/>
        <v>19095</v>
      </c>
      <c r="L116" s="116">
        <f t="shared" si="31"/>
        <v>0.4896153846</v>
      </c>
      <c r="M116" s="1"/>
      <c r="N116" s="3"/>
      <c r="O116" s="2"/>
      <c r="P116" s="3"/>
      <c r="Q116" s="3"/>
      <c r="R116" s="2"/>
      <c r="S116" s="3"/>
      <c r="T116" s="3"/>
      <c r="U116" s="1"/>
      <c r="V116" s="3"/>
      <c r="W116" s="3"/>
      <c r="X116" s="3"/>
      <c r="Y116" s="3"/>
      <c r="Z116" s="3"/>
    </row>
    <row r="117">
      <c r="A117" s="91">
        <v>3.0</v>
      </c>
      <c r="B117" s="92" t="s">
        <v>38</v>
      </c>
      <c r="C117" s="93" t="s">
        <v>179</v>
      </c>
      <c r="D117" s="22">
        <v>21000.0</v>
      </c>
      <c r="E117" s="15">
        <f t="shared" si="27"/>
        <v>63000</v>
      </c>
      <c r="F117" s="15">
        <f t="shared" si="32"/>
        <v>69615</v>
      </c>
      <c r="G117" s="3"/>
      <c r="H117" s="3"/>
      <c r="I117" s="22">
        <v>18000.0</v>
      </c>
      <c r="J117" s="15">
        <f t="shared" si="29"/>
        <v>54000</v>
      </c>
      <c r="K117" s="15">
        <f t="shared" si="30"/>
        <v>15615</v>
      </c>
      <c r="L117" s="116">
        <f t="shared" si="31"/>
        <v>0.2478571429</v>
      </c>
      <c r="M117" s="1"/>
      <c r="N117" s="3"/>
      <c r="O117" s="2"/>
      <c r="P117" s="3"/>
      <c r="Q117" s="3"/>
      <c r="R117" s="2"/>
      <c r="S117" s="3"/>
      <c r="T117" s="3"/>
      <c r="U117" s="1"/>
      <c r="V117" s="3"/>
      <c r="W117" s="3"/>
      <c r="X117" s="3"/>
      <c r="Y117" s="3"/>
      <c r="Z117" s="3"/>
    </row>
    <row r="118">
      <c r="A118" s="91">
        <v>1.0</v>
      </c>
      <c r="B118" s="92" t="s">
        <v>38</v>
      </c>
      <c r="C118" s="93" t="s">
        <v>180</v>
      </c>
      <c r="D118" s="22">
        <v>16000.0</v>
      </c>
      <c r="E118" s="15">
        <f t="shared" si="27"/>
        <v>16000</v>
      </c>
      <c r="F118" s="15">
        <f t="shared" si="32"/>
        <v>17680</v>
      </c>
      <c r="G118" s="3"/>
      <c r="H118" s="3"/>
      <c r="I118" s="22">
        <v>11000.0</v>
      </c>
      <c r="J118" s="15">
        <f t="shared" si="29"/>
        <v>11000</v>
      </c>
      <c r="K118" s="15">
        <f t="shared" si="30"/>
        <v>6680</v>
      </c>
      <c r="L118" s="116">
        <f t="shared" si="31"/>
        <v>0.4175</v>
      </c>
      <c r="M118" s="1"/>
      <c r="N118" s="3"/>
      <c r="O118" s="2"/>
      <c r="P118" s="3"/>
      <c r="Q118" s="3"/>
      <c r="R118" s="2"/>
      <c r="S118" s="3"/>
      <c r="T118" s="3"/>
      <c r="U118" s="1"/>
      <c r="V118" s="3"/>
      <c r="W118" s="3"/>
      <c r="X118" s="3"/>
      <c r="Y118" s="3"/>
      <c r="Z118" s="3"/>
    </row>
    <row r="119">
      <c r="A119" s="91">
        <v>2.0</v>
      </c>
      <c r="B119" s="92" t="s">
        <v>38</v>
      </c>
      <c r="C119" s="93" t="s">
        <v>45</v>
      </c>
      <c r="D119" s="22">
        <v>13000.0</v>
      </c>
      <c r="E119" s="15">
        <f t="shared" si="27"/>
        <v>26000</v>
      </c>
      <c r="F119" s="15">
        <f t="shared" si="32"/>
        <v>28730</v>
      </c>
      <c r="G119" s="3"/>
      <c r="H119" s="3"/>
      <c r="I119" s="22">
        <v>8000.0</v>
      </c>
      <c r="J119" s="15">
        <f t="shared" si="29"/>
        <v>16000</v>
      </c>
      <c r="K119" s="15">
        <f t="shared" si="30"/>
        <v>12730</v>
      </c>
      <c r="L119" s="116">
        <f t="shared" si="31"/>
        <v>0.4896153846</v>
      </c>
      <c r="M119" s="1"/>
      <c r="N119" s="3"/>
      <c r="O119" s="2"/>
      <c r="P119" s="3"/>
      <c r="Q119" s="3"/>
      <c r="R119" s="2"/>
      <c r="S119" s="3"/>
      <c r="T119" s="3"/>
      <c r="U119" s="1"/>
      <c r="V119" s="3"/>
      <c r="W119" s="3"/>
      <c r="X119" s="3"/>
      <c r="Y119" s="3"/>
      <c r="Z119" s="3"/>
    </row>
    <row r="120">
      <c r="A120" s="83">
        <v>1.0</v>
      </c>
      <c r="B120" s="84" t="s">
        <v>18</v>
      </c>
      <c r="C120" s="85" t="s">
        <v>78</v>
      </c>
      <c r="D120" s="22">
        <v>55000.0</v>
      </c>
      <c r="E120" s="15">
        <f t="shared" si="27"/>
        <v>55000</v>
      </c>
      <c r="F120" s="15">
        <f t="shared" si="32"/>
        <v>60775</v>
      </c>
      <c r="G120" s="101"/>
      <c r="H120" s="101"/>
      <c r="I120" s="22">
        <v>35000.0</v>
      </c>
      <c r="J120" s="15">
        <f t="shared" si="29"/>
        <v>35000</v>
      </c>
      <c r="K120" s="15">
        <f t="shared" si="30"/>
        <v>25775</v>
      </c>
      <c r="L120" s="110">
        <f t="shared" si="31"/>
        <v>0.4686363636</v>
      </c>
      <c r="M120" s="1"/>
      <c r="N120" s="3"/>
      <c r="O120" s="2"/>
      <c r="P120" s="3"/>
      <c r="Q120" s="3"/>
      <c r="R120" s="2"/>
      <c r="S120" s="3"/>
      <c r="T120" s="3"/>
      <c r="U120" s="1"/>
      <c r="V120" s="3"/>
      <c r="W120" s="3"/>
      <c r="X120" s="3"/>
      <c r="Y120" s="3"/>
      <c r="Z120" s="3"/>
    </row>
    <row r="121">
      <c r="A121" s="83">
        <v>1.0</v>
      </c>
      <c r="B121" s="84" t="s">
        <v>18</v>
      </c>
      <c r="C121" s="85" t="s">
        <v>232</v>
      </c>
      <c r="D121" s="22">
        <v>62000.0</v>
      </c>
      <c r="E121" s="15">
        <f t="shared" si="27"/>
        <v>62000</v>
      </c>
      <c r="F121" s="15">
        <f t="shared" si="32"/>
        <v>68510</v>
      </c>
      <c r="G121" s="101"/>
      <c r="H121" s="101"/>
      <c r="I121" s="22">
        <v>48000.0</v>
      </c>
      <c r="J121" s="15">
        <f t="shared" si="29"/>
        <v>48000</v>
      </c>
      <c r="K121" s="15">
        <f t="shared" si="30"/>
        <v>20510</v>
      </c>
      <c r="L121" s="110">
        <f t="shared" si="31"/>
        <v>0.3308064516</v>
      </c>
      <c r="M121" s="1"/>
      <c r="N121" s="3"/>
      <c r="O121" s="2"/>
      <c r="P121" s="3"/>
      <c r="Q121" s="3"/>
      <c r="R121" s="2"/>
      <c r="S121" s="3"/>
      <c r="T121" s="3"/>
      <c r="U121" s="1"/>
      <c r="V121" s="3"/>
      <c r="W121" s="3"/>
      <c r="X121" s="3"/>
      <c r="Y121" s="3"/>
      <c r="Z121" s="3"/>
    </row>
    <row r="122">
      <c r="A122" s="83">
        <v>2.0</v>
      </c>
      <c r="B122" s="84" t="s">
        <v>18</v>
      </c>
      <c r="C122" s="85" t="s">
        <v>379</v>
      </c>
      <c r="D122" s="22">
        <v>24000.0</v>
      </c>
      <c r="E122" s="15">
        <f t="shared" si="27"/>
        <v>48000</v>
      </c>
      <c r="F122" s="15">
        <f t="shared" si="32"/>
        <v>53040</v>
      </c>
      <c r="G122" s="101"/>
      <c r="H122" s="101"/>
      <c r="I122" s="22">
        <v>20000.0</v>
      </c>
      <c r="J122" s="15">
        <f t="shared" si="29"/>
        <v>40000</v>
      </c>
      <c r="K122" s="15">
        <f t="shared" si="30"/>
        <v>13040</v>
      </c>
      <c r="L122" s="110">
        <f t="shared" si="31"/>
        <v>0.2716666667</v>
      </c>
      <c r="M122" s="1"/>
      <c r="N122" s="3"/>
      <c r="O122" s="2"/>
      <c r="P122" s="3"/>
      <c r="Q122" s="3"/>
      <c r="R122" s="2"/>
      <c r="S122" s="3"/>
      <c r="T122" s="3"/>
      <c r="U122" s="1"/>
      <c r="V122" s="3"/>
      <c r="W122" s="3"/>
      <c r="X122" s="3"/>
      <c r="Y122" s="3"/>
      <c r="Z122" s="3"/>
    </row>
    <row r="123">
      <c r="A123" s="83">
        <v>9.5</v>
      </c>
      <c r="B123" s="84" t="s">
        <v>33</v>
      </c>
      <c r="C123" s="85" t="s">
        <v>55</v>
      </c>
      <c r="D123" s="22">
        <v>2800.0</v>
      </c>
      <c r="E123" s="15">
        <f t="shared" si="27"/>
        <v>26600</v>
      </c>
      <c r="F123" s="15">
        <f t="shared" si="32"/>
        <v>29393</v>
      </c>
      <c r="G123" s="101"/>
      <c r="H123" s="101"/>
      <c r="I123" s="22">
        <f>35000/18</f>
        <v>1944.444444</v>
      </c>
      <c r="J123" s="15">
        <f t="shared" si="29"/>
        <v>18472.22222</v>
      </c>
      <c r="K123" s="15">
        <f t="shared" si="30"/>
        <v>10920.77778</v>
      </c>
      <c r="L123" s="110">
        <f t="shared" si="31"/>
        <v>0.4105555556</v>
      </c>
      <c r="M123" s="1"/>
      <c r="N123" s="3"/>
      <c r="O123" s="2"/>
      <c r="P123" s="3"/>
      <c r="Q123" s="3"/>
      <c r="R123" s="2"/>
      <c r="S123" s="3"/>
      <c r="T123" s="3"/>
      <c r="U123" s="1"/>
      <c r="V123" s="3"/>
      <c r="W123" s="3"/>
      <c r="X123" s="3"/>
      <c r="Y123" s="3"/>
      <c r="Z123" s="3"/>
    </row>
    <row r="124">
      <c r="A124" s="83">
        <v>1.0</v>
      </c>
      <c r="B124" s="84" t="s">
        <v>50</v>
      </c>
      <c r="C124" s="85" t="s">
        <v>16</v>
      </c>
      <c r="D124" s="22">
        <v>1000.0</v>
      </c>
      <c r="E124" s="15">
        <f t="shared" si="27"/>
        <v>1000</v>
      </c>
      <c r="F124" s="15">
        <f t="shared" si="32"/>
        <v>1105</v>
      </c>
      <c r="G124" s="101"/>
      <c r="H124" s="101"/>
      <c r="I124" s="22">
        <f>5000/12</f>
        <v>416.6666667</v>
      </c>
      <c r="J124" s="15">
        <f t="shared" si="29"/>
        <v>416.6666667</v>
      </c>
      <c r="K124" s="15">
        <f t="shared" si="30"/>
        <v>688.3333333</v>
      </c>
      <c r="L124" s="110">
        <f t="shared" si="31"/>
        <v>0.6883333333</v>
      </c>
      <c r="M124" s="1"/>
      <c r="N124" s="3"/>
      <c r="O124" s="2"/>
      <c r="P124" s="3"/>
      <c r="Q124" s="3"/>
      <c r="R124" s="2"/>
      <c r="S124" s="3"/>
      <c r="T124" s="3"/>
      <c r="U124" s="1"/>
      <c r="V124" s="3"/>
      <c r="W124" s="3"/>
      <c r="X124" s="3"/>
      <c r="Y124" s="3"/>
      <c r="Z124" s="3"/>
    </row>
    <row r="125">
      <c r="A125" s="83">
        <v>5.0</v>
      </c>
      <c r="B125" s="84" t="s">
        <v>33</v>
      </c>
      <c r="C125" s="85" t="s">
        <v>119</v>
      </c>
      <c r="D125" s="22">
        <v>3800.0</v>
      </c>
      <c r="E125" s="15">
        <f t="shared" si="27"/>
        <v>19000</v>
      </c>
      <c r="F125" s="15">
        <f t="shared" si="32"/>
        <v>20995</v>
      </c>
      <c r="G125" s="101"/>
      <c r="H125" s="101"/>
      <c r="I125" s="22">
        <v>3000.0</v>
      </c>
      <c r="J125" s="15">
        <f t="shared" si="29"/>
        <v>15000</v>
      </c>
      <c r="K125" s="15">
        <f t="shared" si="30"/>
        <v>5995</v>
      </c>
      <c r="L125" s="110">
        <f t="shared" si="31"/>
        <v>0.3155263158</v>
      </c>
      <c r="M125" s="1"/>
      <c r="N125" s="3"/>
      <c r="O125" s="2"/>
      <c r="P125" s="3"/>
      <c r="Q125" s="3"/>
      <c r="R125" s="2"/>
      <c r="S125" s="3"/>
      <c r="T125" s="3"/>
      <c r="U125" s="1"/>
      <c r="V125" s="3"/>
      <c r="W125" s="3"/>
      <c r="X125" s="3"/>
      <c r="Y125" s="3"/>
      <c r="Z125" s="3"/>
    </row>
    <row r="126">
      <c r="A126" s="83">
        <v>2.0</v>
      </c>
      <c r="B126" s="84" t="s">
        <v>50</v>
      </c>
      <c r="C126" s="85" t="s">
        <v>380</v>
      </c>
      <c r="D126" s="22">
        <v>2000.0</v>
      </c>
      <c r="E126" s="15">
        <f t="shared" si="27"/>
        <v>4000</v>
      </c>
      <c r="F126" s="15">
        <f t="shared" si="32"/>
        <v>4420</v>
      </c>
      <c r="G126" s="101"/>
      <c r="H126" s="101"/>
      <c r="I126" s="22">
        <v>1000.0</v>
      </c>
      <c r="J126" s="15">
        <f t="shared" si="29"/>
        <v>2000</v>
      </c>
      <c r="K126" s="15">
        <f t="shared" si="30"/>
        <v>2420</v>
      </c>
      <c r="L126" s="110">
        <f t="shared" si="31"/>
        <v>0.605</v>
      </c>
      <c r="M126" s="1"/>
      <c r="N126" s="3"/>
      <c r="O126" s="2"/>
      <c r="P126" s="3"/>
      <c r="Q126" s="3"/>
      <c r="R126" s="2"/>
      <c r="S126" s="3"/>
      <c r="T126" s="3"/>
      <c r="U126" s="1"/>
      <c r="V126" s="3"/>
      <c r="W126" s="3"/>
      <c r="X126" s="3"/>
      <c r="Y126" s="3"/>
      <c r="Z126" s="3"/>
    </row>
    <row r="127">
      <c r="A127" s="83">
        <v>3.0</v>
      </c>
      <c r="B127" s="84" t="s">
        <v>33</v>
      </c>
      <c r="C127" s="85" t="s">
        <v>56</v>
      </c>
      <c r="D127" s="22">
        <v>2200.0</v>
      </c>
      <c r="E127" s="15">
        <f t="shared" si="27"/>
        <v>6600</v>
      </c>
      <c r="F127" s="15">
        <f t="shared" si="32"/>
        <v>7293</v>
      </c>
      <c r="G127" s="101"/>
      <c r="H127" s="101"/>
      <c r="I127" s="22">
        <f>20000/9</f>
        <v>2222.222222</v>
      </c>
      <c r="J127" s="15">
        <f t="shared" si="29"/>
        <v>6666.666667</v>
      </c>
      <c r="K127" s="15">
        <f t="shared" si="30"/>
        <v>626.3333333</v>
      </c>
      <c r="L127" s="110">
        <f t="shared" si="31"/>
        <v>0.0948989899</v>
      </c>
      <c r="M127" s="1"/>
      <c r="N127" s="3"/>
      <c r="O127" s="2"/>
      <c r="P127" s="3"/>
      <c r="Q127" s="3"/>
      <c r="R127" s="2"/>
      <c r="S127" s="3"/>
      <c r="T127" s="3"/>
      <c r="U127" s="1"/>
      <c r="V127" s="3"/>
      <c r="W127" s="3"/>
      <c r="X127" s="3"/>
      <c r="Y127" s="3"/>
      <c r="Z127" s="3"/>
    </row>
    <row r="128">
      <c r="A128" s="123"/>
      <c r="B128" s="101"/>
      <c r="C128" s="104"/>
      <c r="D128" s="101"/>
      <c r="E128" s="101"/>
      <c r="F128" s="101"/>
      <c r="G128" s="101"/>
      <c r="H128" s="101"/>
      <c r="I128" s="101"/>
      <c r="J128" s="101"/>
      <c r="K128" s="101"/>
      <c r="L128" s="105"/>
      <c r="M128" s="1"/>
      <c r="N128" s="3"/>
      <c r="O128" s="2"/>
      <c r="P128" s="3"/>
      <c r="Q128" s="3"/>
      <c r="R128" s="2"/>
      <c r="S128" s="3"/>
      <c r="T128" s="3"/>
      <c r="U128" s="1"/>
      <c r="V128" s="3"/>
      <c r="W128" s="3"/>
      <c r="X128" s="3"/>
      <c r="Y128" s="3"/>
      <c r="Z128" s="3"/>
    </row>
    <row r="129">
      <c r="A129" s="103"/>
      <c r="B129" s="101"/>
      <c r="C129" s="104"/>
      <c r="D129" s="22"/>
      <c r="E129" s="15">
        <f t="shared" ref="E129:F129" si="33">SUM(E93:E127)</f>
        <v>575320</v>
      </c>
      <c r="F129" s="15">
        <f t="shared" si="33"/>
        <v>638458.6</v>
      </c>
      <c r="G129" s="101"/>
      <c r="H129" s="101"/>
      <c r="I129" s="101"/>
      <c r="J129" s="101"/>
      <c r="K129" s="15">
        <f>SUM(K93:K127)</f>
        <v>235138.3199</v>
      </c>
      <c r="L129" s="110">
        <f>IFERROR(K129/E129, 0)</f>
        <v>0.4087087532</v>
      </c>
      <c r="M129" s="1"/>
      <c r="N129" s="3"/>
      <c r="O129" s="2"/>
      <c r="P129" s="3"/>
      <c r="Q129" s="3"/>
      <c r="R129" s="2"/>
      <c r="S129" s="3"/>
      <c r="T129" s="3"/>
      <c r="U129" s="1"/>
      <c r="V129" s="3"/>
      <c r="W129" s="3"/>
      <c r="X129" s="3"/>
      <c r="Y129" s="3"/>
      <c r="Z129" s="3"/>
    </row>
    <row r="130">
      <c r="A130" s="83"/>
      <c r="B130" s="84"/>
      <c r="C130" s="85"/>
      <c r="D130" s="22"/>
      <c r="E130" s="15"/>
      <c r="F130" s="22"/>
      <c r="G130" s="101"/>
      <c r="H130" s="101"/>
      <c r="I130" s="22"/>
      <c r="J130" s="15"/>
      <c r="K130" s="15"/>
      <c r="L130" s="110"/>
      <c r="M130" s="1"/>
      <c r="N130" s="3"/>
      <c r="O130" s="2"/>
      <c r="P130" s="3"/>
      <c r="Q130" s="3"/>
      <c r="R130" s="2"/>
      <c r="S130" s="3"/>
      <c r="T130" s="3"/>
      <c r="U130" s="1"/>
      <c r="V130" s="3"/>
      <c r="W130" s="3"/>
      <c r="X130" s="3"/>
      <c r="Y130" s="3"/>
      <c r="Z130" s="3"/>
    </row>
    <row r="131">
      <c r="A131" s="83"/>
      <c r="B131" s="84"/>
      <c r="C131" s="85"/>
      <c r="D131" s="22"/>
      <c r="E131" s="15"/>
      <c r="F131" s="22"/>
      <c r="G131" s="101"/>
      <c r="H131" s="101"/>
      <c r="I131" s="22"/>
      <c r="J131" s="15"/>
      <c r="K131" s="15"/>
      <c r="L131" s="110"/>
      <c r="M131" s="1"/>
      <c r="N131" s="3"/>
      <c r="O131" s="2"/>
      <c r="P131" s="3"/>
      <c r="Q131" s="3"/>
      <c r="R131" s="2"/>
      <c r="S131" s="3"/>
      <c r="T131" s="3"/>
      <c r="U131" s="1"/>
      <c r="V131" s="3"/>
      <c r="W131" s="3"/>
      <c r="X131" s="3"/>
      <c r="Y131" s="3"/>
      <c r="Z131" s="3"/>
    </row>
    <row r="132">
      <c r="A132" s="83"/>
      <c r="B132" s="84"/>
      <c r="C132" s="85"/>
      <c r="D132" s="22"/>
      <c r="E132" s="15"/>
      <c r="F132" s="22"/>
      <c r="G132" s="101"/>
      <c r="H132" s="101"/>
      <c r="I132" s="22"/>
      <c r="J132" s="15"/>
      <c r="K132" s="15"/>
      <c r="L132" s="110"/>
      <c r="M132" s="1"/>
      <c r="N132" s="3"/>
      <c r="O132" s="2"/>
      <c r="P132" s="3"/>
      <c r="Q132" s="3"/>
      <c r="R132" s="2"/>
      <c r="S132" s="3"/>
      <c r="T132" s="3"/>
      <c r="U132" s="1"/>
      <c r="V132" s="3"/>
      <c r="W132" s="3"/>
      <c r="X132" s="3"/>
      <c r="Y132" s="3"/>
      <c r="Z132" s="3"/>
    </row>
    <row r="133">
      <c r="A133" s="5" t="s">
        <v>344</v>
      </c>
      <c r="D133" s="3"/>
      <c r="E133" s="86" t="s">
        <v>44</v>
      </c>
      <c r="F133" s="82">
        <v>46078.0</v>
      </c>
      <c r="G133" s="86" t="s">
        <v>2</v>
      </c>
      <c r="H133" s="3"/>
      <c r="I133" s="8" t="s">
        <v>3</v>
      </c>
      <c r="L133" s="4"/>
      <c r="M133" s="1"/>
      <c r="N133" s="3"/>
      <c r="O133" s="2"/>
      <c r="P133" s="3"/>
      <c r="Q133" s="3"/>
      <c r="R133" s="2"/>
      <c r="S133" s="3"/>
      <c r="T133" s="3"/>
      <c r="U133" s="1"/>
      <c r="V133" s="3"/>
      <c r="W133" s="3"/>
      <c r="X133" s="3"/>
      <c r="Y133" s="3"/>
      <c r="Z133" s="3"/>
    </row>
    <row r="134">
      <c r="A134" s="1"/>
      <c r="B134" s="3"/>
      <c r="C134" s="9"/>
      <c r="D134" s="3"/>
      <c r="E134" s="3"/>
      <c r="F134" s="3"/>
      <c r="G134" s="3"/>
      <c r="H134" s="3"/>
      <c r="I134" s="3"/>
      <c r="J134" s="3"/>
      <c r="K134" s="3"/>
      <c r="L134" s="4"/>
      <c r="M134" s="1"/>
      <c r="N134" s="3"/>
      <c r="O134" s="2"/>
      <c r="P134" s="3"/>
      <c r="Q134" s="3"/>
      <c r="R134" s="2"/>
      <c r="S134" s="3"/>
      <c r="T134" s="3"/>
      <c r="U134" s="1"/>
      <c r="V134" s="3"/>
      <c r="W134" s="3"/>
      <c r="X134" s="3"/>
      <c r="Y134" s="3"/>
      <c r="Z134" s="3"/>
    </row>
    <row r="135">
      <c r="A135" s="5" t="s">
        <v>4</v>
      </c>
      <c r="B135" s="10" t="s">
        <v>5</v>
      </c>
      <c r="C135" s="96" t="s">
        <v>6</v>
      </c>
      <c r="D135" s="10" t="s">
        <v>7</v>
      </c>
      <c r="E135" s="10" t="s">
        <v>8</v>
      </c>
      <c r="F135" s="10" t="s">
        <v>9</v>
      </c>
      <c r="G135" s="3"/>
      <c r="H135" s="3"/>
      <c r="I135" s="10" t="s">
        <v>260</v>
      </c>
      <c r="J135" s="10" t="s">
        <v>8</v>
      </c>
      <c r="K135" s="10" t="s">
        <v>10</v>
      </c>
      <c r="L135" s="4"/>
      <c r="M135" s="1"/>
      <c r="N135" s="3"/>
      <c r="O135" s="2"/>
      <c r="P135" s="3"/>
      <c r="Q135" s="3"/>
      <c r="R135" s="2"/>
      <c r="S135" s="3"/>
      <c r="T135" s="3"/>
      <c r="U135" s="1"/>
      <c r="V135" s="3"/>
      <c r="W135" s="3"/>
      <c r="X135" s="3"/>
      <c r="Y135" s="3"/>
      <c r="Z135" s="3"/>
    </row>
    <row r="136">
      <c r="A136" s="91">
        <v>10.0</v>
      </c>
      <c r="B136" s="92" t="s">
        <v>33</v>
      </c>
      <c r="C136" s="93" t="s">
        <v>64</v>
      </c>
      <c r="D136" s="22">
        <v>2300.0</v>
      </c>
      <c r="E136" s="15">
        <f t="shared" ref="E136:E162" si="34">A136*D136</f>
        <v>23000</v>
      </c>
      <c r="F136" s="15">
        <f t="shared" ref="F136:F156" si="35">E136*1.105</f>
        <v>25415</v>
      </c>
      <c r="G136" s="3"/>
      <c r="H136" s="3"/>
      <c r="I136" s="22">
        <f>18000/15</f>
        <v>1200</v>
      </c>
      <c r="J136" s="15">
        <f t="shared" ref="J136:J162" si="36">A136*I136</f>
        <v>12000</v>
      </c>
      <c r="K136" s="15">
        <f t="shared" ref="K136:K162" si="37">F136-J136</f>
        <v>13415</v>
      </c>
      <c r="L136" s="116">
        <f t="shared" ref="L136:L162" si="38">IFERROR(K136/E136, 0)</f>
        <v>0.5832608696</v>
      </c>
      <c r="M136" s="1"/>
      <c r="N136" s="3"/>
      <c r="O136" s="2"/>
      <c r="P136" s="3"/>
      <c r="Q136" s="3"/>
      <c r="R136" s="2"/>
      <c r="S136" s="3"/>
      <c r="T136" s="3"/>
      <c r="U136" s="1"/>
      <c r="V136" s="3"/>
      <c r="W136" s="3"/>
      <c r="X136" s="3"/>
      <c r="Y136" s="3"/>
      <c r="Z136" s="3"/>
    </row>
    <row r="137">
      <c r="A137" s="91">
        <v>3.8</v>
      </c>
      <c r="B137" s="92" t="s">
        <v>33</v>
      </c>
      <c r="C137" s="93" t="s">
        <v>99</v>
      </c>
      <c r="D137" s="22">
        <v>1800.0</v>
      </c>
      <c r="E137" s="15">
        <f t="shared" si="34"/>
        <v>6840</v>
      </c>
      <c r="F137" s="15">
        <f t="shared" si="35"/>
        <v>7558.2</v>
      </c>
      <c r="G137" s="3"/>
      <c r="H137" s="3"/>
      <c r="I137" s="22">
        <v>1000.0</v>
      </c>
      <c r="J137" s="15">
        <f t="shared" si="36"/>
        <v>3800</v>
      </c>
      <c r="K137" s="15">
        <f t="shared" si="37"/>
        <v>3758.2</v>
      </c>
      <c r="L137" s="116">
        <f t="shared" si="38"/>
        <v>0.5494444444</v>
      </c>
      <c r="M137" s="1"/>
      <c r="N137" s="3"/>
      <c r="O137" s="2"/>
      <c r="P137" s="3"/>
      <c r="Q137" s="3"/>
      <c r="R137" s="2"/>
      <c r="S137" s="3"/>
      <c r="T137" s="3"/>
      <c r="U137" s="1"/>
      <c r="V137" s="3"/>
      <c r="W137" s="3"/>
      <c r="X137" s="3"/>
      <c r="Y137" s="3"/>
      <c r="Z137" s="3"/>
    </row>
    <row r="138">
      <c r="A138" s="91">
        <v>2.0</v>
      </c>
      <c r="B138" s="92" t="s">
        <v>33</v>
      </c>
      <c r="C138" s="93" t="s">
        <v>174</v>
      </c>
      <c r="D138" s="22">
        <v>1600.0</v>
      </c>
      <c r="E138" s="15">
        <f t="shared" si="34"/>
        <v>3200</v>
      </c>
      <c r="F138" s="15">
        <f t="shared" si="35"/>
        <v>3536</v>
      </c>
      <c r="G138" s="3"/>
      <c r="H138" s="3"/>
      <c r="I138" s="22">
        <f>13000/17</f>
        <v>764.7058824</v>
      </c>
      <c r="J138" s="15">
        <f t="shared" si="36"/>
        <v>1529.411765</v>
      </c>
      <c r="K138" s="15">
        <f t="shared" si="37"/>
        <v>2006.588235</v>
      </c>
      <c r="L138" s="116">
        <f t="shared" si="38"/>
        <v>0.6270588235</v>
      </c>
      <c r="M138" s="1"/>
      <c r="N138" s="3"/>
      <c r="O138" s="2"/>
      <c r="P138" s="3"/>
      <c r="Q138" s="3"/>
      <c r="R138" s="2"/>
      <c r="S138" s="3"/>
      <c r="T138" s="3"/>
      <c r="U138" s="1"/>
      <c r="V138" s="3"/>
      <c r="W138" s="3"/>
      <c r="X138" s="3"/>
      <c r="Y138" s="3"/>
      <c r="Z138" s="3"/>
    </row>
    <row r="139">
      <c r="A139" s="91">
        <v>2.0</v>
      </c>
      <c r="B139" s="92" t="s">
        <v>33</v>
      </c>
      <c r="C139" s="93" t="s">
        <v>67</v>
      </c>
      <c r="D139" s="22">
        <v>800.0</v>
      </c>
      <c r="E139" s="15">
        <f t="shared" si="34"/>
        <v>1600</v>
      </c>
      <c r="F139" s="15">
        <f t="shared" si="35"/>
        <v>1768</v>
      </c>
      <c r="G139" s="3"/>
      <c r="H139" s="3"/>
      <c r="I139" s="22">
        <f>8000/17</f>
        <v>470.5882353</v>
      </c>
      <c r="J139" s="15">
        <f t="shared" si="36"/>
        <v>941.1764706</v>
      </c>
      <c r="K139" s="15">
        <f t="shared" si="37"/>
        <v>826.8235294</v>
      </c>
      <c r="L139" s="116">
        <f t="shared" si="38"/>
        <v>0.5167647059</v>
      </c>
      <c r="M139" s="1"/>
      <c r="N139" s="3"/>
      <c r="O139" s="2"/>
      <c r="P139" s="3"/>
      <c r="Q139" s="3"/>
      <c r="R139" s="2"/>
      <c r="S139" s="3"/>
      <c r="T139" s="3"/>
      <c r="U139" s="1"/>
      <c r="V139" s="3"/>
      <c r="W139" s="3"/>
      <c r="X139" s="3"/>
      <c r="Y139" s="3"/>
      <c r="Z139" s="3"/>
    </row>
    <row r="140">
      <c r="A140" s="91">
        <v>1.2</v>
      </c>
      <c r="B140" s="92" t="s">
        <v>33</v>
      </c>
      <c r="C140" s="93" t="s">
        <v>22</v>
      </c>
      <c r="D140" s="22">
        <v>1000.0</v>
      </c>
      <c r="E140" s="15">
        <f t="shared" si="34"/>
        <v>1200</v>
      </c>
      <c r="F140" s="15">
        <f t="shared" si="35"/>
        <v>1326</v>
      </c>
      <c r="G140" s="3"/>
      <c r="H140" s="3"/>
      <c r="I140" s="15">
        <f>10000/14</f>
        <v>714.2857143</v>
      </c>
      <c r="J140" s="15">
        <f t="shared" si="36"/>
        <v>857.1428571</v>
      </c>
      <c r="K140" s="15">
        <f t="shared" si="37"/>
        <v>468.8571429</v>
      </c>
      <c r="L140" s="116">
        <f t="shared" si="38"/>
        <v>0.3907142857</v>
      </c>
      <c r="M140" s="1"/>
      <c r="N140" s="3"/>
      <c r="O140" s="2"/>
      <c r="P140" s="3"/>
      <c r="Q140" s="3"/>
      <c r="R140" s="2"/>
      <c r="S140" s="3"/>
      <c r="T140" s="3"/>
      <c r="U140" s="1"/>
      <c r="V140" s="3"/>
      <c r="W140" s="3"/>
      <c r="X140" s="3"/>
      <c r="Y140" s="3"/>
      <c r="Z140" s="3"/>
    </row>
    <row r="141">
      <c r="A141" s="91">
        <v>1.0</v>
      </c>
      <c r="B141" s="92" t="s">
        <v>33</v>
      </c>
      <c r="C141" s="93" t="s">
        <v>23</v>
      </c>
      <c r="D141" s="22">
        <v>1400.0</v>
      </c>
      <c r="E141" s="15">
        <f t="shared" si="34"/>
        <v>1400</v>
      </c>
      <c r="F141" s="15">
        <f t="shared" si="35"/>
        <v>1547</v>
      </c>
      <c r="G141" s="3"/>
      <c r="H141" s="3"/>
      <c r="I141" s="22">
        <v>1000.0</v>
      </c>
      <c r="J141" s="15">
        <f t="shared" si="36"/>
        <v>1000</v>
      </c>
      <c r="K141" s="15">
        <f t="shared" si="37"/>
        <v>547</v>
      </c>
      <c r="L141" s="116">
        <f t="shared" si="38"/>
        <v>0.3907142857</v>
      </c>
      <c r="M141" s="1"/>
      <c r="N141" s="3"/>
      <c r="O141" s="2"/>
      <c r="P141" s="3"/>
      <c r="Q141" s="3"/>
      <c r="R141" s="2"/>
      <c r="S141" s="3"/>
      <c r="T141" s="3"/>
      <c r="U141" s="1"/>
      <c r="V141" s="3"/>
      <c r="W141" s="3"/>
      <c r="X141" s="3"/>
      <c r="Y141" s="3"/>
      <c r="Z141" s="3"/>
    </row>
    <row r="142">
      <c r="A142" s="91">
        <v>1.0</v>
      </c>
      <c r="B142" s="92" t="s">
        <v>50</v>
      </c>
      <c r="C142" s="93" t="s">
        <v>308</v>
      </c>
      <c r="D142" s="22">
        <v>2000.0</v>
      </c>
      <c r="E142" s="15">
        <f t="shared" si="34"/>
        <v>2000</v>
      </c>
      <c r="F142" s="15">
        <f t="shared" si="35"/>
        <v>2210</v>
      </c>
      <c r="G142" s="3"/>
      <c r="H142" s="3"/>
      <c r="I142" s="22">
        <v>1000.0</v>
      </c>
      <c r="J142" s="15">
        <f t="shared" si="36"/>
        <v>1000</v>
      </c>
      <c r="K142" s="15">
        <f t="shared" si="37"/>
        <v>1210</v>
      </c>
      <c r="L142" s="116">
        <f t="shared" si="38"/>
        <v>0.605</v>
      </c>
      <c r="M142" s="1"/>
      <c r="N142" s="3"/>
      <c r="O142" s="2"/>
      <c r="P142" s="3"/>
      <c r="Q142" s="3"/>
      <c r="R142" s="2"/>
      <c r="S142" s="3"/>
      <c r="T142" s="3"/>
      <c r="U142" s="1"/>
      <c r="V142" s="3"/>
      <c r="W142" s="3"/>
      <c r="X142" s="3"/>
      <c r="Y142" s="3"/>
      <c r="Z142" s="3"/>
    </row>
    <row r="143" ht="15.75" customHeight="1">
      <c r="A143" s="91">
        <v>3.0</v>
      </c>
      <c r="B143" s="92" t="s">
        <v>33</v>
      </c>
      <c r="C143" s="93" t="s">
        <v>233</v>
      </c>
      <c r="D143" s="22">
        <v>2800.0</v>
      </c>
      <c r="E143" s="15">
        <f t="shared" si="34"/>
        <v>8400</v>
      </c>
      <c r="F143" s="15">
        <f t="shared" si="35"/>
        <v>9282</v>
      </c>
      <c r="G143" s="3"/>
      <c r="H143" s="3"/>
      <c r="I143" s="22">
        <f>10000/4</f>
        <v>2500</v>
      </c>
      <c r="J143" s="15">
        <f t="shared" si="36"/>
        <v>7500</v>
      </c>
      <c r="K143" s="15">
        <f t="shared" si="37"/>
        <v>1782</v>
      </c>
      <c r="L143" s="116">
        <f t="shared" si="38"/>
        <v>0.2121428571</v>
      </c>
      <c r="M143" s="1"/>
      <c r="N143" s="3"/>
      <c r="O143" s="2"/>
      <c r="P143" s="3"/>
      <c r="Q143" s="3"/>
      <c r="R143" s="2"/>
      <c r="S143" s="3"/>
      <c r="T143" s="3"/>
      <c r="U143" s="1"/>
      <c r="V143" s="3"/>
      <c r="W143" s="3"/>
      <c r="X143" s="3"/>
      <c r="Y143" s="3"/>
      <c r="Z143" s="3"/>
    </row>
    <row r="144">
      <c r="A144" s="91">
        <v>12.0</v>
      </c>
      <c r="B144" s="92" t="s">
        <v>50</v>
      </c>
      <c r="C144" s="93" t="s">
        <v>65</v>
      </c>
      <c r="D144" s="22">
        <v>500.0</v>
      </c>
      <c r="E144" s="15">
        <f t="shared" si="34"/>
        <v>6000</v>
      </c>
      <c r="F144" s="15">
        <f t="shared" si="35"/>
        <v>6630</v>
      </c>
      <c r="G144" s="3"/>
      <c r="H144" s="3"/>
      <c r="I144" s="22">
        <f>5000/24</f>
        <v>208.3333333</v>
      </c>
      <c r="J144" s="15">
        <f t="shared" si="36"/>
        <v>2500</v>
      </c>
      <c r="K144" s="15">
        <f t="shared" si="37"/>
        <v>4130</v>
      </c>
      <c r="L144" s="116">
        <f t="shared" si="38"/>
        <v>0.6883333333</v>
      </c>
      <c r="M144" s="1"/>
      <c r="N144" s="3"/>
      <c r="O144" s="2"/>
      <c r="P144" s="3"/>
      <c r="Q144" s="3"/>
      <c r="R144" s="2"/>
      <c r="S144" s="3"/>
      <c r="T144" s="3"/>
      <c r="U144" s="1"/>
      <c r="V144" s="3"/>
      <c r="W144" s="3"/>
      <c r="X144" s="3"/>
      <c r="Y144" s="3"/>
      <c r="Z144" s="3"/>
    </row>
    <row r="145" ht="15.75" customHeight="1">
      <c r="A145" s="91">
        <v>10.0</v>
      </c>
      <c r="B145" s="92" t="s">
        <v>50</v>
      </c>
      <c r="C145" s="93" t="s">
        <v>103</v>
      </c>
      <c r="D145" s="22">
        <v>1600.0</v>
      </c>
      <c r="E145" s="15">
        <f t="shared" si="34"/>
        <v>16000</v>
      </c>
      <c r="F145" s="15">
        <f t="shared" si="35"/>
        <v>17680</v>
      </c>
      <c r="G145" s="3"/>
      <c r="H145" s="3"/>
      <c r="I145" s="22">
        <v>1000.0</v>
      </c>
      <c r="J145" s="15">
        <f t="shared" si="36"/>
        <v>10000</v>
      </c>
      <c r="K145" s="15">
        <f t="shared" si="37"/>
        <v>7680</v>
      </c>
      <c r="L145" s="116">
        <f t="shared" si="38"/>
        <v>0.48</v>
      </c>
      <c r="M145" s="1"/>
      <c r="N145" s="3"/>
      <c r="O145" s="2"/>
      <c r="P145" s="3"/>
      <c r="Q145" s="3"/>
      <c r="R145" s="2"/>
      <c r="S145" s="3"/>
      <c r="T145" s="3"/>
      <c r="U145" s="1"/>
      <c r="V145" s="3"/>
      <c r="W145" s="3"/>
      <c r="X145" s="3"/>
      <c r="Y145" s="3"/>
      <c r="Z145" s="3"/>
    </row>
    <row r="146" ht="15.75" customHeight="1">
      <c r="A146" s="91">
        <v>1.0</v>
      </c>
      <c r="B146" s="92" t="s">
        <v>33</v>
      </c>
      <c r="C146" s="93" t="s">
        <v>24</v>
      </c>
      <c r="D146" s="22">
        <v>4000.0</v>
      </c>
      <c r="E146" s="15">
        <f t="shared" si="34"/>
        <v>4000</v>
      </c>
      <c r="F146" s="15">
        <f t="shared" si="35"/>
        <v>4420</v>
      </c>
      <c r="G146" s="3"/>
      <c r="H146" s="3"/>
      <c r="I146" s="22">
        <f>20000/7</f>
        <v>2857.142857</v>
      </c>
      <c r="J146" s="15">
        <f t="shared" si="36"/>
        <v>2857.142857</v>
      </c>
      <c r="K146" s="15">
        <f t="shared" si="37"/>
        <v>1562.857143</v>
      </c>
      <c r="L146" s="116">
        <f t="shared" si="38"/>
        <v>0.3907142857</v>
      </c>
      <c r="M146" s="1"/>
      <c r="N146" s="3"/>
      <c r="O146" s="2"/>
      <c r="P146" s="3"/>
      <c r="Q146" s="3"/>
      <c r="R146" s="2"/>
      <c r="S146" s="3"/>
      <c r="T146" s="3"/>
      <c r="U146" s="1"/>
      <c r="V146" s="3"/>
      <c r="W146" s="3"/>
      <c r="X146" s="3"/>
      <c r="Y146" s="3"/>
      <c r="Z146" s="3"/>
    </row>
    <row r="147">
      <c r="A147" s="91">
        <v>2.0</v>
      </c>
      <c r="B147" s="92" t="s">
        <v>5</v>
      </c>
      <c r="C147" s="93" t="s">
        <v>95</v>
      </c>
      <c r="D147" s="22">
        <v>2500.0</v>
      </c>
      <c r="E147" s="15">
        <f t="shared" si="34"/>
        <v>5000</v>
      </c>
      <c r="F147" s="15">
        <f t="shared" si="35"/>
        <v>5525</v>
      </c>
      <c r="G147" s="3"/>
      <c r="H147" s="3"/>
      <c r="I147" s="22">
        <f>16000/9</f>
        <v>1777.777778</v>
      </c>
      <c r="J147" s="15">
        <f t="shared" si="36"/>
        <v>3555.555556</v>
      </c>
      <c r="K147" s="15">
        <f t="shared" si="37"/>
        <v>1969.444444</v>
      </c>
      <c r="L147" s="116">
        <f t="shared" si="38"/>
        <v>0.3938888889</v>
      </c>
      <c r="M147" s="1"/>
      <c r="N147" s="3"/>
      <c r="O147" s="2"/>
      <c r="P147" s="3"/>
      <c r="Q147" s="3"/>
      <c r="R147" s="2"/>
      <c r="S147" s="3"/>
      <c r="T147" s="3"/>
      <c r="U147" s="1"/>
      <c r="V147" s="3"/>
      <c r="W147" s="3"/>
      <c r="X147" s="3"/>
      <c r="Y147" s="3"/>
      <c r="Z147" s="3"/>
    </row>
    <row r="148">
      <c r="A148" s="91">
        <v>1.0</v>
      </c>
      <c r="B148" s="92" t="s">
        <v>5</v>
      </c>
      <c r="C148" s="93" t="s">
        <v>104</v>
      </c>
      <c r="D148" s="22">
        <v>2500.0</v>
      </c>
      <c r="E148" s="15">
        <f t="shared" si="34"/>
        <v>2500</v>
      </c>
      <c r="F148" s="15">
        <f t="shared" si="35"/>
        <v>2762.5</v>
      </c>
      <c r="G148" s="3"/>
      <c r="H148" s="3"/>
      <c r="I148" s="22">
        <v>1000.0</v>
      </c>
      <c r="J148" s="15">
        <f t="shared" si="36"/>
        <v>1000</v>
      </c>
      <c r="K148" s="15">
        <f t="shared" si="37"/>
        <v>1762.5</v>
      </c>
      <c r="L148" s="116">
        <f t="shared" si="38"/>
        <v>0.705</v>
      </c>
      <c r="M148" s="1"/>
      <c r="N148" s="3"/>
      <c r="O148" s="2"/>
      <c r="P148" s="3"/>
      <c r="Q148" s="3"/>
      <c r="R148" s="2"/>
      <c r="S148" s="3"/>
      <c r="T148" s="3"/>
      <c r="U148" s="1"/>
      <c r="V148" s="3"/>
      <c r="W148" s="3"/>
      <c r="X148" s="3"/>
      <c r="Y148" s="3"/>
      <c r="Z148" s="3"/>
    </row>
    <row r="149" ht="15.75" customHeight="1">
      <c r="A149" s="91">
        <v>1.0</v>
      </c>
      <c r="B149" s="92" t="s">
        <v>50</v>
      </c>
      <c r="C149" s="93" t="s">
        <v>68</v>
      </c>
      <c r="D149" s="22">
        <v>4000.0</v>
      </c>
      <c r="E149" s="15">
        <f t="shared" si="34"/>
        <v>4000</v>
      </c>
      <c r="F149" s="15">
        <f t="shared" si="35"/>
        <v>4420</v>
      </c>
      <c r="G149" s="3"/>
      <c r="H149" s="3"/>
      <c r="I149" s="22">
        <v>2000.0</v>
      </c>
      <c r="J149" s="15">
        <f t="shared" si="36"/>
        <v>2000</v>
      </c>
      <c r="K149" s="15">
        <f t="shared" si="37"/>
        <v>2420</v>
      </c>
      <c r="L149" s="116">
        <f t="shared" si="38"/>
        <v>0.605</v>
      </c>
      <c r="M149" s="1"/>
      <c r="N149" s="3"/>
      <c r="O149" s="2"/>
      <c r="P149" s="3"/>
      <c r="Q149" s="3"/>
      <c r="R149" s="2"/>
      <c r="S149" s="3"/>
      <c r="T149" s="3"/>
      <c r="U149" s="1"/>
      <c r="V149" s="3"/>
      <c r="W149" s="3"/>
      <c r="X149" s="3"/>
      <c r="Y149" s="3"/>
      <c r="Z149" s="3"/>
    </row>
    <row r="150" ht="15.75" customHeight="1">
      <c r="A150" s="91">
        <v>1.0</v>
      </c>
      <c r="B150" s="92" t="s">
        <v>50</v>
      </c>
      <c r="C150" s="93" t="s">
        <v>171</v>
      </c>
      <c r="D150" s="22">
        <v>3000.0</v>
      </c>
      <c r="E150" s="15">
        <f t="shared" si="34"/>
        <v>3000</v>
      </c>
      <c r="F150" s="15">
        <f t="shared" si="35"/>
        <v>3315</v>
      </c>
      <c r="G150" s="3"/>
      <c r="H150" s="3"/>
      <c r="I150" s="22">
        <f>3500/6</f>
        <v>583.3333333</v>
      </c>
      <c r="J150" s="15">
        <f t="shared" si="36"/>
        <v>583.3333333</v>
      </c>
      <c r="K150" s="15">
        <f t="shared" si="37"/>
        <v>2731.666667</v>
      </c>
      <c r="L150" s="116">
        <f t="shared" si="38"/>
        <v>0.9105555556</v>
      </c>
      <c r="M150" s="1"/>
      <c r="N150" s="3"/>
      <c r="O150" s="2"/>
      <c r="P150" s="3"/>
      <c r="Q150" s="3"/>
      <c r="R150" s="2"/>
      <c r="S150" s="3"/>
      <c r="T150" s="3"/>
      <c r="U150" s="1"/>
      <c r="V150" s="3"/>
      <c r="W150" s="3"/>
      <c r="X150" s="3"/>
      <c r="Y150" s="3"/>
      <c r="Z150" s="3"/>
    </row>
    <row r="151" ht="15.75" customHeight="1">
      <c r="A151" s="91">
        <v>1.0</v>
      </c>
      <c r="B151" s="92" t="s">
        <v>50</v>
      </c>
      <c r="C151" s="93" t="s">
        <v>16</v>
      </c>
      <c r="D151" s="22">
        <v>1000.0</v>
      </c>
      <c r="E151" s="15">
        <f t="shared" si="34"/>
        <v>1000</v>
      </c>
      <c r="F151" s="15">
        <f t="shared" si="35"/>
        <v>1105</v>
      </c>
      <c r="G151" s="3"/>
      <c r="H151" s="3"/>
      <c r="I151" s="22">
        <f>5000/12</f>
        <v>416.6666667</v>
      </c>
      <c r="J151" s="15">
        <f t="shared" si="36"/>
        <v>416.6666667</v>
      </c>
      <c r="K151" s="15">
        <f t="shared" si="37"/>
        <v>688.3333333</v>
      </c>
      <c r="L151" s="116">
        <f t="shared" si="38"/>
        <v>0.6883333333</v>
      </c>
      <c r="M151" s="1"/>
      <c r="N151" s="3"/>
      <c r="O151" s="2"/>
      <c r="P151" s="3"/>
      <c r="Q151" s="3"/>
      <c r="R151" s="2"/>
      <c r="S151" s="3"/>
      <c r="T151" s="3"/>
      <c r="U151" s="1"/>
      <c r="V151" s="3"/>
      <c r="W151" s="3"/>
      <c r="X151" s="3"/>
      <c r="Y151" s="3"/>
      <c r="Z151" s="3"/>
    </row>
    <row r="152" ht="15.75" customHeight="1">
      <c r="A152" s="91">
        <v>1.0</v>
      </c>
      <c r="B152" s="92" t="s">
        <v>50</v>
      </c>
      <c r="C152" s="93" t="s">
        <v>235</v>
      </c>
      <c r="D152" s="22">
        <v>3000.0</v>
      </c>
      <c r="E152" s="15">
        <f t="shared" si="34"/>
        <v>3000</v>
      </c>
      <c r="F152" s="15">
        <f t="shared" si="35"/>
        <v>3315</v>
      </c>
      <c r="G152" s="3"/>
      <c r="H152" s="3"/>
      <c r="I152" s="22">
        <v>1000.0</v>
      </c>
      <c r="J152" s="15">
        <f t="shared" si="36"/>
        <v>1000</v>
      </c>
      <c r="K152" s="15">
        <f t="shared" si="37"/>
        <v>2315</v>
      </c>
      <c r="L152" s="116">
        <f t="shared" si="38"/>
        <v>0.7716666667</v>
      </c>
      <c r="M152" s="1"/>
      <c r="N152" s="3"/>
      <c r="O152" s="2"/>
      <c r="P152" s="3"/>
      <c r="Q152" s="3"/>
      <c r="R152" s="2"/>
      <c r="S152" s="3"/>
      <c r="T152" s="3"/>
      <c r="U152" s="1"/>
      <c r="V152" s="3"/>
      <c r="W152" s="3"/>
      <c r="X152" s="3"/>
      <c r="Y152" s="3"/>
      <c r="Z152" s="3"/>
    </row>
    <row r="153" ht="15.75" customHeight="1">
      <c r="A153" s="91">
        <v>4.0</v>
      </c>
      <c r="B153" s="92" t="s">
        <v>38</v>
      </c>
      <c r="C153" s="93" t="s">
        <v>179</v>
      </c>
      <c r="D153" s="22">
        <v>21000.0</v>
      </c>
      <c r="E153" s="15">
        <f t="shared" si="34"/>
        <v>84000</v>
      </c>
      <c r="F153" s="15">
        <f t="shared" si="35"/>
        <v>92820</v>
      </c>
      <c r="G153" s="3"/>
      <c r="H153" s="3"/>
      <c r="I153" s="22">
        <v>18000.0</v>
      </c>
      <c r="J153" s="15">
        <f t="shared" si="36"/>
        <v>72000</v>
      </c>
      <c r="K153" s="15">
        <f t="shared" si="37"/>
        <v>20820</v>
      </c>
      <c r="L153" s="116">
        <f t="shared" si="38"/>
        <v>0.2478571429</v>
      </c>
      <c r="M153" s="1"/>
      <c r="N153" s="3"/>
      <c r="O153" s="2"/>
      <c r="P153" s="3"/>
      <c r="Q153" s="3"/>
      <c r="R153" s="2"/>
      <c r="S153" s="3"/>
      <c r="T153" s="3"/>
      <c r="U153" s="1"/>
      <c r="V153" s="3"/>
      <c r="W153" s="3"/>
      <c r="X153" s="3"/>
      <c r="Y153" s="3"/>
      <c r="Z153" s="3"/>
    </row>
    <row r="154" ht="15.75" customHeight="1">
      <c r="A154" s="91">
        <v>1.0</v>
      </c>
      <c r="B154" s="92" t="s">
        <v>38</v>
      </c>
      <c r="C154" s="93" t="s">
        <v>180</v>
      </c>
      <c r="D154" s="22">
        <v>16000.0</v>
      </c>
      <c r="E154" s="15">
        <f t="shared" si="34"/>
        <v>16000</v>
      </c>
      <c r="F154" s="15">
        <f t="shared" si="35"/>
        <v>17680</v>
      </c>
      <c r="G154" s="3"/>
      <c r="H154" s="3"/>
      <c r="I154" s="22">
        <v>11000.0</v>
      </c>
      <c r="J154" s="15">
        <f t="shared" si="36"/>
        <v>11000</v>
      </c>
      <c r="K154" s="15">
        <f t="shared" si="37"/>
        <v>6680</v>
      </c>
      <c r="L154" s="116">
        <f t="shared" si="38"/>
        <v>0.4175</v>
      </c>
      <c r="M154" s="1"/>
      <c r="N154" s="3"/>
      <c r="O154" s="2"/>
      <c r="P154" s="3"/>
      <c r="Q154" s="3"/>
      <c r="R154" s="2"/>
      <c r="S154" s="3"/>
      <c r="T154" s="3"/>
      <c r="U154" s="1"/>
      <c r="V154" s="3"/>
      <c r="W154" s="3"/>
      <c r="X154" s="3"/>
      <c r="Y154" s="3"/>
      <c r="Z154" s="3"/>
    </row>
    <row r="155" ht="15.75" customHeight="1">
      <c r="A155" s="91">
        <v>1.0</v>
      </c>
      <c r="B155" s="92" t="s">
        <v>38</v>
      </c>
      <c r="C155" s="93" t="s">
        <v>47</v>
      </c>
      <c r="D155" s="22">
        <v>13000.0</v>
      </c>
      <c r="E155" s="15">
        <f t="shared" si="34"/>
        <v>13000</v>
      </c>
      <c r="F155" s="15">
        <f t="shared" si="35"/>
        <v>14365</v>
      </c>
      <c r="G155" s="3"/>
      <c r="H155" s="3"/>
      <c r="I155" s="86">
        <v>8000.0</v>
      </c>
      <c r="J155" s="15">
        <f t="shared" si="36"/>
        <v>8000</v>
      </c>
      <c r="K155" s="15">
        <f t="shared" si="37"/>
        <v>6365</v>
      </c>
      <c r="L155" s="116">
        <f t="shared" si="38"/>
        <v>0.4896153846</v>
      </c>
      <c r="M155" s="1"/>
      <c r="N155" s="3"/>
      <c r="O155" s="2"/>
      <c r="P155" s="3"/>
      <c r="Q155" s="3"/>
      <c r="R155" s="2"/>
      <c r="S155" s="3"/>
      <c r="T155" s="3"/>
      <c r="U155" s="1"/>
      <c r="V155" s="3"/>
      <c r="W155" s="3"/>
      <c r="X155" s="3"/>
      <c r="Y155" s="3"/>
      <c r="Z155" s="3"/>
    </row>
    <row r="156" ht="15.75" customHeight="1">
      <c r="A156" s="91">
        <v>1.0</v>
      </c>
      <c r="B156" s="92" t="s">
        <v>38</v>
      </c>
      <c r="C156" s="93" t="s">
        <v>45</v>
      </c>
      <c r="D156" s="22">
        <v>13000.0</v>
      </c>
      <c r="E156" s="15">
        <f t="shared" si="34"/>
        <v>13000</v>
      </c>
      <c r="F156" s="15">
        <f t="shared" si="35"/>
        <v>14365</v>
      </c>
      <c r="G156" s="3"/>
      <c r="H156" s="3"/>
      <c r="I156" s="86">
        <v>8000.0</v>
      </c>
      <c r="J156" s="15">
        <f t="shared" si="36"/>
        <v>8000</v>
      </c>
      <c r="K156" s="15">
        <f t="shared" si="37"/>
        <v>6365</v>
      </c>
      <c r="L156" s="116">
        <f t="shared" si="38"/>
        <v>0.4896153846</v>
      </c>
      <c r="M156" s="1"/>
      <c r="N156" s="3"/>
      <c r="O156" s="2"/>
      <c r="P156" s="3"/>
      <c r="Q156" s="3"/>
      <c r="R156" s="2"/>
      <c r="S156" s="3"/>
      <c r="T156" s="3"/>
      <c r="U156" s="1"/>
      <c r="V156" s="3"/>
      <c r="W156" s="3"/>
      <c r="X156" s="3"/>
      <c r="Y156" s="3"/>
      <c r="Z156" s="3"/>
    </row>
    <row r="157" ht="15.75" customHeight="1">
      <c r="A157" s="91">
        <v>0.5</v>
      </c>
      <c r="B157" s="92" t="s">
        <v>18</v>
      </c>
      <c r="C157" s="93" t="s">
        <v>277</v>
      </c>
      <c r="D157" s="22">
        <v>52000.0</v>
      </c>
      <c r="E157" s="15">
        <f t="shared" si="34"/>
        <v>26000</v>
      </c>
      <c r="F157" s="15">
        <f>E157*1.21</f>
        <v>31460</v>
      </c>
      <c r="G157" s="3"/>
      <c r="H157" s="3"/>
      <c r="I157" s="86">
        <v>55000.0</v>
      </c>
      <c r="J157" s="15">
        <f t="shared" si="36"/>
        <v>27500</v>
      </c>
      <c r="K157" s="15">
        <f t="shared" si="37"/>
        <v>3960</v>
      </c>
      <c r="L157" s="116">
        <f t="shared" si="38"/>
        <v>0.1523076923</v>
      </c>
      <c r="M157" s="1"/>
      <c r="N157" s="3"/>
      <c r="O157" s="2"/>
      <c r="P157" s="3"/>
      <c r="Q157" s="3"/>
      <c r="R157" s="2"/>
      <c r="S157" s="3"/>
      <c r="T157" s="3"/>
      <c r="U157" s="1"/>
      <c r="V157" s="3"/>
      <c r="W157" s="3"/>
      <c r="X157" s="3"/>
      <c r="Y157" s="3"/>
      <c r="Z157" s="3"/>
    </row>
    <row r="158" ht="15.75" customHeight="1">
      <c r="A158" s="91">
        <v>4.0</v>
      </c>
      <c r="B158" s="92" t="s">
        <v>33</v>
      </c>
      <c r="C158" s="93" t="s">
        <v>78</v>
      </c>
      <c r="D158" s="22">
        <v>4500.0</v>
      </c>
      <c r="E158" s="15">
        <f t="shared" si="34"/>
        <v>18000</v>
      </c>
      <c r="F158" s="15">
        <f t="shared" ref="F158:F162" si="39">E158*1.105</f>
        <v>19890</v>
      </c>
      <c r="G158" s="3"/>
      <c r="H158" s="3"/>
      <c r="I158" s="86">
        <f>35000/17</f>
        <v>2058.823529</v>
      </c>
      <c r="J158" s="15">
        <f t="shared" si="36"/>
        <v>8235.294118</v>
      </c>
      <c r="K158" s="15">
        <f t="shared" si="37"/>
        <v>11654.70588</v>
      </c>
      <c r="L158" s="116">
        <f t="shared" si="38"/>
        <v>0.6474836601</v>
      </c>
      <c r="M158" s="1"/>
      <c r="N158" s="3"/>
      <c r="O158" s="2"/>
      <c r="P158" s="3"/>
      <c r="Q158" s="3"/>
      <c r="R158" s="2"/>
      <c r="S158" s="3"/>
      <c r="T158" s="3"/>
      <c r="U158" s="1"/>
      <c r="V158" s="3"/>
      <c r="W158" s="3"/>
      <c r="X158" s="3"/>
      <c r="Y158" s="3"/>
      <c r="Z158" s="3"/>
    </row>
    <row r="159" ht="15.75" customHeight="1">
      <c r="A159" s="91">
        <v>4.0</v>
      </c>
      <c r="B159" s="10" t="s">
        <v>33</v>
      </c>
      <c r="C159" s="93" t="s">
        <v>232</v>
      </c>
      <c r="D159" s="22">
        <v>4000.0</v>
      </c>
      <c r="E159" s="15">
        <f t="shared" si="34"/>
        <v>16000</v>
      </c>
      <c r="F159" s="15">
        <f t="shared" si="39"/>
        <v>17680</v>
      </c>
      <c r="G159" s="3"/>
      <c r="H159" s="3"/>
      <c r="I159" s="3">
        <f>48000/17</f>
        <v>2823.529412</v>
      </c>
      <c r="J159" s="15">
        <f t="shared" si="36"/>
        <v>11294.11765</v>
      </c>
      <c r="K159" s="15">
        <f t="shared" si="37"/>
        <v>6385.882353</v>
      </c>
      <c r="L159" s="116">
        <f t="shared" si="38"/>
        <v>0.3991176471</v>
      </c>
      <c r="M159" s="1"/>
      <c r="N159" s="3"/>
      <c r="O159" s="2"/>
      <c r="P159" s="3"/>
      <c r="Q159" s="3"/>
      <c r="R159" s="2"/>
      <c r="S159" s="3"/>
      <c r="T159" s="3"/>
      <c r="U159" s="1"/>
      <c r="V159" s="3"/>
      <c r="W159" s="3"/>
      <c r="X159" s="3"/>
      <c r="Y159" s="3"/>
      <c r="Z159" s="3"/>
    </row>
    <row r="160" ht="15.75" customHeight="1">
      <c r="A160" s="91">
        <v>1.0</v>
      </c>
      <c r="B160" s="92" t="s">
        <v>18</v>
      </c>
      <c r="C160" s="93" t="s">
        <v>379</v>
      </c>
      <c r="D160" s="22">
        <v>24000.0</v>
      </c>
      <c r="E160" s="15">
        <f t="shared" si="34"/>
        <v>24000</v>
      </c>
      <c r="F160" s="15">
        <f t="shared" si="39"/>
        <v>26520</v>
      </c>
      <c r="G160" s="3"/>
      <c r="H160" s="3"/>
      <c r="I160" s="86">
        <v>20000.0</v>
      </c>
      <c r="J160" s="15">
        <f t="shared" si="36"/>
        <v>20000</v>
      </c>
      <c r="K160" s="15">
        <f t="shared" si="37"/>
        <v>6520</v>
      </c>
      <c r="L160" s="116">
        <f t="shared" si="38"/>
        <v>0.2716666667</v>
      </c>
      <c r="M160" s="1"/>
      <c r="N160" s="3"/>
      <c r="O160" s="2"/>
      <c r="P160" s="3"/>
      <c r="Q160" s="3"/>
      <c r="R160" s="2"/>
      <c r="S160" s="3"/>
      <c r="T160" s="3"/>
      <c r="U160" s="1"/>
      <c r="V160" s="3"/>
      <c r="W160" s="3"/>
      <c r="X160" s="3"/>
      <c r="Y160" s="3"/>
      <c r="Z160" s="3"/>
    </row>
    <row r="161" ht="15.75" customHeight="1">
      <c r="A161" s="91">
        <v>3.0</v>
      </c>
      <c r="B161" s="92" t="s">
        <v>33</v>
      </c>
      <c r="C161" s="93" t="s">
        <v>55</v>
      </c>
      <c r="D161" s="22">
        <v>2800.0</v>
      </c>
      <c r="E161" s="15">
        <f t="shared" si="34"/>
        <v>8400</v>
      </c>
      <c r="F161" s="15">
        <f t="shared" si="39"/>
        <v>9282</v>
      </c>
      <c r="G161" s="3"/>
      <c r="H161" s="3"/>
      <c r="I161" s="86">
        <f>35000/18</f>
        <v>1944.444444</v>
      </c>
      <c r="J161" s="15">
        <f t="shared" si="36"/>
        <v>5833.333333</v>
      </c>
      <c r="K161" s="15">
        <f t="shared" si="37"/>
        <v>3448.666667</v>
      </c>
      <c r="L161" s="116">
        <f t="shared" si="38"/>
        <v>0.4105555556</v>
      </c>
      <c r="M161" s="1"/>
      <c r="N161" s="3"/>
      <c r="O161" s="2"/>
      <c r="P161" s="3"/>
      <c r="Q161" s="3"/>
      <c r="R161" s="2"/>
      <c r="S161" s="3"/>
      <c r="T161" s="3"/>
      <c r="U161" s="1"/>
      <c r="V161" s="3"/>
      <c r="W161" s="3"/>
      <c r="X161" s="3"/>
      <c r="Y161" s="3"/>
      <c r="Z161" s="3"/>
    </row>
    <row r="162" ht="15.75" customHeight="1">
      <c r="A162" s="91">
        <v>5.2</v>
      </c>
      <c r="B162" s="92" t="s">
        <v>33</v>
      </c>
      <c r="C162" s="93" t="s">
        <v>119</v>
      </c>
      <c r="D162" s="22">
        <v>3800.0</v>
      </c>
      <c r="E162" s="15">
        <f t="shared" si="34"/>
        <v>19760</v>
      </c>
      <c r="F162" s="15">
        <f t="shared" si="39"/>
        <v>21834.8</v>
      </c>
      <c r="G162" s="3"/>
      <c r="H162" s="3"/>
      <c r="I162" s="86">
        <v>3000.0</v>
      </c>
      <c r="J162" s="15">
        <f t="shared" si="36"/>
        <v>15600</v>
      </c>
      <c r="K162" s="15">
        <f t="shared" si="37"/>
        <v>6234.8</v>
      </c>
      <c r="L162" s="116">
        <f t="shared" si="38"/>
        <v>0.3155263158</v>
      </c>
      <c r="M162" s="1"/>
      <c r="N162" s="3"/>
      <c r="O162" s="2"/>
      <c r="P162" s="3"/>
      <c r="Q162" s="3"/>
      <c r="R162" s="2"/>
      <c r="S162" s="3"/>
      <c r="T162" s="3"/>
      <c r="U162" s="1"/>
      <c r="V162" s="3"/>
      <c r="W162" s="3"/>
      <c r="X162" s="3"/>
      <c r="Y162" s="3"/>
      <c r="Z162" s="3"/>
    </row>
    <row r="163" ht="15.75" customHeight="1">
      <c r="A163" s="91"/>
      <c r="B163" s="3"/>
      <c r="C163" s="2"/>
      <c r="D163" s="3"/>
      <c r="E163" s="3"/>
      <c r="F163" s="3"/>
      <c r="G163" s="3"/>
      <c r="H163" s="3"/>
      <c r="I163" s="3"/>
      <c r="J163" s="3"/>
      <c r="K163" s="3"/>
      <c r="L163" s="118"/>
      <c r="M163" s="1"/>
      <c r="N163" s="3"/>
      <c r="O163" s="2"/>
      <c r="P163" s="3"/>
      <c r="Q163" s="3"/>
      <c r="R163" s="2"/>
      <c r="S163" s="3"/>
      <c r="T163" s="3"/>
      <c r="U163" s="1"/>
      <c r="V163" s="3"/>
      <c r="W163" s="3"/>
      <c r="X163" s="3"/>
      <c r="Y163" s="3"/>
      <c r="Z163" s="3"/>
    </row>
    <row r="164" ht="15.75" customHeight="1">
      <c r="A164" s="91"/>
      <c r="B164" s="3"/>
      <c r="C164" s="2"/>
      <c r="D164" s="3"/>
      <c r="E164" s="15">
        <f t="shared" ref="E164:F164" si="40">SUM(E136:E162)</f>
        <v>330300</v>
      </c>
      <c r="F164" s="15">
        <f t="shared" si="40"/>
        <v>367711.5</v>
      </c>
      <c r="G164" s="3"/>
      <c r="H164" s="3"/>
      <c r="I164" s="3"/>
      <c r="J164" s="3"/>
      <c r="K164" s="15">
        <f>SUM(K136:K162)</f>
        <v>127708.3254</v>
      </c>
      <c r="L164" s="116">
        <f>IFERROR(K164/E164, 0)</f>
        <v>0.3866434314</v>
      </c>
      <c r="M164" s="1"/>
      <c r="N164" s="3"/>
      <c r="O164" s="2"/>
      <c r="P164" s="3"/>
      <c r="Q164" s="3"/>
      <c r="R164" s="9"/>
      <c r="S164" s="3"/>
      <c r="T164" s="3"/>
      <c r="U164" s="1"/>
      <c r="V164" s="3"/>
      <c r="W164" s="3"/>
      <c r="X164" s="3"/>
      <c r="Y164" s="3"/>
      <c r="Z164" s="3"/>
    </row>
    <row r="165" ht="15.75" customHeight="1">
      <c r="A165" s="91"/>
      <c r="B165" s="84"/>
      <c r="C165" s="85"/>
      <c r="D165" s="22"/>
      <c r="E165" s="15"/>
      <c r="F165" s="16"/>
      <c r="G165" s="25"/>
      <c r="H165" s="37"/>
      <c r="I165" s="87"/>
      <c r="J165" s="16"/>
      <c r="K165" s="16"/>
      <c r="L165" s="36"/>
      <c r="M165" s="2"/>
      <c r="N165" s="3"/>
      <c r="O165" s="2"/>
      <c r="P165" s="3"/>
      <c r="Q165" s="3"/>
      <c r="R165" s="2"/>
      <c r="S165" s="3"/>
      <c r="T165" s="3"/>
      <c r="U165" s="1"/>
      <c r="V165" s="3"/>
      <c r="W165" s="3"/>
      <c r="X165" s="3"/>
      <c r="Y165" s="3"/>
      <c r="Z165" s="3"/>
    </row>
    <row r="166" ht="15.75" customHeight="1">
      <c r="A166" s="91"/>
      <c r="B166" s="84"/>
      <c r="C166" s="85"/>
      <c r="D166" s="22"/>
      <c r="E166" s="15"/>
      <c r="F166" s="16"/>
      <c r="G166" s="25"/>
      <c r="H166" s="37"/>
      <c r="I166" s="87"/>
      <c r="J166" s="16"/>
      <c r="K166" s="16"/>
      <c r="L166" s="36"/>
      <c r="M166" s="2"/>
      <c r="N166" s="3"/>
      <c r="O166" s="2"/>
      <c r="P166" s="3"/>
      <c r="Q166" s="3"/>
      <c r="R166" s="2"/>
      <c r="S166" s="3"/>
      <c r="T166" s="3"/>
      <c r="U166" s="1"/>
      <c r="V166" s="3"/>
      <c r="W166" s="3"/>
      <c r="X166" s="3"/>
      <c r="Y166" s="3"/>
      <c r="Z166" s="3"/>
    </row>
    <row r="167" ht="15.75" customHeight="1">
      <c r="A167" s="89" t="s">
        <v>222</v>
      </c>
      <c r="B167" s="24"/>
      <c r="C167" s="24"/>
      <c r="D167" s="81" t="s">
        <v>81</v>
      </c>
      <c r="E167" s="82">
        <v>46071.0</v>
      </c>
      <c r="F167" s="122" t="s">
        <v>2</v>
      </c>
      <c r="G167" s="25"/>
      <c r="H167" s="25"/>
      <c r="I167" s="16"/>
      <c r="J167" s="16"/>
      <c r="K167" s="16"/>
      <c r="L167" s="34"/>
      <c r="M167" s="2"/>
      <c r="N167" s="3"/>
      <c r="O167" s="2"/>
      <c r="P167" s="3"/>
      <c r="Q167" s="3"/>
      <c r="R167" s="2"/>
      <c r="S167" s="3"/>
      <c r="T167" s="3"/>
      <c r="U167" s="1"/>
      <c r="V167" s="3"/>
      <c r="W167" s="3"/>
      <c r="X167" s="3"/>
      <c r="Y167" s="3"/>
      <c r="Z167" s="3"/>
    </row>
    <row r="168" ht="15.75" customHeight="1">
      <c r="B168" s="25"/>
      <c r="C168" s="35"/>
      <c r="D168" s="25"/>
      <c r="E168" s="25"/>
      <c r="F168" s="25"/>
      <c r="G168" s="25"/>
      <c r="H168" s="25"/>
      <c r="I168" s="16"/>
      <c r="J168" s="16"/>
      <c r="K168" s="16"/>
      <c r="L168" s="34"/>
      <c r="M168" s="2"/>
      <c r="N168" s="3"/>
      <c r="O168" s="2"/>
      <c r="P168" s="3"/>
      <c r="Q168" s="3"/>
      <c r="R168" s="2"/>
      <c r="S168" s="3"/>
      <c r="T168" s="3"/>
      <c r="U168" s="1"/>
      <c r="V168" s="3"/>
      <c r="W168" s="3"/>
      <c r="X168" s="3"/>
      <c r="Y168" s="3"/>
      <c r="Z168" s="3"/>
    </row>
    <row r="169">
      <c r="A169" s="5" t="s">
        <v>4</v>
      </c>
      <c r="B169" s="10" t="s">
        <v>5</v>
      </c>
      <c r="C169" s="11" t="s">
        <v>6</v>
      </c>
      <c r="D169" s="12" t="s">
        <v>7</v>
      </c>
      <c r="E169" s="10" t="s">
        <v>8</v>
      </c>
      <c r="F169" s="12"/>
      <c r="G169" s="25"/>
      <c r="H169" s="25"/>
      <c r="I169" s="12" t="s">
        <v>7</v>
      </c>
      <c r="J169" s="12" t="s">
        <v>8</v>
      </c>
      <c r="K169" s="12" t="s">
        <v>10</v>
      </c>
      <c r="L169" s="34"/>
      <c r="M169" s="2"/>
      <c r="N169" s="3"/>
      <c r="O169" s="2"/>
      <c r="P169" s="3"/>
      <c r="Q169" s="3"/>
      <c r="R169" s="2"/>
      <c r="S169" s="3"/>
      <c r="T169" s="3"/>
      <c r="U169" s="1"/>
      <c r="V169" s="3"/>
      <c r="W169" s="3"/>
      <c r="X169" s="3"/>
      <c r="Y169" s="3"/>
      <c r="Z169" s="3"/>
    </row>
    <row r="170">
      <c r="A170" s="83">
        <v>1.0</v>
      </c>
      <c r="B170" s="84" t="s">
        <v>50</v>
      </c>
      <c r="C170" s="85" t="s">
        <v>77</v>
      </c>
      <c r="D170" s="22">
        <v>1300.0</v>
      </c>
      <c r="E170" s="15">
        <f t="shared" ref="E170:E198" si="41">A170*D170</f>
        <v>1300</v>
      </c>
      <c r="F170" s="16"/>
      <c r="G170" s="25"/>
      <c r="H170" s="37"/>
      <c r="I170" s="87">
        <v>1200.0</v>
      </c>
      <c r="J170" s="16">
        <f t="shared" ref="J170:J198" si="42">I170*A170</f>
        <v>1200</v>
      </c>
      <c r="K170" s="16">
        <f t="shared" ref="K170:K198" si="43">E170-J170</f>
        <v>100</v>
      </c>
      <c r="L170" s="110">
        <f t="shared" ref="L170:L198" si="44">IFERROR(K170/E170, 0)</f>
        <v>0.07692307692</v>
      </c>
      <c r="M170" s="2"/>
      <c r="N170" s="3"/>
      <c r="O170" s="2"/>
      <c r="P170" s="3"/>
      <c r="Q170" s="3"/>
      <c r="R170" s="2"/>
      <c r="S170" s="3"/>
      <c r="T170" s="3"/>
      <c r="U170" s="1"/>
      <c r="V170" s="3"/>
      <c r="W170" s="3"/>
      <c r="X170" s="3"/>
      <c r="Y170" s="3"/>
      <c r="Z170" s="3"/>
    </row>
    <row r="171">
      <c r="A171" s="83">
        <v>1.0</v>
      </c>
      <c r="B171" s="84" t="s">
        <v>50</v>
      </c>
      <c r="C171" s="85" t="s">
        <v>104</v>
      </c>
      <c r="D171" s="22">
        <v>2000.0</v>
      </c>
      <c r="E171" s="15">
        <f t="shared" si="41"/>
        <v>2000</v>
      </c>
      <c r="F171" s="16"/>
      <c r="G171" s="25"/>
      <c r="H171" s="37"/>
      <c r="I171" s="87">
        <v>1000.0</v>
      </c>
      <c r="J171" s="16">
        <f t="shared" si="42"/>
        <v>1000</v>
      </c>
      <c r="K171" s="16">
        <f t="shared" si="43"/>
        <v>1000</v>
      </c>
      <c r="L171" s="110">
        <f t="shared" si="44"/>
        <v>0.5</v>
      </c>
      <c r="M171" s="2"/>
      <c r="N171" s="3"/>
      <c r="O171" s="2"/>
      <c r="P171" s="3"/>
      <c r="Q171" s="3"/>
      <c r="R171" s="2"/>
      <c r="S171" s="3"/>
      <c r="T171" s="3"/>
      <c r="U171" s="1"/>
      <c r="V171" s="3"/>
      <c r="W171" s="3"/>
      <c r="X171" s="3"/>
      <c r="Y171" s="3"/>
      <c r="Z171" s="3"/>
    </row>
    <row r="172" ht="15.75" customHeight="1">
      <c r="A172" s="83">
        <v>3.0</v>
      </c>
      <c r="B172" s="84" t="s">
        <v>5</v>
      </c>
      <c r="C172" s="85" t="s">
        <v>176</v>
      </c>
      <c r="D172" s="22">
        <v>1200.0</v>
      </c>
      <c r="E172" s="15">
        <f t="shared" si="41"/>
        <v>3600</v>
      </c>
      <c r="F172" s="16"/>
      <c r="G172" s="25"/>
      <c r="H172" s="37"/>
      <c r="I172" s="87">
        <v>460.0</v>
      </c>
      <c r="J172" s="16">
        <f t="shared" si="42"/>
        <v>1380</v>
      </c>
      <c r="K172" s="16">
        <f t="shared" si="43"/>
        <v>2220</v>
      </c>
      <c r="L172" s="110">
        <f t="shared" si="44"/>
        <v>0.6166666667</v>
      </c>
      <c r="M172" s="2"/>
      <c r="N172" s="3"/>
      <c r="O172" s="2"/>
      <c r="P172" s="3"/>
      <c r="Q172" s="3"/>
      <c r="R172" s="2"/>
      <c r="S172" s="3"/>
      <c r="T172" s="3"/>
      <c r="U172" s="1"/>
      <c r="V172" s="3"/>
      <c r="W172" s="3"/>
      <c r="X172" s="3"/>
      <c r="Y172" s="3"/>
      <c r="Z172" s="3"/>
    </row>
    <row r="173" ht="15.75" customHeight="1">
      <c r="A173" s="83">
        <v>2.0</v>
      </c>
      <c r="B173" s="84" t="s">
        <v>33</v>
      </c>
      <c r="C173" s="85" t="s">
        <v>180</v>
      </c>
      <c r="D173" s="22">
        <v>1500.0</v>
      </c>
      <c r="E173" s="15">
        <f t="shared" si="41"/>
        <v>3000</v>
      </c>
      <c r="F173" s="16"/>
      <c r="G173" s="25"/>
      <c r="H173" s="98"/>
      <c r="I173" s="113">
        <v>1000.0</v>
      </c>
      <c r="J173" s="16">
        <f t="shared" si="42"/>
        <v>2000</v>
      </c>
      <c r="K173" s="16">
        <f t="shared" si="43"/>
        <v>1000</v>
      </c>
      <c r="L173" s="110">
        <f t="shared" si="44"/>
        <v>0.3333333333</v>
      </c>
      <c r="M173" s="2"/>
      <c r="N173" s="3"/>
      <c r="O173" s="2"/>
      <c r="P173" s="3"/>
      <c r="Q173" s="3"/>
      <c r="R173" s="2"/>
      <c r="S173" s="3"/>
      <c r="T173" s="3"/>
      <c r="U173" s="1"/>
      <c r="V173" s="3"/>
      <c r="W173" s="3"/>
      <c r="X173" s="3"/>
      <c r="Y173" s="3"/>
      <c r="Z173" s="3"/>
    </row>
    <row r="174" ht="15.75" customHeight="1">
      <c r="A174" s="83">
        <v>2.0</v>
      </c>
      <c r="B174" s="84" t="s">
        <v>33</v>
      </c>
      <c r="C174" s="85" t="s">
        <v>117</v>
      </c>
      <c r="D174" s="22">
        <v>3300.0</v>
      </c>
      <c r="E174" s="15">
        <f t="shared" si="41"/>
        <v>6600</v>
      </c>
      <c r="F174" s="16"/>
      <c r="G174" s="25"/>
      <c r="H174" s="37"/>
      <c r="I174" s="87">
        <f>20000/11</f>
        <v>1818.181818</v>
      </c>
      <c r="J174" s="16">
        <f t="shared" si="42"/>
        <v>3636.363636</v>
      </c>
      <c r="K174" s="16">
        <f t="shared" si="43"/>
        <v>2963.636364</v>
      </c>
      <c r="L174" s="110">
        <f t="shared" si="44"/>
        <v>0.4490358127</v>
      </c>
      <c r="M174" s="2"/>
      <c r="N174" s="3"/>
      <c r="O174" s="2"/>
      <c r="P174" s="3"/>
      <c r="Q174" s="3"/>
      <c r="R174" s="2"/>
      <c r="S174" s="3"/>
      <c r="T174" s="3"/>
      <c r="U174" s="1"/>
      <c r="V174" s="3"/>
      <c r="W174" s="3"/>
      <c r="X174" s="3"/>
      <c r="Y174" s="3"/>
      <c r="Z174" s="3"/>
    </row>
    <row r="175" ht="15.75" customHeight="1">
      <c r="A175" s="83">
        <v>3.0</v>
      </c>
      <c r="B175" s="84" t="s">
        <v>33</v>
      </c>
      <c r="C175" s="85" t="s">
        <v>23</v>
      </c>
      <c r="D175" s="22">
        <v>1500.0</v>
      </c>
      <c r="E175" s="15">
        <f t="shared" si="41"/>
        <v>4500</v>
      </c>
      <c r="F175" s="16"/>
      <c r="G175" s="25"/>
      <c r="H175" s="37"/>
      <c r="I175" s="22">
        <v>1000.0</v>
      </c>
      <c r="J175" s="16">
        <f t="shared" si="42"/>
        <v>3000</v>
      </c>
      <c r="K175" s="16">
        <f t="shared" si="43"/>
        <v>1500</v>
      </c>
      <c r="L175" s="110">
        <f t="shared" si="44"/>
        <v>0.3333333333</v>
      </c>
      <c r="M175" s="2"/>
      <c r="N175" s="3"/>
      <c r="O175" s="2"/>
      <c r="P175" s="3"/>
      <c r="Q175" s="3"/>
      <c r="R175" s="2"/>
      <c r="S175" s="3"/>
      <c r="T175" s="3"/>
      <c r="U175" s="1"/>
      <c r="V175" s="3"/>
      <c r="W175" s="3"/>
      <c r="X175" s="3"/>
      <c r="Y175" s="3"/>
      <c r="Z175" s="3"/>
    </row>
    <row r="176">
      <c r="A176" s="83">
        <v>1.0</v>
      </c>
      <c r="B176" s="84" t="s">
        <v>33</v>
      </c>
      <c r="C176" s="96" t="s">
        <v>20</v>
      </c>
      <c r="D176" s="22">
        <v>3500.0</v>
      </c>
      <c r="E176" s="15">
        <f t="shared" si="41"/>
        <v>3500</v>
      </c>
      <c r="F176" s="16"/>
      <c r="G176" s="25"/>
      <c r="H176" s="37"/>
      <c r="I176" s="87">
        <f>18000/8</f>
        <v>2250</v>
      </c>
      <c r="J176" s="16">
        <f t="shared" si="42"/>
        <v>2250</v>
      </c>
      <c r="K176" s="16">
        <f t="shared" si="43"/>
        <v>1250</v>
      </c>
      <c r="L176" s="110">
        <f t="shared" si="44"/>
        <v>0.3571428571</v>
      </c>
      <c r="M176" s="2"/>
      <c r="N176" s="3"/>
      <c r="O176" s="2"/>
      <c r="P176" s="3"/>
      <c r="Q176" s="3"/>
      <c r="R176" s="2"/>
      <c r="S176" s="3"/>
      <c r="T176" s="3"/>
      <c r="U176" s="1"/>
      <c r="V176" s="3"/>
      <c r="W176" s="3"/>
      <c r="X176" s="3"/>
      <c r="Y176" s="3"/>
      <c r="Z176" s="3"/>
    </row>
    <row r="177">
      <c r="A177" s="83">
        <v>3.0</v>
      </c>
      <c r="B177" s="84" t="s">
        <v>33</v>
      </c>
      <c r="C177" s="96" t="s">
        <v>194</v>
      </c>
      <c r="D177" s="22">
        <v>3000.0</v>
      </c>
      <c r="E177" s="15">
        <f t="shared" si="41"/>
        <v>9000</v>
      </c>
      <c r="F177" s="16"/>
      <c r="G177" s="25"/>
      <c r="H177" s="98" t="s">
        <v>274</v>
      </c>
      <c r="I177" s="87">
        <v>0.0</v>
      </c>
      <c r="J177" s="16">
        <f t="shared" si="42"/>
        <v>0</v>
      </c>
      <c r="K177" s="16">
        <f t="shared" si="43"/>
        <v>9000</v>
      </c>
      <c r="L177" s="110">
        <f t="shared" si="44"/>
        <v>1</v>
      </c>
      <c r="M177" s="2"/>
      <c r="N177" s="3"/>
      <c r="O177" s="2"/>
      <c r="P177" s="3"/>
      <c r="Q177" s="3"/>
      <c r="R177" s="2"/>
      <c r="S177" s="3"/>
      <c r="T177" s="3"/>
      <c r="U177" s="1"/>
      <c r="V177" s="3"/>
      <c r="W177" s="3"/>
      <c r="X177" s="3"/>
      <c r="Y177" s="3"/>
      <c r="Z177" s="3"/>
    </row>
    <row r="178" ht="15.75" customHeight="1">
      <c r="A178" s="83">
        <v>6.0</v>
      </c>
      <c r="B178" s="84" t="s">
        <v>50</v>
      </c>
      <c r="C178" s="96" t="s">
        <v>69</v>
      </c>
      <c r="D178" s="22">
        <v>2600.0</v>
      </c>
      <c r="E178" s="15">
        <f t="shared" si="41"/>
        <v>15600</v>
      </c>
      <c r="F178" s="16"/>
      <c r="G178" s="25"/>
      <c r="H178" s="37"/>
      <c r="I178" s="22">
        <v>2200.0</v>
      </c>
      <c r="J178" s="16">
        <f t="shared" si="42"/>
        <v>13200</v>
      </c>
      <c r="K178" s="16">
        <f t="shared" si="43"/>
        <v>2400</v>
      </c>
      <c r="L178" s="110">
        <f t="shared" si="44"/>
        <v>0.1538461538</v>
      </c>
      <c r="M178" s="2"/>
      <c r="N178" s="3"/>
      <c r="O178" s="2"/>
      <c r="P178" s="3"/>
      <c r="Q178" s="3"/>
      <c r="R178" s="2"/>
      <c r="S178" s="3"/>
      <c r="T178" s="3"/>
      <c r="U178" s="1"/>
      <c r="V178" s="3"/>
      <c r="W178" s="3"/>
      <c r="X178" s="3"/>
      <c r="Y178" s="3"/>
      <c r="Z178" s="3"/>
    </row>
    <row r="179" ht="15.75" customHeight="1">
      <c r="A179" s="83">
        <v>4.0</v>
      </c>
      <c r="B179" s="84" t="s">
        <v>50</v>
      </c>
      <c r="C179" s="96" t="s">
        <v>65</v>
      </c>
      <c r="D179" s="22">
        <v>450.0</v>
      </c>
      <c r="E179" s="15">
        <f t="shared" si="41"/>
        <v>1800</v>
      </c>
      <c r="F179" s="16"/>
      <c r="G179" s="25"/>
      <c r="H179" s="37"/>
      <c r="I179" s="22">
        <f>5000/24</f>
        <v>208.3333333</v>
      </c>
      <c r="J179" s="16">
        <f t="shared" si="42"/>
        <v>833.3333333</v>
      </c>
      <c r="K179" s="16">
        <f t="shared" si="43"/>
        <v>966.6666667</v>
      </c>
      <c r="L179" s="110">
        <f t="shared" si="44"/>
        <v>0.537037037</v>
      </c>
      <c r="M179" s="2"/>
      <c r="N179" s="3"/>
      <c r="O179" s="2"/>
      <c r="P179" s="3"/>
      <c r="Q179" s="3"/>
      <c r="R179" s="2"/>
      <c r="S179" s="3"/>
      <c r="T179" s="3"/>
      <c r="U179" s="1"/>
      <c r="V179" s="3"/>
      <c r="W179" s="3"/>
      <c r="X179" s="3"/>
      <c r="Y179" s="3"/>
      <c r="Z179" s="3"/>
    </row>
    <row r="180" ht="15.75" customHeight="1">
      <c r="A180" s="83">
        <v>5.0</v>
      </c>
      <c r="B180" s="84" t="s">
        <v>33</v>
      </c>
      <c r="C180" s="96" t="s">
        <v>19</v>
      </c>
      <c r="D180" s="22">
        <v>2300.0</v>
      </c>
      <c r="E180" s="15">
        <f t="shared" si="41"/>
        <v>11500</v>
      </c>
      <c r="F180" s="16"/>
      <c r="G180" s="25"/>
      <c r="H180" s="37"/>
      <c r="I180" s="87">
        <f>25000/15</f>
        <v>1666.666667</v>
      </c>
      <c r="J180" s="16">
        <f t="shared" si="42"/>
        <v>8333.333333</v>
      </c>
      <c r="K180" s="16">
        <f t="shared" si="43"/>
        <v>3166.666667</v>
      </c>
      <c r="L180" s="110">
        <f t="shared" si="44"/>
        <v>0.2753623188</v>
      </c>
      <c r="M180" s="2"/>
      <c r="N180" s="3"/>
      <c r="O180" s="2"/>
      <c r="P180" s="3"/>
      <c r="Q180" s="3"/>
      <c r="R180" s="2"/>
      <c r="S180" s="3"/>
      <c r="T180" s="3"/>
      <c r="U180" s="1"/>
      <c r="V180" s="3"/>
      <c r="W180" s="3"/>
      <c r="X180" s="3"/>
      <c r="Y180" s="3"/>
      <c r="Z180" s="3"/>
    </row>
    <row r="181" ht="15.75" customHeight="1">
      <c r="A181" s="83">
        <v>2.0</v>
      </c>
      <c r="B181" s="84" t="s">
        <v>33</v>
      </c>
      <c r="C181" s="93" t="s">
        <v>76</v>
      </c>
      <c r="D181" s="22">
        <v>1200.0</v>
      </c>
      <c r="E181" s="15">
        <f t="shared" si="41"/>
        <v>2400</v>
      </c>
      <c r="F181" s="16"/>
      <c r="G181" s="25"/>
      <c r="H181" s="37"/>
      <c r="I181" s="87">
        <f>12000/16</f>
        <v>750</v>
      </c>
      <c r="J181" s="16">
        <f t="shared" si="42"/>
        <v>1500</v>
      </c>
      <c r="K181" s="16">
        <f t="shared" si="43"/>
        <v>900</v>
      </c>
      <c r="L181" s="110">
        <f t="shared" si="44"/>
        <v>0.375</v>
      </c>
      <c r="M181" s="2"/>
      <c r="N181" s="3"/>
      <c r="O181" s="2"/>
      <c r="P181" s="3"/>
      <c r="Q181" s="3"/>
      <c r="R181" s="2"/>
      <c r="S181" s="3"/>
      <c r="T181" s="3"/>
      <c r="U181" s="1"/>
      <c r="V181" s="3"/>
      <c r="W181" s="3"/>
      <c r="X181" s="3"/>
      <c r="Y181" s="3"/>
      <c r="Z181" s="3"/>
    </row>
    <row r="182" ht="15.75" customHeight="1">
      <c r="A182" s="83">
        <v>2.0</v>
      </c>
      <c r="B182" s="84" t="s">
        <v>33</v>
      </c>
      <c r="C182" s="93" t="s">
        <v>22</v>
      </c>
      <c r="D182" s="22">
        <v>1200.0</v>
      </c>
      <c r="E182" s="15">
        <f t="shared" si="41"/>
        <v>2400</v>
      </c>
      <c r="F182" s="16"/>
      <c r="G182" s="25"/>
      <c r="H182" s="37"/>
      <c r="I182" s="87">
        <f>10000/14</f>
        <v>714.2857143</v>
      </c>
      <c r="J182" s="16">
        <f t="shared" si="42"/>
        <v>1428.571429</v>
      </c>
      <c r="K182" s="16">
        <f t="shared" si="43"/>
        <v>971.4285714</v>
      </c>
      <c r="L182" s="110">
        <f t="shared" si="44"/>
        <v>0.4047619048</v>
      </c>
      <c r="M182" s="2"/>
      <c r="N182" s="3"/>
      <c r="O182" s="2"/>
      <c r="P182" s="3"/>
      <c r="Q182" s="3"/>
      <c r="R182" s="2"/>
      <c r="S182" s="3"/>
      <c r="T182" s="3"/>
      <c r="U182" s="1"/>
      <c r="V182" s="3"/>
      <c r="W182" s="3"/>
      <c r="X182" s="3"/>
      <c r="Y182" s="3"/>
      <c r="Z182" s="3"/>
    </row>
    <row r="183" ht="15.75" customHeight="1">
      <c r="A183" s="83">
        <v>1.0</v>
      </c>
      <c r="B183" s="84" t="s">
        <v>38</v>
      </c>
      <c r="C183" s="96" t="s">
        <v>287</v>
      </c>
      <c r="D183" s="22">
        <v>14000.0</v>
      </c>
      <c r="E183" s="15">
        <f t="shared" si="41"/>
        <v>14000</v>
      </c>
      <c r="F183" s="16"/>
      <c r="G183" s="25"/>
      <c r="H183" s="37"/>
      <c r="I183" s="87">
        <v>0.0</v>
      </c>
      <c r="J183" s="16">
        <f t="shared" si="42"/>
        <v>0</v>
      </c>
      <c r="K183" s="16">
        <f t="shared" si="43"/>
        <v>14000</v>
      </c>
      <c r="L183" s="110">
        <f t="shared" si="44"/>
        <v>1</v>
      </c>
      <c r="M183" s="2"/>
      <c r="N183" s="3"/>
      <c r="O183" s="2"/>
      <c r="P183" s="3"/>
      <c r="Q183" s="3"/>
      <c r="R183" s="2"/>
      <c r="S183" s="3"/>
      <c r="T183" s="3"/>
      <c r="U183" s="1"/>
      <c r="V183" s="3"/>
      <c r="W183" s="3"/>
      <c r="X183" s="3"/>
      <c r="Y183" s="3"/>
      <c r="Z183" s="3"/>
    </row>
    <row r="184" ht="15.75" customHeight="1">
      <c r="A184" s="83">
        <v>0.5</v>
      </c>
      <c r="B184" s="84" t="s">
        <v>38</v>
      </c>
      <c r="C184" s="96" t="s">
        <v>67</v>
      </c>
      <c r="D184" s="22">
        <v>12000.0</v>
      </c>
      <c r="E184" s="15">
        <f t="shared" si="41"/>
        <v>6000</v>
      </c>
      <c r="F184" s="16"/>
      <c r="G184" s="25"/>
      <c r="H184" s="98"/>
      <c r="I184" s="22">
        <v>8000.0</v>
      </c>
      <c r="J184" s="16">
        <f t="shared" si="42"/>
        <v>4000</v>
      </c>
      <c r="K184" s="16">
        <f t="shared" si="43"/>
        <v>2000</v>
      </c>
      <c r="L184" s="110">
        <f t="shared" si="44"/>
        <v>0.3333333333</v>
      </c>
      <c r="M184" s="2"/>
      <c r="N184" s="3"/>
      <c r="O184" s="2"/>
      <c r="P184" s="3"/>
      <c r="Q184" s="3"/>
      <c r="R184" s="2"/>
      <c r="S184" s="3"/>
      <c r="T184" s="3"/>
      <c r="U184" s="1"/>
      <c r="V184" s="3"/>
      <c r="W184" s="3"/>
      <c r="X184" s="3"/>
      <c r="Y184" s="3"/>
      <c r="Z184" s="3"/>
    </row>
    <row r="185" ht="15.75" customHeight="1">
      <c r="A185" s="83">
        <v>1.0</v>
      </c>
      <c r="B185" s="84" t="s">
        <v>38</v>
      </c>
      <c r="C185" s="96" t="s">
        <v>46</v>
      </c>
      <c r="D185" s="22">
        <v>14000.0</v>
      </c>
      <c r="E185" s="15">
        <f t="shared" si="41"/>
        <v>14000</v>
      </c>
      <c r="F185" s="16"/>
      <c r="G185" s="25"/>
      <c r="H185" s="98"/>
      <c r="I185" s="22">
        <v>11000.0</v>
      </c>
      <c r="J185" s="16">
        <f t="shared" si="42"/>
        <v>11000</v>
      </c>
      <c r="K185" s="16">
        <f t="shared" si="43"/>
        <v>3000</v>
      </c>
      <c r="L185" s="110">
        <f t="shared" si="44"/>
        <v>0.2142857143</v>
      </c>
      <c r="M185" s="2"/>
      <c r="N185" s="3"/>
      <c r="O185" s="2"/>
      <c r="P185" s="3"/>
      <c r="Q185" s="3"/>
      <c r="R185" s="2"/>
      <c r="S185" s="3"/>
      <c r="T185" s="3"/>
      <c r="U185" s="1"/>
      <c r="V185" s="3"/>
      <c r="W185" s="3"/>
      <c r="X185" s="3"/>
      <c r="Y185" s="3"/>
      <c r="Z185" s="3"/>
    </row>
    <row r="186" ht="15.75" customHeight="1">
      <c r="A186" s="83">
        <v>0.5</v>
      </c>
      <c r="B186" s="84" t="s">
        <v>38</v>
      </c>
      <c r="C186" s="96" t="s">
        <v>47</v>
      </c>
      <c r="D186" s="22">
        <v>12000.0</v>
      </c>
      <c r="E186" s="15">
        <f t="shared" si="41"/>
        <v>6000</v>
      </c>
      <c r="F186" s="16"/>
      <c r="G186" s="25"/>
      <c r="H186" s="37"/>
      <c r="I186" s="22">
        <v>8000.0</v>
      </c>
      <c r="J186" s="16">
        <f t="shared" si="42"/>
        <v>4000</v>
      </c>
      <c r="K186" s="16">
        <f t="shared" si="43"/>
        <v>2000</v>
      </c>
      <c r="L186" s="110">
        <f t="shared" si="44"/>
        <v>0.3333333333</v>
      </c>
      <c r="M186" s="2"/>
      <c r="N186" s="3"/>
      <c r="O186" s="2"/>
      <c r="P186" s="3"/>
      <c r="Q186" s="3"/>
      <c r="R186" s="2"/>
      <c r="S186" s="3"/>
      <c r="T186" s="3"/>
      <c r="U186" s="1"/>
      <c r="V186" s="3"/>
      <c r="W186" s="3"/>
      <c r="X186" s="3"/>
      <c r="Y186" s="3"/>
      <c r="Z186" s="3"/>
    </row>
    <row r="187" ht="15.75" customHeight="1">
      <c r="A187" s="83">
        <v>1.0</v>
      </c>
      <c r="B187" s="84" t="s">
        <v>18</v>
      </c>
      <c r="C187" s="93" t="s">
        <v>381</v>
      </c>
      <c r="D187" s="22">
        <v>65000.0</v>
      </c>
      <c r="E187" s="15">
        <f t="shared" si="41"/>
        <v>65000</v>
      </c>
      <c r="F187" s="16"/>
      <c r="G187" s="25"/>
      <c r="H187" s="37"/>
      <c r="I187" s="87">
        <v>55000.0</v>
      </c>
      <c r="J187" s="16">
        <f t="shared" si="42"/>
        <v>55000</v>
      </c>
      <c r="K187" s="16">
        <f t="shared" si="43"/>
        <v>10000</v>
      </c>
      <c r="L187" s="110">
        <f t="shared" si="44"/>
        <v>0.1538461538</v>
      </c>
      <c r="M187" s="2"/>
      <c r="N187" s="3"/>
      <c r="O187" s="2"/>
      <c r="P187" s="3"/>
      <c r="Q187" s="3"/>
      <c r="R187" s="2"/>
      <c r="S187" s="3"/>
      <c r="T187" s="3"/>
      <c r="U187" s="1"/>
      <c r="V187" s="3"/>
      <c r="W187" s="3"/>
      <c r="X187" s="3"/>
      <c r="Y187" s="3"/>
      <c r="Z187" s="3"/>
    </row>
    <row r="188" ht="15.75" customHeight="1">
      <c r="A188" s="83">
        <v>1.0</v>
      </c>
      <c r="B188" s="84" t="s">
        <v>29</v>
      </c>
      <c r="C188" s="96" t="s">
        <v>31</v>
      </c>
      <c r="D188" s="22">
        <v>39000.0</v>
      </c>
      <c r="E188" s="15">
        <f t="shared" si="41"/>
        <v>39000</v>
      </c>
      <c r="F188" s="16"/>
      <c r="G188" s="25"/>
      <c r="H188" s="37"/>
      <c r="I188" s="87">
        <v>35000.0</v>
      </c>
      <c r="J188" s="16">
        <f t="shared" si="42"/>
        <v>35000</v>
      </c>
      <c r="K188" s="16">
        <f t="shared" si="43"/>
        <v>4000</v>
      </c>
      <c r="L188" s="110">
        <f t="shared" si="44"/>
        <v>0.1025641026</v>
      </c>
      <c r="M188" s="2"/>
      <c r="N188" s="3"/>
      <c r="O188" s="2"/>
      <c r="P188" s="3"/>
      <c r="Q188" s="3"/>
      <c r="R188" s="2"/>
      <c r="S188" s="3"/>
      <c r="T188" s="3"/>
      <c r="U188" s="1"/>
      <c r="V188" s="3"/>
      <c r="W188" s="3"/>
      <c r="X188" s="3"/>
      <c r="Y188" s="3"/>
      <c r="Z188" s="3"/>
    </row>
    <row r="189" ht="15.75" customHeight="1">
      <c r="A189" s="83">
        <v>3.0</v>
      </c>
      <c r="B189" s="84" t="s">
        <v>33</v>
      </c>
      <c r="C189" s="96" t="s">
        <v>213</v>
      </c>
      <c r="D189" s="22">
        <v>3500.0</v>
      </c>
      <c r="E189" s="15">
        <f t="shared" si="41"/>
        <v>10500</v>
      </c>
      <c r="F189" s="16"/>
      <c r="G189" s="25"/>
      <c r="H189" s="37"/>
      <c r="I189" s="87">
        <v>3000.0</v>
      </c>
      <c r="J189" s="16">
        <f t="shared" si="42"/>
        <v>9000</v>
      </c>
      <c r="K189" s="16">
        <f t="shared" si="43"/>
        <v>1500</v>
      </c>
      <c r="L189" s="110">
        <f t="shared" si="44"/>
        <v>0.1428571429</v>
      </c>
      <c r="M189" s="2"/>
      <c r="N189" s="3"/>
      <c r="O189" s="2"/>
      <c r="P189" s="3"/>
      <c r="Q189" s="3"/>
      <c r="R189" s="2"/>
      <c r="S189" s="3"/>
      <c r="T189" s="3"/>
      <c r="U189" s="1"/>
      <c r="V189" s="3"/>
      <c r="W189" s="3"/>
      <c r="X189" s="3"/>
      <c r="Y189" s="3"/>
      <c r="Z189" s="3"/>
    </row>
    <row r="190" ht="15.75" customHeight="1">
      <c r="A190" s="83">
        <v>3.0</v>
      </c>
      <c r="B190" s="84" t="s">
        <v>33</v>
      </c>
      <c r="C190" s="96" t="s">
        <v>201</v>
      </c>
      <c r="D190" s="22">
        <v>4000.0</v>
      </c>
      <c r="E190" s="15">
        <f t="shared" si="41"/>
        <v>12000</v>
      </c>
      <c r="F190" s="16"/>
      <c r="G190" s="25"/>
      <c r="H190" s="37"/>
      <c r="I190" s="87">
        <v>3000.0</v>
      </c>
      <c r="J190" s="16">
        <f t="shared" si="42"/>
        <v>9000</v>
      </c>
      <c r="K190" s="16">
        <f t="shared" si="43"/>
        <v>3000</v>
      </c>
      <c r="L190" s="110">
        <f t="shared" si="44"/>
        <v>0.25</v>
      </c>
      <c r="M190" s="2"/>
      <c r="N190" s="3"/>
      <c r="O190" s="2"/>
      <c r="P190" s="3"/>
      <c r="Q190" s="3"/>
      <c r="R190" s="2"/>
      <c r="S190" s="3"/>
      <c r="T190" s="3"/>
      <c r="U190" s="1"/>
      <c r="V190" s="3"/>
      <c r="W190" s="3"/>
      <c r="X190" s="3"/>
      <c r="Y190" s="3"/>
      <c r="Z190" s="3"/>
    </row>
    <row r="191" ht="15.75" customHeight="1">
      <c r="A191" s="83">
        <v>0.5</v>
      </c>
      <c r="B191" s="84" t="s">
        <v>33</v>
      </c>
      <c r="C191" s="96" t="s">
        <v>57</v>
      </c>
      <c r="D191" s="22">
        <v>12000.0</v>
      </c>
      <c r="E191" s="15">
        <f t="shared" si="41"/>
        <v>6000</v>
      </c>
      <c r="F191" s="16"/>
      <c r="G191" s="25"/>
      <c r="H191" s="37"/>
      <c r="I191" s="87">
        <v>12000.0</v>
      </c>
      <c r="J191" s="16">
        <f t="shared" si="42"/>
        <v>6000</v>
      </c>
      <c r="K191" s="16">
        <f t="shared" si="43"/>
        <v>0</v>
      </c>
      <c r="L191" s="110">
        <f t="shared" si="44"/>
        <v>0</v>
      </c>
      <c r="M191" s="2"/>
      <c r="N191" s="3"/>
      <c r="O191" s="2"/>
      <c r="P191" s="3"/>
      <c r="Q191" s="3"/>
      <c r="R191" s="2"/>
      <c r="S191" s="3"/>
      <c r="T191" s="3"/>
      <c r="U191" s="1"/>
      <c r="V191" s="3"/>
      <c r="W191" s="3"/>
      <c r="X191" s="3"/>
      <c r="Y191" s="3"/>
      <c r="Z191" s="3"/>
    </row>
    <row r="192" ht="15.75" customHeight="1">
      <c r="A192" s="83">
        <v>0.5</v>
      </c>
      <c r="B192" s="84" t="s">
        <v>33</v>
      </c>
      <c r="C192" s="96" t="s">
        <v>53</v>
      </c>
      <c r="D192" s="22">
        <v>10000.0</v>
      </c>
      <c r="E192" s="15">
        <f t="shared" si="41"/>
        <v>5000</v>
      </c>
      <c r="F192" s="16"/>
      <c r="G192" s="25"/>
      <c r="H192" s="37"/>
      <c r="I192" s="87">
        <f>57000/8</f>
        <v>7125</v>
      </c>
      <c r="J192" s="16">
        <f t="shared" si="42"/>
        <v>3562.5</v>
      </c>
      <c r="K192" s="16">
        <f t="shared" si="43"/>
        <v>1437.5</v>
      </c>
      <c r="L192" s="110">
        <f t="shared" si="44"/>
        <v>0.2875</v>
      </c>
      <c r="M192" s="2"/>
      <c r="N192" s="3"/>
      <c r="O192" s="2"/>
      <c r="P192" s="3"/>
      <c r="Q192" s="3"/>
      <c r="R192" s="2"/>
      <c r="S192" s="3"/>
      <c r="T192" s="3"/>
      <c r="U192" s="1"/>
      <c r="V192" s="3"/>
      <c r="W192" s="3"/>
      <c r="X192" s="3"/>
      <c r="Y192" s="3"/>
      <c r="Z192" s="3"/>
    </row>
    <row r="193" ht="15.75" customHeight="1">
      <c r="A193" s="83">
        <v>2.0</v>
      </c>
      <c r="B193" s="84" t="s">
        <v>33</v>
      </c>
      <c r="C193" s="96" t="s">
        <v>72</v>
      </c>
      <c r="D193" s="22">
        <v>2600.0</v>
      </c>
      <c r="E193" s="15">
        <f t="shared" si="41"/>
        <v>5200</v>
      </c>
      <c r="F193" s="16"/>
      <c r="G193" s="25"/>
      <c r="H193" s="37"/>
      <c r="I193" s="87">
        <f>27000/15</f>
        <v>1800</v>
      </c>
      <c r="J193" s="16">
        <f t="shared" si="42"/>
        <v>3600</v>
      </c>
      <c r="K193" s="16">
        <f t="shared" si="43"/>
        <v>1600</v>
      </c>
      <c r="L193" s="110">
        <f t="shared" si="44"/>
        <v>0.3076923077</v>
      </c>
      <c r="M193" s="2"/>
      <c r="N193" s="3"/>
      <c r="O193" s="2"/>
      <c r="P193" s="3"/>
      <c r="Q193" s="3"/>
      <c r="R193" s="2"/>
      <c r="S193" s="3"/>
      <c r="T193" s="3"/>
      <c r="U193" s="1"/>
      <c r="V193" s="3"/>
      <c r="W193" s="3"/>
      <c r="X193" s="3"/>
      <c r="Y193" s="3"/>
      <c r="Z193" s="3"/>
    </row>
    <row r="194" ht="15.75" customHeight="1">
      <c r="A194" s="83">
        <v>0.5</v>
      </c>
      <c r="B194" s="84" t="s">
        <v>29</v>
      </c>
      <c r="C194" s="96" t="s">
        <v>78</v>
      </c>
      <c r="D194" s="22">
        <v>50000.0</v>
      </c>
      <c r="E194" s="15">
        <f t="shared" si="41"/>
        <v>25000</v>
      </c>
      <c r="F194" s="16"/>
      <c r="G194" s="25"/>
      <c r="H194" s="37"/>
      <c r="I194" s="87">
        <v>35000.0</v>
      </c>
      <c r="J194" s="16">
        <f t="shared" si="42"/>
        <v>17500</v>
      </c>
      <c r="K194" s="16">
        <f t="shared" si="43"/>
        <v>7500</v>
      </c>
      <c r="L194" s="110">
        <f t="shared" si="44"/>
        <v>0.3</v>
      </c>
      <c r="M194" s="2"/>
      <c r="N194" s="3"/>
      <c r="O194" s="2"/>
      <c r="P194" s="3"/>
      <c r="Q194" s="3"/>
      <c r="R194" s="2"/>
      <c r="S194" s="3"/>
      <c r="T194" s="3"/>
      <c r="U194" s="1"/>
      <c r="V194" s="3"/>
      <c r="W194" s="3"/>
      <c r="X194" s="3"/>
      <c r="Y194" s="3"/>
      <c r="Z194" s="3"/>
    </row>
    <row r="195" ht="15.75" customHeight="1">
      <c r="A195" s="83">
        <v>4.0</v>
      </c>
      <c r="B195" s="84" t="s">
        <v>33</v>
      </c>
      <c r="C195" s="85" t="s">
        <v>39</v>
      </c>
      <c r="D195" s="22">
        <v>1700.0</v>
      </c>
      <c r="E195" s="15">
        <f t="shared" si="41"/>
        <v>6800</v>
      </c>
      <c r="F195" s="16"/>
      <c r="G195" s="25"/>
      <c r="H195" s="37"/>
      <c r="I195" s="87">
        <f>20000/15</f>
        <v>1333.333333</v>
      </c>
      <c r="J195" s="16">
        <f t="shared" si="42"/>
        <v>5333.333333</v>
      </c>
      <c r="K195" s="16">
        <f t="shared" si="43"/>
        <v>1466.666667</v>
      </c>
      <c r="L195" s="110">
        <f t="shared" si="44"/>
        <v>0.2156862745</v>
      </c>
      <c r="M195" s="2"/>
      <c r="N195" s="3"/>
      <c r="O195" s="2"/>
      <c r="P195" s="3"/>
      <c r="Q195" s="3"/>
      <c r="R195" s="2"/>
      <c r="S195" s="3"/>
      <c r="T195" s="3"/>
      <c r="U195" s="1"/>
      <c r="V195" s="3"/>
      <c r="W195" s="3"/>
      <c r="X195" s="3"/>
      <c r="Y195" s="3"/>
      <c r="Z195" s="3"/>
    </row>
    <row r="196" ht="15.75" customHeight="1">
      <c r="A196" s="83">
        <v>3.0</v>
      </c>
      <c r="B196" s="84" t="s">
        <v>33</v>
      </c>
      <c r="C196" s="85" t="s">
        <v>56</v>
      </c>
      <c r="D196" s="22">
        <v>2030.0</v>
      </c>
      <c r="E196" s="15">
        <f t="shared" si="41"/>
        <v>6090</v>
      </c>
      <c r="F196" s="16"/>
      <c r="G196" s="25"/>
      <c r="H196" s="37"/>
      <c r="I196" s="87">
        <f>23000/15</f>
        <v>1533.333333</v>
      </c>
      <c r="J196" s="16">
        <f t="shared" si="42"/>
        <v>4600</v>
      </c>
      <c r="K196" s="16">
        <f t="shared" si="43"/>
        <v>1490</v>
      </c>
      <c r="L196" s="110">
        <f t="shared" si="44"/>
        <v>0.2446633826</v>
      </c>
      <c r="M196" s="2"/>
      <c r="N196" s="3"/>
      <c r="O196" s="2"/>
      <c r="P196" s="3"/>
      <c r="Q196" s="3"/>
      <c r="R196" s="2"/>
      <c r="S196" s="3"/>
      <c r="T196" s="3"/>
      <c r="U196" s="1"/>
      <c r="V196" s="3"/>
      <c r="W196" s="3"/>
      <c r="X196" s="3"/>
      <c r="Y196" s="3"/>
      <c r="Z196" s="3"/>
    </row>
    <row r="197" ht="15.75" customHeight="1">
      <c r="A197" s="83">
        <v>9.0</v>
      </c>
      <c r="B197" s="84" t="s">
        <v>33</v>
      </c>
      <c r="C197" s="85" t="s">
        <v>34</v>
      </c>
      <c r="D197" s="22">
        <v>1000.0</v>
      </c>
      <c r="E197" s="15">
        <f t="shared" si="41"/>
        <v>9000</v>
      </c>
      <c r="F197" s="16"/>
      <c r="G197" s="25"/>
      <c r="H197" s="37"/>
      <c r="I197" s="87">
        <v>600.0</v>
      </c>
      <c r="J197" s="16">
        <f t="shared" si="42"/>
        <v>5400</v>
      </c>
      <c r="K197" s="16">
        <f t="shared" si="43"/>
        <v>3600</v>
      </c>
      <c r="L197" s="110">
        <f t="shared" si="44"/>
        <v>0.4</v>
      </c>
      <c r="M197" s="2"/>
      <c r="N197" s="3"/>
      <c r="O197" s="2"/>
      <c r="P197" s="3"/>
      <c r="Q197" s="3"/>
      <c r="R197" s="2"/>
      <c r="S197" s="3"/>
      <c r="T197" s="3"/>
      <c r="U197" s="1"/>
      <c r="V197" s="3"/>
      <c r="W197" s="3"/>
      <c r="X197" s="3"/>
      <c r="Y197" s="3"/>
      <c r="Z197" s="3"/>
    </row>
    <row r="198" ht="15.75" customHeight="1">
      <c r="A198" s="83">
        <v>1.6</v>
      </c>
      <c r="B198" s="84" t="s">
        <v>33</v>
      </c>
      <c r="C198" s="85" t="s">
        <v>221</v>
      </c>
      <c r="D198" s="22">
        <v>3500.0</v>
      </c>
      <c r="E198" s="15">
        <f t="shared" si="41"/>
        <v>5600</v>
      </c>
      <c r="F198" s="16"/>
      <c r="G198" s="25"/>
      <c r="H198" s="37"/>
      <c r="I198" s="87">
        <v>3000.0</v>
      </c>
      <c r="J198" s="16">
        <f t="shared" si="42"/>
        <v>4800</v>
      </c>
      <c r="K198" s="16">
        <f t="shared" si="43"/>
        <v>800</v>
      </c>
      <c r="L198" s="110">
        <f t="shared" si="44"/>
        <v>0.1428571429</v>
      </c>
      <c r="M198" s="2"/>
      <c r="N198" s="3"/>
      <c r="O198" s="2"/>
      <c r="P198" s="3"/>
      <c r="Q198" s="3"/>
      <c r="R198" s="2"/>
      <c r="S198" s="3"/>
      <c r="T198" s="3"/>
      <c r="U198" s="1"/>
      <c r="V198" s="3"/>
      <c r="W198" s="3"/>
      <c r="X198" s="3"/>
      <c r="Y198" s="3"/>
      <c r="Z198" s="3"/>
    </row>
    <row r="199" ht="15.75" customHeight="1">
      <c r="A199" s="13"/>
      <c r="B199" s="12"/>
      <c r="C199" s="14"/>
      <c r="D199" s="15"/>
      <c r="E199" s="16"/>
      <c r="F199" s="16"/>
      <c r="H199" s="25"/>
      <c r="I199" s="16"/>
      <c r="J199" s="16"/>
      <c r="K199" s="16"/>
      <c r="L199" s="110"/>
      <c r="N199" s="3"/>
      <c r="O199" s="2"/>
      <c r="P199" s="3"/>
      <c r="Q199" s="3"/>
      <c r="R199" s="2"/>
      <c r="S199" s="3"/>
      <c r="T199" s="3"/>
      <c r="U199" s="1"/>
      <c r="V199" s="3"/>
      <c r="W199" s="3"/>
      <c r="X199" s="3"/>
      <c r="Y199" s="3"/>
      <c r="Z199" s="3"/>
    </row>
    <row r="200">
      <c r="A200" s="13"/>
      <c r="B200" s="12"/>
      <c r="C200" s="14"/>
      <c r="D200" s="15"/>
      <c r="E200" s="16">
        <f>SUM(E170:E199)</f>
        <v>302390</v>
      </c>
      <c r="F200" s="16"/>
      <c r="G200" s="25"/>
      <c r="H200" s="25"/>
      <c r="I200" s="16"/>
      <c r="J200" s="16"/>
      <c r="K200" s="16">
        <f>SUM(K170:K198)</f>
        <v>84832.56494</v>
      </c>
      <c r="L200" s="110">
        <f>IFERROR(K200/E200, 0)</f>
        <v>0.2805402458</v>
      </c>
      <c r="M200" s="2"/>
      <c r="N200" s="3"/>
      <c r="O200" s="2"/>
      <c r="P200" s="3"/>
      <c r="Q200" s="3"/>
      <c r="R200" s="2"/>
      <c r="S200" s="3"/>
      <c r="T200" s="3"/>
      <c r="U200" s="1"/>
      <c r="V200" s="3"/>
      <c r="W200" s="3"/>
      <c r="X200" s="3"/>
      <c r="Y200" s="3"/>
      <c r="Z200" s="3"/>
    </row>
    <row r="201" ht="15.75" customHeight="1">
      <c r="A201" s="83"/>
      <c r="B201" s="84"/>
      <c r="C201" s="85"/>
      <c r="D201" s="22"/>
      <c r="E201" s="15"/>
      <c r="F201" s="16"/>
      <c r="G201" s="25"/>
      <c r="H201" s="37"/>
      <c r="I201" s="87"/>
      <c r="J201" s="16"/>
      <c r="K201" s="16"/>
      <c r="L201" s="111"/>
      <c r="M201" s="2"/>
      <c r="N201" s="3"/>
      <c r="O201" s="2"/>
      <c r="P201" s="3"/>
      <c r="Q201" s="3"/>
      <c r="R201" s="2"/>
      <c r="S201" s="3"/>
      <c r="T201" s="3"/>
      <c r="U201" s="1"/>
      <c r="V201" s="3"/>
      <c r="W201" s="3"/>
      <c r="X201" s="3"/>
      <c r="Y201" s="3"/>
      <c r="Z201" s="3"/>
    </row>
    <row r="202" ht="15.75" customHeight="1">
      <c r="A202" s="83"/>
      <c r="B202" s="84"/>
      <c r="C202" s="85"/>
      <c r="D202" s="22"/>
      <c r="E202" s="15"/>
      <c r="F202" s="16"/>
      <c r="G202" s="25"/>
      <c r="H202" s="37"/>
      <c r="I202" s="87"/>
      <c r="J202" s="16"/>
      <c r="K202" s="16"/>
      <c r="L202" s="36"/>
      <c r="M202" s="2"/>
      <c r="N202" s="3"/>
      <c r="O202" s="2"/>
      <c r="P202" s="3"/>
      <c r="Q202" s="3"/>
      <c r="R202" s="2"/>
      <c r="S202" s="3"/>
      <c r="T202" s="3"/>
      <c r="U202" s="1"/>
      <c r="V202" s="3"/>
      <c r="W202" s="3"/>
      <c r="X202" s="3"/>
      <c r="Y202" s="3"/>
      <c r="Z202" s="3"/>
    </row>
    <row r="203" ht="15.75" customHeight="1">
      <c r="A203" s="89" t="s">
        <v>100</v>
      </c>
      <c r="B203" s="24"/>
      <c r="C203" s="24"/>
      <c r="D203" s="81" t="s">
        <v>327</v>
      </c>
      <c r="E203" s="82">
        <v>46078.0</v>
      </c>
      <c r="F203" s="122" t="s">
        <v>2</v>
      </c>
      <c r="G203" s="25"/>
      <c r="H203" s="25"/>
      <c r="I203" s="16"/>
      <c r="J203" s="16"/>
      <c r="K203" s="16"/>
      <c r="L203" s="34"/>
      <c r="M203" s="2"/>
      <c r="N203" s="3"/>
      <c r="O203" s="2"/>
      <c r="P203" s="3"/>
      <c r="Q203" s="3"/>
      <c r="R203" s="2"/>
      <c r="S203" s="3"/>
      <c r="T203" s="3"/>
      <c r="U203" s="1"/>
      <c r="V203" s="3"/>
      <c r="W203" s="3"/>
      <c r="X203" s="3"/>
      <c r="Y203" s="3"/>
      <c r="Z203" s="3"/>
    </row>
    <row r="204" ht="15.75" customHeight="1">
      <c r="B204" s="25"/>
      <c r="C204" s="35"/>
      <c r="D204" s="25"/>
      <c r="E204" s="25"/>
      <c r="F204" s="25"/>
      <c r="G204" s="25"/>
      <c r="H204" s="25"/>
      <c r="I204" s="16"/>
      <c r="J204" s="16"/>
      <c r="K204" s="16"/>
      <c r="L204" s="34"/>
      <c r="M204" s="2"/>
      <c r="N204" s="3"/>
      <c r="O204" s="2"/>
      <c r="P204" s="3"/>
      <c r="Q204" s="3"/>
      <c r="R204" s="2"/>
      <c r="S204" s="3"/>
      <c r="T204" s="3"/>
      <c r="U204" s="1"/>
      <c r="V204" s="3"/>
      <c r="W204" s="3"/>
      <c r="X204" s="3"/>
      <c r="Y204" s="3"/>
      <c r="Z204" s="3"/>
    </row>
    <row r="205">
      <c r="A205" s="5" t="s">
        <v>4</v>
      </c>
      <c r="B205" s="10" t="s">
        <v>5</v>
      </c>
      <c r="C205" s="11" t="s">
        <v>6</v>
      </c>
      <c r="D205" s="84" t="s">
        <v>7</v>
      </c>
      <c r="E205" s="10" t="s">
        <v>8</v>
      </c>
      <c r="F205" s="12"/>
      <c r="G205" s="25"/>
      <c r="H205" s="25"/>
      <c r="I205" s="12"/>
      <c r="J205" s="12" t="s">
        <v>8</v>
      </c>
      <c r="K205" s="12" t="s">
        <v>10</v>
      </c>
      <c r="L205" s="34"/>
      <c r="M205" s="2"/>
      <c r="N205" s="3"/>
      <c r="O205" s="2"/>
      <c r="P205" s="3"/>
      <c r="Q205" s="3"/>
      <c r="R205" s="2"/>
      <c r="S205" s="3"/>
      <c r="T205" s="3"/>
      <c r="U205" s="1"/>
      <c r="V205" s="3"/>
      <c r="W205" s="3"/>
      <c r="X205" s="3"/>
      <c r="Y205" s="3"/>
      <c r="Z205" s="3"/>
    </row>
    <row r="206">
      <c r="A206" s="83">
        <v>4.0</v>
      </c>
      <c r="B206" s="84" t="s">
        <v>5</v>
      </c>
      <c r="C206" s="85" t="s">
        <v>87</v>
      </c>
      <c r="D206" s="22">
        <v>1300.0</v>
      </c>
      <c r="E206" s="15">
        <f t="shared" ref="E206:E207" si="45">A206*D206</f>
        <v>5200</v>
      </c>
      <c r="F206" s="16"/>
      <c r="G206" s="25"/>
      <c r="H206" s="98" t="s">
        <v>274</v>
      </c>
      <c r="I206" s="86"/>
      <c r="J206" s="15">
        <f t="shared" ref="J206:J207" si="46">A206*I206</f>
        <v>0</v>
      </c>
      <c r="K206" s="15">
        <f t="shared" ref="K206:K207" si="47">E206-J206</f>
        <v>5200</v>
      </c>
      <c r="L206" s="110">
        <f t="shared" ref="L206:L207" si="48">K206/E206</f>
        <v>1</v>
      </c>
      <c r="M206" s="2"/>
      <c r="N206" s="3"/>
      <c r="O206" s="2"/>
      <c r="P206" s="3"/>
      <c r="Q206" s="3"/>
      <c r="R206" s="2"/>
      <c r="S206" s="3"/>
      <c r="T206" s="3"/>
      <c r="U206" s="1"/>
      <c r="V206" s="3"/>
      <c r="W206" s="3"/>
      <c r="X206" s="3"/>
      <c r="Y206" s="3"/>
      <c r="Z206" s="3"/>
    </row>
    <row r="207">
      <c r="A207" s="83">
        <v>2.0</v>
      </c>
      <c r="B207" s="84" t="s">
        <v>33</v>
      </c>
      <c r="C207" s="85" t="s">
        <v>19</v>
      </c>
      <c r="D207" s="22">
        <v>2300.0</v>
      </c>
      <c r="E207" s="15">
        <f t="shared" si="45"/>
        <v>4600</v>
      </c>
      <c r="F207" s="16"/>
      <c r="G207" s="25"/>
      <c r="H207" s="37"/>
      <c r="I207" s="87">
        <f>18000/15</f>
        <v>1200</v>
      </c>
      <c r="J207" s="15">
        <f t="shared" si="46"/>
        <v>2400</v>
      </c>
      <c r="K207" s="15">
        <f t="shared" si="47"/>
        <v>2200</v>
      </c>
      <c r="L207" s="110">
        <f t="shared" si="48"/>
        <v>0.4782608696</v>
      </c>
      <c r="M207" s="2"/>
      <c r="N207" s="3"/>
      <c r="O207" s="2"/>
      <c r="P207" s="3"/>
      <c r="Q207" s="3"/>
      <c r="R207" s="2"/>
      <c r="S207" s="3"/>
      <c r="T207" s="3"/>
      <c r="U207" s="1"/>
      <c r="V207" s="3"/>
      <c r="W207" s="3"/>
      <c r="X207" s="3"/>
      <c r="Y207" s="3"/>
      <c r="Z207" s="3"/>
    </row>
    <row r="208">
      <c r="A208" s="13"/>
      <c r="B208" s="12"/>
      <c r="C208" s="14"/>
      <c r="D208" s="15"/>
      <c r="E208" s="16"/>
      <c r="F208" s="16"/>
      <c r="H208" s="25"/>
      <c r="I208" s="16"/>
      <c r="J208" s="16"/>
      <c r="K208" s="16"/>
      <c r="L208" s="36"/>
      <c r="N208" s="3"/>
      <c r="O208" s="2"/>
      <c r="P208" s="3"/>
      <c r="Q208" s="3"/>
      <c r="R208" s="2"/>
      <c r="S208" s="3"/>
      <c r="T208" s="3"/>
      <c r="U208" s="1"/>
      <c r="V208" s="3"/>
      <c r="W208" s="3"/>
      <c r="X208" s="3"/>
      <c r="Y208" s="3"/>
      <c r="Z208" s="3"/>
    </row>
    <row r="209" ht="15.75" customHeight="1">
      <c r="A209" s="13"/>
      <c r="B209" s="12"/>
      <c r="C209" s="14"/>
      <c r="D209" s="15"/>
      <c r="E209" s="16">
        <f>SUM(E206:E208)</f>
        <v>9800</v>
      </c>
      <c r="F209" s="16"/>
      <c r="G209" s="25"/>
      <c r="H209" s="25"/>
      <c r="I209" s="16"/>
      <c r="J209" s="16"/>
      <c r="K209" s="16">
        <f>SUM(K206:K207)</f>
        <v>7400</v>
      </c>
      <c r="L209" s="110">
        <f>K209/E209</f>
        <v>0.7551020408</v>
      </c>
      <c r="M209" s="2"/>
      <c r="N209" s="3"/>
      <c r="O209" s="2"/>
      <c r="P209" s="3"/>
      <c r="Q209" s="3"/>
      <c r="R209" s="2"/>
      <c r="S209" s="3"/>
      <c r="T209" s="3"/>
      <c r="U209" s="1"/>
      <c r="V209" s="3"/>
      <c r="W209" s="3"/>
      <c r="X209" s="3"/>
      <c r="Y209" s="3"/>
      <c r="Z209" s="3"/>
    </row>
    <row r="210">
      <c r="A210" s="83"/>
      <c r="B210" s="84"/>
      <c r="C210" s="85"/>
      <c r="D210" s="22"/>
      <c r="E210" s="15"/>
      <c r="F210" s="22"/>
      <c r="G210" s="113"/>
      <c r="H210" s="101"/>
      <c r="I210" s="22"/>
      <c r="J210" s="15"/>
      <c r="K210" s="15"/>
      <c r="L210" s="110"/>
      <c r="M210" s="1"/>
      <c r="N210" s="3"/>
      <c r="O210" s="2"/>
      <c r="P210" s="3"/>
      <c r="Q210" s="3"/>
      <c r="R210" s="2"/>
      <c r="S210" s="3"/>
      <c r="T210" s="3"/>
      <c r="U210" s="1"/>
      <c r="V210" s="3"/>
      <c r="W210" s="3"/>
      <c r="X210" s="3"/>
      <c r="Y210" s="3"/>
      <c r="Z210" s="3"/>
    </row>
    <row r="211" ht="15.75" customHeight="1">
      <c r="A211" s="89" t="s">
        <v>90</v>
      </c>
      <c r="B211" s="89" t="s">
        <v>91</v>
      </c>
      <c r="C211" s="24"/>
      <c r="D211" s="81" t="s">
        <v>285</v>
      </c>
      <c r="E211" s="82">
        <v>46078.0</v>
      </c>
      <c r="F211" s="122" t="s">
        <v>2</v>
      </c>
      <c r="G211" s="25"/>
      <c r="H211" s="25"/>
      <c r="I211" s="16"/>
      <c r="J211" s="16"/>
      <c r="K211" s="16"/>
      <c r="L211" s="34"/>
      <c r="M211" s="2"/>
      <c r="N211" s="3"/>
      <c r="O211" s="2"/>
      <c r="P211" s="3"/>
      <c r="Q211" s="3"/>
      <c r="R211" s="2"/>
      <c r="S211" s="3"/>
      <c r="T211" s="3"/>
      <c r="U211" s="1"/>
      <c r="V211" s="3"/>
      <c r="W211" s="3"/>
      <c r="X211" s="3"/>
      <c r="Y211" s="3"/>
      <c r="Z211" s="3"/>
    </row>
    <row r="212" ht="15.75" customHeight="1">
      <c r="B212" s="25"/>
      <c r="C212" s="35"/>
      <c r="D212" s="25"/>
      <c r="E212" s="25"/>
      <c r="F212" s="25"/>
      <c r="G212" s="25"/>
      <c r="H212" s="25"/>
      <c r="I212" s="16"/>
      <c r="J212" s="16"/>
      <c r="K212" s="16"/>
      <c r="L212" s="34"/>
      <c r="M212" s="2"/>
      <c r="N212" s="3"/>
      <c r="O212" s="2"/>
      <c r="P212" s="3"/>
      <c r="Q212" s="3"/>
      <c r="R212" s="2"/>
      <c r="S212" s="3"/>
      <c r="T212" s="3"/>
      <c r="U212" s="1"/>
      <c r="V212" s="3"/>
      <c r="W212" s="3"/>
      <c r="X212" s="3"/>
      <c r="Y212" s="3"/>
      <c r="Z212" s="3"/>
    </row>
    <row r="213">
      <c r="A213" s="5" t="s">
        <v>4</v>
      </c>
      <c r="B213" s="10" t="s">
        <v>5</v>
      </c>
      <c r="C213" s="11" t="s">
        <v>6</v>
      </c>
      <c r="D213" s="84" t="s">
        <v>7</v>
      </c>
      <c r="E213" s="10" t="s">
        <v>8</v>
      </c>
      <c r="F213" s="12"/>
      <c r="G213" s="25"/>
      <c r="H213" s="25"/>
      <c r="I213" s="12"/>
      <c r="J213" s="12" t="s">
        <v>8</v>
      </c>
      <c r="K213" s="12" t="s">
        <v>10</v>
      </c>
      <c r="L213" s="34"/>
      <c r="M213" s="2"/>
      <c r="N213" s="3"/>
      <c r="O213" s="2"/>
      <c r="P213" s="3"/>
      <c r="Q213" s="3"/>
      <c r="R213" s="2"/>
      <c r="S213" s="3"/>
      <c r="T213" s="3"/>
      <c r="U213" s="1"/>
      <c r="V213" s="3"/>
      <c r="W213" s="3"/>
      <c r="X213" s="3"/>
      <c r="Y213" s="3"/>
      <c r="Z213" s="3"/>
    </row>
    <row r="214">
      <c r="A214" s="83">
        <v>2.0</v>
      </c>
      <c r="B214" s="84" t="s">
        <v>18</v>
      </c>
      <c r="C214" s="85" t="s">
        <v>382</v>
      </c>
      <c r="D214" s="22">
        <v>24000.0</v>
      </c>
      <c r="E214" s="15">
        <f>A214*D214</f>
        <v>48000</v>
      </c>
      <c r="F214" s="16"/>
      <c r="G214" s="25"/>
      <c r="H214" s="37"/>
      <c r="I214" s="86">
        <v>20000.0</v>
      </c>
      <c r="J214" s="15">
        <f>A214*I214</f>
        <v>40000</v>
      </c>
      <c r="K214" s="15">
        <f>E214-J214</f>
        <v>8000</v>
      </c>
      <c r="L214" s="110">
        <f>K214/E214</f>
        <v>0.1666666667</v>
      </c>
      <c r="M214" s="2"/>
      <c r="N214" s="3"/>
      <c r="O214" s="2"/>
      <c r="P214" s="3"/>
      <c r="Q214" s="3"/>
      <c r="R214" s="2"/>
      <c r="S214" s="3"/>
      <c r="T214" s="3"/>
      <c r="U214" s="1"/>
      <c r="V214" s="3"/>
      <c r="W214" s="3"/>
      <c r="X214" s="3"/>
      <c r="Y214" s="3"/>
      <c r="Z214" s="3"/>
    </row>
    <row r="215">
      <c r="A215" s="13"/>
      <c r="B215" s="12"/>
      <c r="C215" s="14"/>
      <c r="D215" s="15"/>
      <c r="E215" s="16"/>
      <c r="F215" s="16"/>
      <c r="H215" s="25"/>
      <c r="I215" s="16"/>
      <c r="J215" s="16"/>
      <c r="K215" s="16"/>
      <c r="L215" s="36"/>
      <c r="N215" s="3"/>
      <c r="O215" s="2"/>
      <c r="P215" s="3"/>
      <c r="Q215" s="3"/>
      <c r="R215" s="2"/>
      <c r="S215" s="3"/>
      <c r="T215" s="3"/>
      <c r="U215" s="1"/>
      <c r="V215" s="3"/>
      <c r="W215" s="3"/>
      <c r="X215" s="3"/>
      <c r="Y215" s="3"/>
      <c r="Z215" s="3"/>
    </row>
    <row r="216" ht="15.75" customHeight="1">
      <c r="A216" s="13"/>
      <c r="B216" s="12"/>
      <c r="C216" s="14"/>
      <c r="D216" s="15"/>
      <c r="E216" s="16">
        <f>SUM(E214:E215)</f>
        <v>48000</v>
      </c>
      <c r="F216" s="16"/>
      <c r="G216" s="25"/>
      <c r="H216" s="25"/>
      <c r="I216" s="16"/>
      <c r="J216" s="16"/>
      <c r="K216" s="16">
        <f>SUM(K214)</f>
        <v>8000</v>
      </c>
      <c r="L216" s="110">
        <f>K216/E216</f>
        <v>0.1666666667</v>
      </c>
      <c r="M216" s="2"/>
      <c r="N216" s="3"/>
      <c r="O216" s="2"/>
      <c r="P216" s="3"/>
      <c r="Q216" s="3"/>
      <c r="R216" s="2"/>
      <c r="S216" s="3"/>
      <c r="T216" s="3"/>
      <c r="U216" s="1"/>
      <c r="V216" s="3"/>
      <c r="W216" s="3"/>
      <c r="X216" s="3"/>
      <c r="Y216" s="3"/>
      <c r="Z216" s="3"/>
    </row>
    <row r="217" ht="15.75" customHeight="1">
      <c r="A217" s="83"/>
      <c r="B217" s="84"/>
      <c r="C217" s="85"/>
      <c r="D217" s="22"/>
      <c r="E217" s="15"/>
      <c r="F217" s="16"/>
      <c r="G217" s="25"/>
      <c r="H217" s="37"/>
      <c r="I217" s="87"/>
      <c r="J217" s="16"/>
      <c r="K217" s="16"/>
      <c r="L217" s="36"/>
      <c r="M217" s="2"/>
      <c r="N217" s="3"/>
      <c r="O217" s="2"/>
      <c r="P217" s="3"/>
      <c r="Q217" s="3"/>
      <c r="R217" s="2"/>
      <c r="S217" s="3"/>
      <c r="T217" s="3"/>
      <c r="U217" s="1"/>
      <c r="V217" s="3"/>
      <c r="W217" s="3"/>
      <c r="X217" s="3"/>
      <c r="Y217" s="3"/>
      <c r="Z217" s="3"/>
    </row>
    <row r="218" ht="15.75" customHeight="1">
      <c r="A218" s="83"/>
      <c r="B218" s="84"/>
      <c r="C218" s="85"/>
      <c r="D218" s="22"/>
      <c r="E218" s="15"/>
      <c r="F218" s="16"/>
      <c r="G218" s="25"/>
      <c r="H218" s="37"/>
      <c r="I218" s="22"/>
      <c r="J218" s="16"/>
      <c r="K218" s="16"/>
      <c r="L218" s="36"/>
      <c r="M218" s="2"/>
      <c r="N218" s="3"/>
      <c r="O218" s="2"/>
      <c r="P218" s="3"/>
      <c r="Q218" s="3"/>
      <c r="R218" s="2"/>
      <c r="S218" s="3"/>
      <c r="T218" s="3"/>
      <c r="U218" s="1"/>
      <c r="V218" s="3"/>
      <c r="W218" s="3"/>
      <c r="X218" s="3"/>
      <c r="Y218" s="3"/>
      <c r="Z218" s="3"/>
    </row>
    <row r="219" ht="15.75" customHeight="1">
      <c r="A219" s="83"/>
      <c r="B219" s="84"/>
      <c r="C219" s="85"/>
      <c r="D219" s="22"/>
      <c r="E219" s="15"/>
      <c r="F219" s="16"/>
      <c r="G219" s="25"/>
      <c r="H219" s="37"/>
      <c r="I219" s="87"/>
      <c r="J219" s="16"/>
      <c r="K219" s="16"/>
      <c r="L219" s="36"/>
      <c r="M219" s="2"/>
      <c r="N219" s="3"/>
      <c r="O219" s="2"/>
      <c r="P219" s="3"/>
      <c r="Q219" s="3"/>
      <c r="R219" s="2"/>
      <c r="S219" s="3"/>
      <c r="T219" s="3"/>
      <c r="U219" s="1"/>
      <c r="V219" s="3"/>
      <c r="W219" s="3"/>
      <c r="X219" s="3"/>
      <c r="Y219" s="3"/>
      <c r="Z219" s="3"/>
    </row>
    <row r="220" ht="15.75" customHeight="1">
      <c r="A220" s="89" t="s">
        <v>206</v>
      </c>
      <c r="B220" s="24"/>
      <c r="C220" s="24"/>
      <c r="D220" s="81" t="s">
        <v>229</v>
      </c>
      <c r="E220" s="81" t="s">
        <v>383</v>
      </c>
      <c r="F220" s="107" t="s">
        <v>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B221" s="25"/>
      <c r="C221" s="35"/>
      <c r="D221" s="25"/>
      <c r="E221" s="2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5" t="s">
        <v>4</v>
      </c>
      <c r="B222" s="10" t="s">
        <v>5</v>
      </c>
      <c r="C222" s="11" t="s">
        <v>6</v>
      </c>
      <c r="D222" s="12" t="s">
        <v>7</v>
      </c>
      <c r="E222" s="10" t="s">
        <v>8</v>
      </c>
      <c r="F222" s="2"/>
      <c r="G222" s="2"/>
      <c r="H222" s="2"/>
      <c r="I222" s="12" t="s">
        <v>7</v>
      </c>
      <c r="J222" s="12" t="s">
        <v>8</v>
      </c>
      <c r="K222" s="12" t="s">
        <v>10</v>
      </c>
      <c r="L222" s="3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3">
        <v>2.0</v>
      </c>
      <c r="B223" s="84" t="s">
        <v>11</v>
      </c>
      <c r="C223" s="85" t="s">
        <v>17</v>
      </c>
      <c r="D223" s="22">
        <v>5000.0</v>
      </c>
      <c r="E223" s="15">
        <f t="shared" ref="E223:E234" si="49">A223*D223</f>
        <v>10000</v>
      </c>
      <c r="F223" s="2"/>
      <c r="G223" s="2"/>
      <c r="H223" s="2"/>
      <c r="I223" s="87">
        <v>3400.0</v>
      </c>
      <c r="J223" s="16">
        <f t="shared" ref="J223:J234" si="50">A223*I223</f>
        <v>6800</v>
      </c>
      <c r="K223" s="16">
        <f t="shared" ref="K223:K234" si="51">E223-J223</f>
        <v>3200</v>
      </c>
      <c r="L223" s="116">
        <f t="shared" ref="L223:L234" si="52">K223/E223</f>
        <v>0.32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3">
        <v>1.0</v>
      </c>
      <c r="B224" s="84" t="s">
        <v>18</v>
      </c>
      <c r="C224" s="85" t="s">
        <v>384</v>
      </c>
      <c r="D224" s="22">
        <v>9000.0</v>
      </c>
      <c r="E224" s="15">
        <f t="shared" si="49"/>
        <v>9000</v>
      </c>
      <c r="F224" s="2"/>
      <c r="G224" s="2"/>
      <c r="H224" s="2"/>
      <c r="I224" s="87">
        <v>6000.0</v>
      </c>
      <c r="J224" s="16">
        <f t="shared" si="50"/>
        <v>6000</v>
      </c>
      <c r="K224" s="16">
        <f t="shared" si="51"/>
        <v>3000</v>
      </c>
      <c r="L224" s="116">
        <f t="shared" si="52"/>
        <v>0.3333333333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3">
        <v>1.0</v>
      </c>
      <c r="B225" s="84" t="s">
        <v>18</v>
      </c>
      <c r="C225" s="85" t="s">
        <v>113</v>
      </c>
      <c r="D225" s="22">
        <v>11000.0</v>
      </c>
      <c r="E225" s="15">
        <f t="shared" si="49"/>
        <v>11000</v>
      </c>
      <c r="F225" s="2"/>
      <c r="G225" s="2"/>
      <c r="H225" s="2"/>
      <c r="I225" s="87">
        <v>7000.0</v>
      </c>
      <c r="J225" s="16">
        <f t="shared" si="50"/>
        <v>7000</v>
      </c>
      <c r="K225" s="16">
        <f t="shared" si="51"/>
        <v>4000</v>
      </c>
      <c r="L225" s="116">
        <f t="shared" si="52"/>
        <v>0.3636363636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3">
        <v>1.0</v>
      </c>
      <c r="B226" s="84" t="s">
        <v>18</v>
      </c>
      <c r="C226" s="85" t="s">
        <v>32</v>
      </c>
      <c r="D226" s="22">
        <v>23000.0</v>
      </c>
      <c r="E226" s="15">
        <f t="shared" si="49"/>
        <v>23000</v>
      </c>
      <c r="F226" s="2"/>
      <c r="G226" s="2"/>
      <c r="H226" s="2"/>
      <c r="I226" s="87">
        <v>20000.0</v>
      </c>
      <c r="J226" s="16">
        <f t="shared" si="50"/>
        <v>20000</v>
      </c>
      <c r="K226" s="16">
        <f t="shared" si="51"/>
        <v>3000</v>
      </c>
      <c r="L226" s="116">
        <f t="shared" si="52"/>
        <v>0.1304347826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3">
        <v>1.0</v>
      </c>
      <c r="B227" s="84" t="s">
        <v>18</v>
      </c>
      <c r="C227" s="85" t="s">
        <v>385</v>
      </c>
      <c r="D227" s="22">
        <v>32000.0</v>
      </c>
      <c r="E227" s="15">
        <f t="shared" si="49"/>
        <v>32000</v>
      </c>
      <c r="F227" s="2"/>
      <c r="G227" s="2"/>
      <c r="H227" s="2"/>
      <c r="I227" s="87">
        <v>25000.0</v>
      </c>
      <c r="J227" s="16">
        <f t="shared" si="50"/>
        <v>25000</v>
      </c>
      <c r="K227" s="16">
        <f t="shared" si="51"/>
        <v>7000</v>
      </c>
      <c r="L227" s="116">
        <f t="shared" si="52"/>
        <v>0.21875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3">
        <v>4.0</v>
      </c>
      <c r="B228" s="84" t="s">
        <v>5</v>
      </c>
      <c r="C228" s="85" t="s">
        <v>118</v>
      </c>
      <c r="D228" s="22">
        <v>2500.0</v>
      </c>
      <c r="E228" s="15">
        <f t="shared" si="49"/>
        <v>10000</v>
      </c>
      <c r="F228" s="2"/>
      <c r="G228" s="2"/>
      <c r="H228" s="2"/>
      <c r="I228" s="87">
        <v>2000.0</v>
      </c>
      <c r="J228" s="16">
        <f t="shared" si="50"/>
        <v>8000</v>
      </c>
      <c r="K228" s="16">
        <f t="shared" si="51"/>
        <v>2000</v>
      </c>
      <c r="L228" s="116">
        <f t="shared" si="52"/>
        <v>0.2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3">
        <v>1.0</v>
      </c>
      <c r="B229" s="84" t="s">
        <v>29</v>
      </c>
      <c r="C229" s="85" t="s">
        <v>87</v>
      </c>
      <c r="D229" s="22">
        <v>70000.0</v>
      </c>
      <c r="E229" s="15">
        <f t="shared" si="49"/>
        <v>70000</v>
      </c>
      <c r="F229" s="2"/>
      <c r="G229" s="2"/>
      <c r="H229" s="2"/>
      <c r="I229" s="87">
        <v>65000.0</v>
      </c>
      <c r="J229" s="16">
        <f t="shared" si="50"/>
        <v>65000</v>
      </c>
      <c r="K229" s="16">
        <f t="shared" si="51"/>
        <v>5000</v>
      </c>
      <c r="L229" s="116">
        <f t="shared" si="52"/>
        <v>0.07142857143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3">
        <v>1.0</v>
      </c>
      <c r="B230" s="84" t="s">
        <v>38</v>
      </c>
      <c r="C230" s="85" t="s">
        <v>117</v>
      </c>
      <c r="D230" s="22">
        <v>25000.0</v>
      </c>
      <c r="E230" s="15">
        <f t="shared" si="49"/>
        <v>25000</v>
      </c>
      <c r="F230" s="2"/>
      <c r="G230" s="2"/>
      <c r="H230" s="2"/>
      <c r="I230" s="87">
        <v>14000.0</v>
      </c>
      <c r="J230" s="16">
        <f t="shared" si="50"/>
        <v>14000</v>
      </c>
      <c r="K230" s="16">
        <f t="shared" si="51"/>
        <v>11000</v>
      </c>
      <c r="L230" s="116">
        <f t="shared" si="52"/>
        <v>0.44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3">
        <v>2.0</v>
      </c>
      <c r="B231" s="84" t="s">
        <v>38</v>
      </c>
      <c r="C231" s="85" t="s">
        <v>247</v>
      </c>
      <c r="D231" s="22">
        <v>21000.0</v>
      </c>
      <c r="E231" s="15">
        <f t="shared" si="49"/>
        <v>42000</v>
      </c>
      <c r="F231" s="2"/>
      <c r="G231" s="2"/>
      <c r="H231" s="2"/>
      <c r="I231" s="87">
        <v>18000.0</v>
      </c>
      <c r="J231" s="16">
        <f t="shared" si="50"/>
        <v>36000</v>
      </c>
      <c r="K231" s="16">
        <f t="shared" si="51"/>
        <v>6000</v>
      </c>
      <c r="L231" s="116">
        <f t="shared" si="52"/>
        <v>0.1428571429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3">
        <v>1.0</v>
      </c>
      <c r="B232" s="84" t="s">
        <v>29</v>
      </c>
      <c r="C232" s="85" t="s">
        <v>176</v>
      </c>
      <c r="D232" s="22">
        <v>34000.0</v>
      </c>
      <c r="E232" s="15">
        <f t="shared" si="49"/>
        <v>34000</v>
      </c>
      <c r="F232" s="2"/>
      <c r="G232" s="2"/>
      <c r="H232" s="2"/>
      <c r="I232" s="87">
        <v>23000.0</v>
      </c>
      <c r="J232" s="16">
        <f t="shared" si="50"/>
        <v>23000</v>
      </c>
      <c r="K232" s="16">
        <f t="shared" si="51"/>
        <v>11000</v>
      </c>
      <c r="L232" s="116">
        <f t="shared" si="52"/>
        <v>0.3235294118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3">
        <v>3.0</v>
      </c>
      <c r="B233" s="84" t="s">
        <v>11</v>
      </c>
      <c r="C233" s="85" t="s">
        <v>68</v>
      </c>
      <c r="D233" s="22">
        <v>4000.0</v>
      </c>
      <c r="E233" s="15">
        <f t="shared" si="49"/>
        <v>12000</v>
      </c>
      <c r="F233" s="2"/>
      <c r="G233" s="2"/>
      <c r="H233" s="2"/>
      <c r="I233" s="87">
        <v>1500.0</v>
      </c>
      <c r="J233" s="16">
        <f t="shared" si="50"/>
        <v>4500</v>
      </c>
      <c r="K233" s="16">
        <f t="shared" si="51"/>
        <v>7500</v>
      </c>
      <c r="L233" s="116">
        <f t="shared" si="52"/>
        <v>0.625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3">
        <v>3.0</v>
      </c>
      <c r="B234" s="84" t="s">
        <v>33</v>
      </c>
      <c r="C234" s="85" t="s">
        <v>86</v>
      </c>
      <c r="D234" s="22">
        <v>4000.0</v>
      </c>
      <c r="E234" s="15">
        <f t="shared" si="49"/>
        <v>12000</v>
      </c>
      <c r="F234" s="2"/>
      <c r="G234" s="2"/>
      <c r="H234" s="2"/>
      <c r="I234" s="87">
        <v>3000.0</v>
      </c>
      <c r="J234" s="16">
        <f t="shared" si="50"/>
        <v>9000</v>
      </c>
      <c r="K234" s="16">
        <f t="shared" si="51"/>
        <v>3000</v>
      </c>
      <c r="L234" s="116">
        <f t="shared" si="52"/>
        <v>0.25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3"/>
      <c r="B235" s="12"/>
      <c r="C235" s="14"/>
      <c r="D235" s="15"/>
      <c r="E235" s="16"/>
      <c r="F235" s="2"/>
      <c r="G235" s="2"/>
      <c r="H235" s="2"/>
      <c r="I235" s="16"/>
      <c r="J235" s="16"/>
      <c r="K235" s="16"/>
      <c r="L235" s="110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3"/>
      <c r="B236" s="12"/>
      <c r="C236" s="14"/>
      <c r="D236" s="15"/>
      <c r="E236" s="16">
        <f>SUM(E223:E235)</f>
        <v>290000</v>
      </c>
      <c r="F236" s="2"/>
      <c r="G236" s="2"/>
      <c r="H236" s="2"/>
      <c r="I236" s="16"/>
      <c r="J236" s="16"/>
      <c r="K236" s="16">
        <f>SUM(K223:K234)</f>
        <v>65700</v>
      </c>
      <c r="L236" s="116">
        <f>K236/E236</f>
        <v>0.2265517241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3"/>
      <c r="B237" s="84"/>
      <c r="C237" s="85"/>
      <c r="D237" s="22"/>
      <c r="E237" s="15"/>
      <c r="F237" s="16"/>
      <c r="G237" s="25"/>
      <c r="H237" s="37"/>
      <c r="I237" s="87"/>
      <c r="J237" s="16"/>
      <c r="K237" s="16"/>
      <c r="L237" s="36"/>
      <c r="M237" s="2"/>
      <c r="N237" s="3"/>
      <c r="O237" s="2"/>
      <c r="P237" s="3"/>
      <c r="Q237" s="3"/>
      <c r="R237" s="2"/>
      <c r="S237" s="3"/>
      <c r="T237" s="3"/>
      <c r="U237" s="1"/>
      <c r="V237" s="3"/>
      <c r="W237" s="3"/>
      <c r="X237" s="3"/>
      <c r="Y237" s="3"/>
      <c r="Z237" s="3"/>
    </row>
    <row r="238" ht="15.75" customHeight="1">
      <c r="A238" s="89" t="s">
        <v>80</v>
      </c>
      <c r="B238" s="24"/>
      <c r="C238" s="24"/>
      <c r="D238" s="81" t="s">
        <v>220</v>
      </c>
      <c r="E238" s="81" t="s">
        <v>386</v>
      </c>
      <c r="F238" s="122" t="s">
        <v>2</v>
      </c>
      <c r="G238" s="25"/>
      <c r="H238" s="25"/>
      <c r="I238" s="16"/>
      <c r="J238" s="16"/>
      <c r="K238" s="16"/>
      <c r="L238" s="36"/>
      <c r="M238" s="2"/>
      <c r="N238" s="3"/>
      <c r="O238" s="2"/>
      <c r="P238" s="3"/>
      <c r="Q238" s="3"/>
      <c r="R238" s="2"/>
      <c r="S238" s="3"/>
      <c r="T238" s="3"/>
      <c r="U238" s="1"/>
      <c r="V238" s="3"/>
      <c r="W238" s="3"/>
      <c r="X238" s="3"/>
      <c r="Y238" s="3"/>
      <c r="Z238" s="3"/>
    </row>
    <row r="239" ht="15.75" customHeight="1">
      <c r="B239" s="25"/>
      <c r="C239" s="35"/>
      <c r="D239" s="25"/>
      <c r="E239" s="25"/>
      <c r="F239" s="25"/>
      <c r="G239" s="25"/>
      <c r="H239" s="25"/>
      <c r="I239" s="16"/>
      <c r="J239" s="16"/>
      <c r="K239" s="16"/>
      <c r="L239" s="36"/>
      <c r="M239" s="2"/>
      <c r="N239" s="3"/>
      <c r="O239" s="2"/>
      <c r="P239" s="3"/>
      <c r="Q239" s="3"/>
      <c r="R239" s="2"/>
      <c r="S239" s="3"/>
      <c r="T239" s="3"/>
      <c r="U239" s="1"/>
      <c r="V239" s="3"/>
      <c r="W239" s="3"/>
      <c r="X239" s="3"/>
      <c r="Y239" s="3"/>
      <c r="Z239" s="3"/>
    </row>
    <row r="240" ht="15.75" customHeight="1">
      <c r="A240" s="5" t="s">
        <v>4</v>
      </c>
      <c r="B240" s="10" t="s">
        <v>5</v>
      </c>
      <c r="C240" s="11" t="s">
        <v>6</v>
      </c>
      <c r="D240" s="12" t="s">
        <v>7</v>
      </c>
      <c r="E240" s="10" t="s">
        <v>8</v>
      </c>
      <c r="F240" s="12"/>
      <c r="G240" s="25"/>
      <c r="H240" s="25"/>
      <c r="I240" s="12" t="s">
        <v>7</v>
      </c>
      <c r="J240" s="12" t="s">
        <v>8</v>
      </c>
      <c r="K240" s="12" t="s">
        <v>10</v>
      </c>
      <c r="L240" s="36"/>
      <c r="M240" s="2"/>
      <c r="N240" s="3"/>
      <c r="O240" s="2"/>
      <c r="P240" s="3"/>
      <c r="Q240" s="3"/>
      <c r="R240" s="2"/>
      <c r="S240" s="3"/>
      <c r="T240" s="3"/>
      <c r="U240" s="1"/>
      <c r="V240" s="3"/>
      <c r="W240" s="3"/>
      <c r="X240" s="3"/>
      <c r="Y240" s="3"/>
      <c r="Z240" s="3"/>
    </row>
    <row r="241" ht="15.75" customHeight="1">
      <c r="A241" s="83">
        <v>1.0</v>
      </c>
      <c r="B241" s="84" t="s">
        <v>38</v>
      </c>
      <c r="C241" s="85" t="s">
        <v>67</v>
      </c>
      <c r="D241" s="22">
        <v>12000.0</v>
      </c>
      <c r="E241" s="15">
        <f>A241*D241</f>
        <v>12000</v>
      </c>
      <c r="F241" s="16"/>
      <c r="G241" s="25"/>
      <c r="H241" s="37"/>
      <c r="I241" s="87">
        <v>8000.0</v>
      </c>
      <c r="J241" s="16">
        <f>I241*A241</f>
        <v>8000</v>
      </c>
      <c r="K241" s="16">
        <f>E241-J241</f>
        <v>4000</v>
      </c>
      <c r="L241" s="36">
        <f>K241/E241</f>
        <v>0.3333333333</v>
      </c>
      <c r="M241" s="2"/>
      <c r="N241" s="3"/>
      <c r="O241" s="2"/>
      <c r="P241" s="3"/>
      <c r="Q241" s="3"/>
      <c r="R241" s="2"/>
      <c r="S241" s="3"/>
      <c r="T241" s="3"/>
      <c r="U241" s="1"/>
      <c r="V241" s="3"/>
      <c r="W241" s="3"/>
      <c r="X241" s="3"/>
      <c r="Y241" s="3"/>
      <c r="Z241" s="3"/>
    </row>
    <row r="242" ht="15.75" customHeight="1">
      <c r="A242" s="13"/>
      <c r="B242" s="12"/>
      <c r="C242" s="14"/>
      <c r="D242" s="15"/>
      <c r="E242" s="16"/>
      <c r="F242" s="16"/>
      <c r="H242" s="25"/>
      <c r="I242" s="16"/>
      <c r="J242" s="16"/>
      <c r="K242" s="16"/>
      <c r="L242" s="36"/>
      <c r="N242" s="3"/>
      <c r="O242" s="2"/>
      <c r="P242" s="3"/>
      <c r="Q242" s="3"/>
      <c r="R242" s="2"/>
      <c r="S242" s="3"/>
      <c r="T242" s="3"/>
      <c r="U242" s="1"/>
      <c r="V242" s="3"/>
      <c r="W242" s="3"/>
      <c r="X242" s="3"/>
      <c r="Y242" s="3"/>
      <c r="Z242" s="3"/>
    </row>
    <row r="243" ht="15.75" customHeight="1">
      <c r="A243" s="13"/>
      <c r="B243" s="12"/>
      <c r="C243" s="14"/>
      <c r="D243" s="15"/>
      <c r="E243" s="16">
        <f>SUM(E241:E242)</f>
        <v>12000</v>
      </c>
      <c r="F243" s="16"/>
      <c r="G243" s="25"/>
      <c r="H243" s="25"/>
      <c r="I243" s="16"/>
      <c r="J243" s="16"/>
      <c r="K243" s="16">
        <f>SUM(K241)</f>
        <v>4000</v>
      </c>
      <c r="L243" s="110">
        <f>K243/E243</f>
        <v>0.3333333333</v>
      </c>
      <c r="M243" s="2"/>
      <c r="N243" s="3"/>
      <c r="O243" s="2"/>
      <c r="P243" s="3"/>
      <c r="Q243" s="3"/>
      <c r="R243" s="2"/>
      <c r="S243" s="3"/>
      <c r="T243" s="3"/>
      <c r="U243" s="1"/>
      <c r="V243" s="3"/>
      <c r="W243" s="3"/>
      <c r="X243" s="3"/>
      <c r="Y243" s="3"/>
      <c r="Z243" s="3"/>
    </row>
    <row r="244" ht="26.25" customHeight="1">
      <c r="A244" s="30"/>
      <c r="B244" s="4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9" t="s">
        <v>190</v>
      </c>
      <c r="B246" s="24"/>
      <c r="C246" s="24"/>
      <c r="D246" s="81" t="s">
        <v>337</v>
      </c>
      <c r="E246" s="81" t="s">
        <v>383</v>
      </c>
      <c r="F246" s="33" t="s">
        <v>13</v>
      </c>
      <c r="G246" s="25"/>
      <c r="H246" s="25"/>
      <c r="I246" s="16"/>
      <c r="J246" s="16"/>
      <c r="K246" s="16"/>
      <c r="L246" s="34"/>
      <c r="M246" s="2"/>
      <c r="N246" s="3"/>
      <c r="O246" s="2"/>
      <c r="P246" s="3"/>
      <c r="Q246" s="3"/>
      <c r="R246" s="2"/>
      <c r="S246" s="3"/>
      <c r="T246" s="3"/>
      <c r="U246" s="1"/>
      <c r="V246" s="3"/>
      <c r="W246" s="3"/>
      <c r="X246" s="3"/>
      <c r="Y246" s="3"/>
      <c r="Z246" s="3"/>
    </row>
    <row r="247">
      <c r="B247" s="25"/>
      <c r="C247" s="35"/>
      <c r="D247" s="25"/>
      <c r="E247" s="25"/>
      <c r="F247" s="25"/>
      <c r="G247" s="25"/>
      <c r="H247" s="25"/>
      <c r="I247" s="16"/>
      <c r="J247" s="16"/>
      <c r="K247" s="16"/>
      <c r="L247" s="34"/>
      <c r="M247" s="2"/>
      <c r="N247" s="3"/>
      <c r="O247" s="2"/>
      <c r="P247" s="3"/>
      <c r="Q247" s="3"/>
      <c r="R247" s="2"/>
      <c r="S247" s="3"/>
      <c r="T247" s="3"/>
      <c r="U247" s="1"/>
      <c r="V247" s="3"/>
      <c r="W247" s="3"/>
      <c r="X247" s="3"/>
      <c r="Y247" s="3"/>
      <c r="Z247" s="3"/>
    </row>
    <row r="248">
      <c r="A248" s="5" t="s">
        <v>4</v>
      </c>
      <c r="B248" s="92" t="s">
        <v>5</v>
      </c>
      <c r="C248" s="11" t="s">
        <v>6</v>
      </c>
      <c r="D248" s="12" t="s">
        <v>7</v>
      </c>
      <c r="E248" s="10" t="s">
        <v>8</v>
      </c>
      <c r="F248" s="12"/>
      <c r="G248" s="25"/>
      <c r="H248" s="25"/>
      <c r="I248" s="12" t="s">
        <v>7</v>
      </c>
      <c r="J248" s="12" t="s">
        <v>8</v>
      </c>
      <c r="K248" s="12" t="s">
        <v>10</v>
      </c>
      <c r="L248" s="34"/>
      <c r="M248" s="2"/>
      <c r="N248" s="3"/>
      <c r="O248" s="2"/>
      <c r="P248" s="3"/>
      <c r="Q248" s="3"/>
      <c r="R248" s="2"/>
      <c r="S248" s="3"/>
      <c r="T248" s="3"/>
      <c r="U248" s="1"/>
      <c r="V248" s="3"/>
      <c r="W248" s="3"/>
      <c r="X248" s="3"/>
      <c r="Y248" s="3"/>
      <c r="Z248" s="3"/>
    </row>
    <row r="249">
      <c r="A249" s="83">
        <v>1.5</v>
      </c>
      <c r="B249" s="84" t="s">
        <v>18</v>
      </c>
      <c r="C249" s="85" t="s">
        <v>103</v>
      </c>
      <c r="D249" s="22">
        <v>11000.0</v>
      </c>
      <c r="E249" s="15">
        <f t="shared" ref="E249:E256" si="53">A249*D249</f>
        <v>16500</v>
      </c>
      <c r="F249" s="16"/>
      <c r="G249" s="25"/>
      <c r="H249" s="37"/>
      <c r="I249" s="22">
        <v>8000.0</v>
      </c>
      <c r="J249" s="16">
        <f t="shared" ref="J249:J256" si="54">I249*A249</f>
        <v>12000</v>
      </c>
      <c r="K249" s="16">
        <f t="shared" ref="K249:K256" si="55">E249-J249</f>
        <v>4500</v>
      </c>
      <c r="L249" s="36">
        <f t="shared" ref="L249:L255" si="56">K249/E249</f>
        <v>0.2727272727</v>
      </c>
      <c r="M249" s="2"/>
      <c r="N249" s="3"/>
      <c r="O249" s="2"/>
      <c r="P249" s="3"/>
      <c r="Q249" s="3"/>
      <c r="R249" s="2"/>
      <c r="S249" s="3"/>
      <c r="T249" s="3"/>
      <c r="U249" s="1"/>
      <c r="V249" s="3"/>
      <c r="W249" s="3"/>
      <c r="X249" s="3"/>
      <c r="Y249" s="3"/>
      <c r="Z249" s="3"/>
    </row>
    <row r="250">
      <c r="A250" s="83">
        <v>8.0</v>
      </c>
      <c r="B250" s="84" t="s">
        <v>50</v>
      </c>
      <c r="C250" s="85" t="s">
        <v>65</v>
      </c>
      <c r="D250" s="22">
        <v>400.0</v>
      </c>
      <c r="E250" s="15">
        <f t="shared" si="53"/>
        <v>3200</v>
      </c>
      <c r="F250" s="16"/>
      <c r="G250" s="25"/>
      <c r="H250" s="37"/>
      <c r="I250" s="22">
        <f>5000/24</f>
        <v>208.3333333</v>
      </c>
      <c r="J250" s="16">
        <f t="shared" si="54"/>
        <v>1666.666667</v>
      </c>
      <c r="K250" s="16">
        <f t="shared" si="55"/>
        <v>1533.333333</v>
      </c>
      <c r="L250" s="111">
        <f t="shared" si="56"/>
        <v>0.4791666667</v>
      </c>
      <c r="M250" s="2"/>
      <c r="N250" s="3"/>
      <c r="O250" s="2"/>
      <c r="P250" s="3"/>
      <c r="Q250" s="3"/>
      <c r="R250" s="2"/>
      <c r="S250" s="3"/>
      <c r="T250" s="3"/>
      <c r="U250" s="1"/>
      <c r="V250" s="3"/>
      <c r="W250" s="3"/>
      <c r="X250" s="3"/>
      <c r="Y250" s="3"/>
      <c r="Z250" s="3"/>
    </row>
    <row r="251">
      <c r="A251" s="83">
        <v>3.0</v>
      </c>
      <c r="B251" s="84" t="s">
        <v>50</v>
      </c>
      <c r="C251" s="85" t="s">
        <v>16</v>
      </c>
      <c r="D251" s="22">
        <v>1000.0</v>
      </c>
      <c r="E251" s="15">
        <f t="shared" si="53"/>
        <v>3000</v>
      </c>
      <c r="F251" s="16"/>
      <c r="G251" s="25"/>
      <c r="H251" s="37"/>
      <c r="I251" s="87">
        <f>5000/12</f>
        <v>416.6666667</v>
      </c>
      <c r="J251" s="16">
        <f t="shared" si="54"/>
        <v>1250</v>
      </c>
      <c r="K251" s="16">
        <f t="shared" si="55"/>
        <v>1750</v>
      </c>
      <c r="L251" s="36">
        <f t="shared" si="56"/>
        <v>0.5833333333</v>
      </c>
      <c r="M251" s="2"/>
      <c r="N251" s="3"/>
      <c r="O251" s="2"/>
      <c r="P251" s="3"/>
      <c r="Q251" s="3"/>
      <c r="R251" s="2"/>
      <c r="S251" s="3"/>
      <c r="T251" s="3"/>
      <c r="U251" s="1"/>
      <c r="V251" s="3"/>
      <c r="W251" s="3"/>
      <c r="X251" s="3"/>
      <c r="Y251" s="3"/>
      <c r="Z251" s="3"/>
    </row>
    <row r="252">
      <c r="A252" s="83">
        <v>4.6</v>
      </c>
      <c r="B252" s="84" t="s">
        <v>33</v>
      </c>
      <c r="C252" s="85" t="s">
        <v>177</v>
      </c>
      <c r="D252" s="22">
        <v>1200.0</v>
      </c>
      <c r="E252" s="15">
        <f t="shared" si="53"/>
        <v>5520</v>
      </c>
      <c r="F252" s="16"/>
      <c r="G252" s="25"/>
      <c r="H252" s="37"/>
      <c r="I252" s="87">
        <v>0.0</v>
      </c>
      <c r="J252" s="16">
        <f t="shared" si="54"/>
        <v>0</v>
      </c>
      <c r="K252" s="16">
        <f t="shared" si="55"/>
        <v>5520</v>
      </c>
      <c r="L252" s="111">
        <f t="shared" si="56"/>
        <v>1</v>
      </c>
      <c r="M252" s="2"/>
      <c r="N252" s="3"/>
      <c r="O252" s="2"/>
      <c r="P252" s="3"/>
      <c r="Q252" s="3"/>
      <c r="R252" s="2"/>
      <c r="S252" s="3"/>
      <c r="T252" s="3"/>
      <c r="U252" s="1"/>
      <c r="V252" s="3"/>
      <c r="W252" s="3"/>
      <c r="X252" s="3"/>
      <c r="Y252" s="3"/>
      <c r="Z252" s="3"/>
    </row>
    <row r="253">
      <c r="A253" s="83">
        <v>2.0</v>
      </c>
      <c r="B253" s="84" t="s">
        <v>50</v>
      </c>
      <c r="C253" s="85" t="s">
        <v>17</v>
      </c>
      <c r="D253" s="22">
        <v>5500.0</v>
      </c>
      <c r="E253" s="15">
        <f t="shared" si="53"/>
        <v>11000</v>
      </c>
      <c r="F253" s="16"/>
      <c r="G253" s="25"/>
      <c r="H253" s="37"/>
      <c r="I253" s="87">
        <v>3500.0</v>
      </c>
      <c r="J253" s="16">
        <f t="shared" si="54"/>
        <v>7000</v>
      </c>
      <c r="K253" s="16">
        <f t="shared" si="55"/>
        <v>4000</v>
      </c>
      <c r="L253" s="112">
        <f t="shared" si="56"/>
        <v>0.3636363636</v>
      </c>
      <c r="M253" s="2"/>
      <c r="N253" s="3"/>
      <c r="O253" s="2"/>
      <c r="P253" s="3"/>
      <c r="Q253" s="3"/>
      <c r="R253" s="2"/>
      <c r="S253" s="3"/>
      <c r="T253" s="3"/>
      <c r="U253" s="1"/>
      <c r="V253" s="3"/>
      <c r="W253" s="3"/>
      <c r="X253" s="3"/>
      <c r="Y253" s="3"/>
      <c r="Z253" s="3"/>
    </row>
    <row r="254">
      <c r="A254" s="83">
        <v>0.5</v>
      </c>
      <c r="B254" s="84" t="s">
        <v>50</v>
      </c>
      <c r="C254" s="85" t="s">
        <v>89</v>
      </c>
      <c r="D254" s="22">
        <v>5000.0</v>
      </c>
      <c r="E254" s="15">
        <f t="shared" si="53"/>
        <v>2500</v>
      </c>
      <c r="F254" s="16"/>
      <c r="G254" s="25"/>
      <c r="H254" s="37"/>
      <c r="I254" s="87">
        <v>4000.0</v>
      </c>
      <c r="J254" s="16">
        <f t="shared" si="54"/>
        <v>2000</v>
      </c>
      <c r="K254" s="16">
        <f t="shared" si="55"/>
        <v>500</v>
      </c>
      <c r="L254" s="36">
        <f t="shared" si="56"/>
        <v>0.2</v>
      </c>
      <c r="M254" s="2"/>
      <c r="N254" s="3"/>
      <c r="O254" s="2"/>
      <c r="P254" s="3"/>
      <c r="Q254" s="3"/>
      <c r="R254" s="2"/>
      <c r="S254" s="3"/>
      <c r="T254" s="3"/>
      <c r="U254" s="1"/>
      <c r="V254" s="3"/>
      <c r="W254" s="3"/>
      <c r="X254" s="3"/>
      <c r="Y254" s="3"/>
      <c r="Z254" s="3"/>
    </row>
    <row r="255">
      <c r="A255" s="83">
        <v>1.0</v>
      </c>
      <c r="B255" s="84" t="s">
        <v>18</v>
      </c>
      <c r="C255" s="85" t="s">
        <v>202</v>
      </c>
      <c r="D255" s="22">
        <v>25000.0</v>
      </c>
      <c r="E255" s="15">
        <f t="shared" si="53"/>
        <v>25000</v>
      </c>
      <c r="F255" s="16"/>
      <c r="G255" s="25"/>
      <c r="H255" s="37"/>
      <c r="I255" s="22">
        <v>18000.0</v>
      </c>
      <c r="J255" s="16">
        <f t="shared" si="54"/>
        <v>18000</v>
      </c>
      <c r="K255" s="16">
        <f t="shared" si="55"/>
        <v>7000</v>
      </c>
      <c r="L255" s="111">
        <f t="shared" si="56"/>
        <v>0.28</v>
      </c>
      <c r="M255" s="2"/>
      <c r="N255" s="3"/>
      <c r="O255" s="2"/>
      <c r="P255" s="3"/>
      <c r="Q255" s="3"/>
      <c r="R255" s="2"/>
      <c r="S255" s="3"/>
      <c r="T255" s="3"/>
      <c r="U255" s="1"/>
      <c r="V255" s="3"/>
      <c r="W255" s="3"/>
      <c r="X255" s="3"/>
      <c r="Y255" s="3"/>
      <c r="Z255" s="3"/>
    </row>
    <row r="256">
      <c r="A256" s="83">
        <v>3.0</v>
      </c>
      <c r="B256" s="84" t="s">
        <v>50</v>
      </c>
      <c r="C256" s="85" t="s">
        <v>308</v>
      </c>
      <c r="D256" s="22">
        <v>1500.0</v>
      </c>
      <c r="E256" s="15">
        <f t="shared" si="53"/>
        <v>4500</v>
      </c>
      <c r="F256" s="87" t="s">
        <v>13</v>
      </c>
      <c r="H256" s="25"/>
      <c r="I256" s="87">
        <v>1000.0</v>
      </c>
      <c r="J256" s="16">
        <f t="shared" si="54"/>
        <v>3000</v>
      </c>
      <c r="K256" s="16">
        <f t="shared" si="55"/>
        <v>1500</v>
      </c>
      <c r="L256" s="36"/>
      <c r="N256" s="3"/>
      <c r="O256" s="2"/>
      <c r="P256" s="3"/>
      <c r="Q256" s="3"/>
      <c r="R256" s="2"/>
      <c r="S256" s="3"/>
      <c r="T256" s="3"/>
      <c r="U256" s="1"/>
      <c r="V256" s="3"/>
      <c r="W256" s="3"/>
      <c r="X256" s="3"/>
      <c r="Y256" s="3"/>
      <c r="Z256" s="3"/>
    </row>
    <row r="257">
      <c r="A257" s="13"/>
      <c r="B257" s="12"/>
      <c r="C257" s="14"/>
      <c r="D257" s="15"/>
      <c r="E257" s="87" t="s">
        <v>13</v>
      </c>
      <c r="F257" s="16"/>
      <c r="G257" s="25"/>
      <c r="H257" s="25"/>
      <c r="I257" s="16"/>
      <c r="J257" s="16"/>
      <c r="K257" s="87" t="s">
        <v>13</v>
      </c>
      <c r="L257" s="110" t="str">
        <f>K257/E257</f>
        <v>#VALUE!</v>
      </c>
      <c r="M257" s="2"/>
      <c r="N257" s="3"/>
      <c r="O257" s="2"/>
      <c r="P257" s="3"/>
      <c r="Q257" s="3"/>
      <c r="R257" s="2"/>
      <c r="S257" s="3"/>
      <c r="T257" s="3"/>
      <c r="U257" s="1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16">
        <f>SUM(E248:E257)</f>
        <v>71220</v>
      </c>
      <c r="F258" s="2"/>
      <c r="G258" s="2"/>
      <c r="H258" s="2"/>
      <c r="I258" s="2"/>
      <c r="J258" s="2"/>
      <c r="K258" s="16">
        <f>SUM(K248:K257)</f>
        <v>26303.33333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75" customHeight="1">
      <c r="A261" s="30" t="s">
        <v>120</v>
      </c>
      <c r="B261" s="31">
        <f>E258+E243+E236+E216+E209+E200+F164+F129+F87+F71+F39+F25</f>
        <v>2510682.9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8.5" customHeight="1">
      <c r="A263" s="30" t="s">
        <v>121</v>
      </c>
      <c r="B263" s="108">
        <f>K258+K243+K236+K216+K209+K200+K164+K129+K87+K71+K39+K25</f>
        <v>819185.8337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8.5" customHeight="1">
      <c r="A266" s="30" t="s">
        <v>123</v>
      </c>
      <c r="B266" s="41">
        <f>B263/B261</f>
        <v>0.3262800865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2" t="s">
        <v>124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</sheetData>
  <mergeCells count="12">
    <mergeCell ref="A90:C90"/>
    <mergeCell ref="A74:C74"/>
    <mergeCell ref="A43:C43"/>
    <mergeCell ref="A2:C2"/>
    <mergeCell ref="I2:K2"/>
    <mergeCell ref="I90:K90"/>
    <mergeCell ref="A133:C133"/>
    <mergeCell ref="I133:K133"/>
    <mergeCell ref="A268:B268"/>
    <mergeCell ref="I28:K28"/>
    <mergeCell ref="I43:K43"/>
    <mergeCell ref="I74:K74"/>
  </mergeCells>
  <conditionalFormatting sqref="L1 L23:L25 L28:L39 L43:L129 L133:L164 L203:L209 L211:L216 L220:L221 K222:K236 L223:L234 L236 L244:L245 L258:L690">
    <cfRule type="cellIs" dxfId="0" priority="1" operator="lessThan">
      <formula>"20%"</formula>
    </cfRule>
  </conditionalFormatting>
  <conditionalFormatting sqref="L1 L23:L25 L28:L39 L43:L129 L133:L164 L203:L209 L211:L216 L220:L221 K222:K236 L223:L234 L236 L244:L245 L258:L690">
    <cfRule type="cellIs" dxfId="1" priority="2" operator="between">
      <formula>"20.01%"</formula>
      <formula>"25%"</formula>
    </cfRule>
  </conditionalFormatting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1.38"/>
    <col customWidth="1" min="5" max="7" width="14.38"/>
  </cols>
  <sheetData>
    <row r="3">
      <c r="A3" s="124"/>
      <c r="B3" s="125" t="s">
        <v>388</v>
      </c>
      <c r="C3" s="126"/>
      <c r="D3" s="127"/>
      <c r="E3" s="127"/>
      <c r="F3" s="127"/>
      <c r="G3" s="128"/>
    </row>
    <row r="4">
      <c r="A4" s="124"/>
      <c r="B4" s="129"/>
      <c r="D4" s="130"/>
      <c r="E4" s="130"/>
      <c r="F4" s="130"/>
      <c r="G4" s="131"/>
      <c r="H4" s="132"/>
    </row>
    <row r="5">
      <c r="A5" s="124"/>
      <c r="B5" s="133"/>
      <c r="F5" s="124"/>
      <c r="G5" s="134"/>
      <c r="H5" s="135"/>
    </row>
    <row r="6">
      <c r="A6" s="124"/>
      <c r="B6" s="133"/>
      <c r="D6" s="136" t="s">
        <v>389</v>
      </c>
      <c r="E6" s="137" t="s">
        <v>390</v>
      </c>
      <c r="F6" s="124"/>
      <c r="G6" s="134"/>
      <c r="H6" s="135"/>
    </row>
    <row r="7">
      <c r="A7" s="124"/>
      <c r="B7" s="133"/>
      <c r="D7" s="136" t="s">
        <v>391</v>
      </c>
      <c r="E7" s="138" t="s">
        <v>392</v>
      </c>
      <c r="F7" s="124"/>
      <c r="G7" s="134"/>
    </row>
    <row r="8">
      <c r="A8" s="124"/>
      <c r="B8" s="133"/>
      <c r="D8" s="136" t="s">
        <v>393</v>
      </c>
      <c r="E8" s="138" t="s">
        <v>394</v>
      </c>
      <c r="F8" s="124"/>
      <c r="G8" s="134"/>
    </row>
    <row r="9">
      <c r="A9" s="124"/>
      <c r="B9" s="133"/>
      <c r="D9" s="139"/>
      <c r="E9" s="139"/>
      <c r="F9" s="124"/>
      <c r="G9" s="134"/>
    </row>
    <row r="10">
      <c r="A10" s="124"/>
      <c r="B10" s="133"/>
      <c r="D10" s="140" t="s">
        <v>395</v>
      </c>
      <c r="E10" s="141">
        <v>3.0</v>
      </c>
      <c r="F10" s="142"/>
      <c r="G10" s="143"/>
      <c r="J10" s="144"/>
    </row>
    <row r="11">
      <c r="A11" s="124"/>
      <c r="B11" s="133"/>
      <c r="D11" s="140" t="s">
        <v>396</v>
      </c>
      <c r="E11" s="141" t="s">
        <v>383</v>
      </c>
      <c r="F11" s="142"/>
      <c r="G11" s="143"/>
      <c r="J11" s="142"/>
      <c r="K11" s="132"/>
    </row>
    <row r="12">
      <c r="A12" s="124"/>
      <c r="B12" s="133"/>
      <c r="F12" s="124"/>
      <c r="G12" s="134"/>
      <c r="J12" s="142"/>
      <c r="K12" s="132"/>
    </row>
    <row r="13">
      <c r="A13" s="3"/>
      <c r="B13" s="145"/>
      <c r="E13" s="3"/>
      <c r="F13" s="3"/>
      <c r="G13" s="146"/>
    </row>
    <row r="14">
      <c r="A14" s="5"/>
      <c r="B14" s="147"/>
      <c r="C14" s="5"/>
      <c r="F14" s="3"/>
      <c r="G14" s="146"/>
      <c r="J14" s="3"/>
      <c r="K14" s="3"/>
      <c r="L14" s="3"/>
      <c r="M14" s="3"/>
      <c r="N14" s="3"/>
    </row>
    <row r="15">
      <c r="A15" s="148"/>
      <c r="B15" s="149" t="s">
        <v>397</v>
      </c>
      <c r="C15" s="5" t="s">
        <v>311</v>
      </c>
      <c r="F15" s="150"/>
      <c r="G15" s="146"/>
    </row>
    <row r="16">
      <c r="A16" s="1"/>
      <c r="B16" s="151"/>
      <c r="C16" s="3"/>
      <c r="D16" s="9"/>
      <c r="E16" s="3"/>
      <c r="F16" s="3"/>
      <c r="G16" s="146"/>
    </row>
    <row r="17">
      <c r="A17" s="152"/>
      <c r="B17" s="153" t="s">
        <v>4</v>
      </c>
      <c r="C17" s="154" t="s">
        <v>5</v>
      </c>
      <c r="D17" s="155" t="s">
        <v>6</v>
      </c>
      <c r="E17" s="154" t="s">
        <v>7</v>
      </c>
      <c r="F17" s="154" t="s">
        <v>8</v>
      </c>
      <c r="G17" s="156" t="s">
        <v>9</v>
      </c>
    </row>
    <row r="18">
      <c r="A18" s="83"/>
      <c r="B18" s="157">
        <v>2.0</v>
      </c>
      <c r="C18" s="84" t="s">
        <v>5</v>
      </c>
      <c r="D18" s="85" t="s">
        <v>95</v>
      </c>
      <c r="E18" s="22">
        <v>2500.0</v>
      </c>
      <c r="F18" s="15">
        <v>5000.0</v>
      </c>
      <c r="G18" s="158">
        <v>5525.0</v>
      </c>
    </row>
    <row r="19">
      <c r="A19" s="83"/>
      <c r="B19" s="157">
        <v>1.0</v>
      </c>
      <c r="C19" s="84" t="s">
        <v>38</v>
      </c>
      <c r="D19" s="85" t="s">
        <v>45</v>
      </c>
      <c r="E19" s="22">
        <v>13000.0</v>
      </c>
      <c r="F19" s="15">
        <v>13000.0</v>
      </c>
      <c r="G19" s="158">
        <v>14365.0</v>
      </c>
    </row>
    <row r="20">
      <c r="A20" s="83"/>
      <c r="B20" s="157">
        <v>1.0</v>
      </c>
      <c r="C20" s="84" t="s">
        <v>18</v>
      </c>
      <c r="D20" s="85" t="s">
        <v>103</v>
      </c>
      <c r="E20" s="22">
        <v>13000.0</v>
      </c>
      <c r="F20" s="15">
        <v>13000.0</v>
      </c>
      <c r="G20" s="158">
        <v>14365.0</v>
      </c>
    </row>
    <row r="21">
      <c r="A21" s="83"/>
      <c r="B21" s="157">
        <v>1.0</v>
      </c>
      <c r="C21" s="84" t="s">
        <v>38</v>
      </c>
      <c r="D21" s="85" t="s">
        <v>180</v>
      </c>
      <c r="E21" s="22">
        <v>16000.0</v>
      </c>
      <c r="F21" s="15">
        <v>16000.0</v>
      </c>
      <c r="G21" s="158">
        <v>17680.0</v>
      </c>
    </row>
    <row r="22">
      <c r="A22" s="83"/>
      <c r="B22" s="157">
        <v>0.5</v>
      </c>
      <c r="C22" s="84" t="s">
        <v>18</v>
      </c>
      <c r="D22" s="85" t="s">
        <v>277</v>
      </c>
      <c r="E22" s="22">
        <v>52000.0</v>
      </c>
      <c r="F22" s="15">
        <v>26000.0</v>
      </c>
      <c r="G22" s="158">
        <v>31460.0</v>
      </c>
    </row>
    <row r="23">
      <c r="A23" s="83"/>
      <c r="B23" s="157">
        <v>3.0</v>
      </c>
      <c r="C23" s="84" t="s">
        <v>33</v>
      </c>
      <c r="D23" s="85" t="s">
        <v>67</v>
      </c>
      <c r="E23" s="22">
        <v>800.0</v>
      </c>
      <c r="F23" s="15">
        <v>2400.0</v>
      </c>
      <c r="G23" s="158">
        <v>2652.0</v>
      </c>
    </row>
    <row r="24">
      <c r="A24" s="83"/>
      <c r="B24" s="157">
        <v>2.0</v>
      </c>
      <c r="C24" s="84" t="s">
        <v>33</v>
      </c>
      <c r="D24" s="85" t="s">
        <v>174</v>
      </c>
      <c r="E24" s="22">
        <v>1600.0</v>
      </c>
      <c r="F24" s="15">
        <v>3200.0</v>
      </c>
      <c r="G24" s="158">
        <v>3536.0</v>
      </c>
    </row>
    <row r="25">
      <c r="A25" s="83"/>
      <c r="B25" s="157">
        <v>2.8</v>
      </c>
      <c r="C25" s="84" t="s">
        <v>33</v>
      </c>
      <c r="D25" s="85" t="s">
        <v>24</v>
      </c>
      <c r="E25" s="22">
        <v>4000.0</v>
      </c>
      <c r="F25" s="15">
        <v>11200.0</v>
      </c>
      <c r="G25" s="158">
        <v>12376.0</v>
      </c>
    </row>
    <row r="26">
      <c r="A26" s="83"/>
      <c r="B26" s="157">
        <v>2.2</v>
      </c>
      <c r="C26" s="84" t="s">
        <v>33</v>
      </c>
      <c r="D26" s="85" t="s">
        <v>26</v>
      </c>
      <c r="E26" s="22">
        <v>4000.0</v>
      </c>
      <c r="F26" s="15">
        <v>8800.0</v>
      </c>
      <c r="G26" s="158">
        <v>9724.0</v>
      </c>
    </row>
    <row r="27">
      <c r="A27" s="103"/>
      <c r="B27" s="157">
        <v>2.2</v>
      </c>
      <c r="C27" s="84" t="s">
        <v>33</v>
      </c>
      <c r="D27" s="85" t="s">
        <v>25</v>
      </c>
      <c r="E27" s="22">
        <v>3100.0</v>
      </c>
      <c r="F27" s="15">
        <v>6820.000000000001</v>
      </c>
      <c r="G27" s="158">
        <v>7536.100000000001</v>
      </c>
    </row>
    <row r="28">
      <c r="A28" s="103"/>
      <c r="B28" s="157">
        <v>3.0</v>
      </c>
      <c r="C28" s="84" t="s">
        <v>38</v>
      </c>
      <c r="D28" s="85" t="s">
        <v>179</v>
      </c>
      <c r="E28" s="22">
        <v>21000.0</v>
      </c>
      <c r="F28" s="15">
        <v>63000.0</v>
      </c>
      <c r="G28" s="158">
        <v>69615.0</v>
      </c>
    </row>
    <row r="29">
      <c r="A29" s="83"/>
      <c r="B29" s="157">
        <v>1.0</v>
      </c>
      <c r="C29" s="84" t="s">
        <v>38</v>
      </c>
      <c r="D29" s="85" t="s">
        <v>47</v>
      </c>
      <c r="E29" s="22">
        <v>13000.0</v>
      </c>
      <c r="F29" s="15">
        <v>13000.0</v>
      </c>
      <c r="G29" s="158">
        <v>14365.0</v>
      </c>
    </row>
    <row r="30">
      <c r="A30" s="83"/>
      <c r="B30" s="157">
        <v>10.0</v>
      </c>
      <c r="C30" s="84" t="s">
        <v>33</v>
      </c>
      <c r="D30" s="85" t="s">
        <v>64</v>
      </c>
      <c r="E30" s="22">
        <v>2300.0</v>
      </c>
      <c r="F30" s="15">
        <v>23000.0</v>
      </c>
      <c r="G30" s="158">
        <v>25415.0</v>
      </c>
    </row>
    <row r="31">
      <c r="A31" s="83"/>
      <c r="B31" s="157">
        <v>1.0</v>
      </c>
      <c r="C31" s="84" t="s">
        <v>33</v>
      </c>
      <c r="D31" s="85" t="s">
        <v>69</v>
      </c>
      <c r="E31" s="22">
        <v>2000.0</v>
      </c>
      <c r="F31" s="15">
        <v>2000.0</v>
      </c>
      <c r="G31" s="158">
        <v>2210.0</v>
      </c>
    </row>
    <row r="32">
      <c r="A32" s="83"/>
      <c r="B32" s="157">
        <v>2.0</v>
      </c>
      <c r="C32" s="84" t="s">
        <v>33</v>
      </c>
      <c r="D32" s="85" t="s">
        <v>233</v>
      </c>
      <c r="E32" s="22">
        <v>2800.0</v>
      </c>
      <c r="F32" s="15">
        <v>5600.0</v>
      </c>
      <c r="G32" s="158">
        <v>6188.0</v>
      </c>
    </row>
    <row r="33">
      <c r="A33" s="83"/>
      <c r="B33" s="157">
        <v>12.0</v>
      </c>
      <c r="C33" s="84" t="s">
        <v>11</v>
      </c>
      <c r="D33" s="85" t="s">
        <v>65</v>
      </c>
      <c r="E33" s="22">
        <v>500.0</v>
      </c>
      <c r="F33" s="15">
        <v>6000.0</v>
      </c>
      <c r="G33" s="158">
        <v>6630.0</v>
      </c>
    </row>
    <row r="34">
      <c r="A34" s="83"/>
      <c r="B34" s="157">
        <v>3.5</v>
      </c>
      <c r="C34" s="84" t="s">
        <v>33</v>
      </c>
      <c r="D34" s="85" t="s">
        <v>98</v>
      </c>
      <c r="E34" s="22">
        <v>1800.0</v>
      </c>
      <c r="F34" s="15">
        <v>6300.0</v>
      </c>
      <c r="G34" s="158">
        <v>6961.5</v>
      </c>
    </row>
    <row r="35">
      <c r="A35" s="83"/>
      <c r="B35" s="157">
        <v>3.5</v>
      </c>
      <c r="C35" s="84" t="s">
        <v>33</v>
      </c>
      <c r="D35" s="85" t="s">
        <v>99</v>
      </c>
      <c r="E35" s="22">
        <v>1800.0</v>
      </c>
      <c r="F35" s="15">
        <v>6300.0</v>
      </c>
      <c r="G35" s="158">
        <v>6961.5</v>
      </c>
    </row>
    <row r="36">
      <c r="A36" s="83"/>
      <c r="B36" s="157">
        <v>1.0</v>
      </c>
      <c r="C36" s="84" t="s">
        <v>50</v>
      </c>
      <c r="D36" s="85" t="s">
        <v>104</v>
      </c>
      <c r="E36" s="22">
        <v>2500.0</v>
      </c>
      <c r="F36" s="15">
        <v>2500.0</v>
      </c>
      <c r="G36" s="158">
        <v>2762.5</v>
      </c>
    </row>
    <row r="37">
      <c r="A37" s="83"/>
      <c r="B37" s="157">
        <v>1.0</v>
      </c>
      <c r="C37" s="84" t="s">
        <v>33</v>
      </c>
      <c r="D37" s="85" t="s">
        <v>72</v>
      </c>
      <c r="E37" s="22">
        <v>2600.0</v>
      </c>
      <c r="F37" s="15">
        <v>2600.0</v>
      </c>
      <c r="G37" s="158">
        <v>2873.0</v>
      </c>
    </row>
    <row r="38">
      <c r="A38" s="83"/>
      <c r="B38" s="157">
        <v>1.0</v>
      </c>
      <c r="C38" s="84" t="s">
        <v>18</v>
      </c>
      <c r="D38" s="85" t="s">
        <v>356</v>
      </c>
      <c r="E38" s="22">
        <v>24000.0</v>
      </c>
      <c r="F38" s="15">
        <v>24000.0</v>
      </c>
      <c r="G38" s="158">
        <v>26520.0</v>
      </c>
    </row>
    <row r="39">
      <c r="A39" s="83"/>
      <c r="B39" s="157">
        <v>1.0</v>
      </c>
      <c r="C39" s="84" t="s">
        <v>18</v>
      </c>
      <c r="D39" s="85" t="s">
        <v>78</v>
      </c>
      <c r="E39" s="22">
        <v>55000.0</v>
      </c>
      <c r="F39" s="15">
        <v>55000.0</v>
      </c>
      <c r="G39" s="158">
        <v>60775.0</v>
      </c>
    </row>
    <row r="40">
      <c r="A40" s="83"/>
      <c r="B40" s="157">
        <v>6.0</v>
      </c>
      <c r="C40" s="84" t="s">
        <v>33</v>
      </c>
      <c r="D40" s="85" t="s">
        <v>119</v>
      </c>
      <c r="E40" s="22">
        <v>3800.0</v>
      </c>
      <c r="F40" s="15">
        <v>22800.0</v>
      </c>
      <c r="G40" s="158">
        <v>25194.0</v>
      </c>
    </row>
    <row r="41">
      <c r="A41" s="83"/>
      <c r="B41" s="157">
        <v>4.0</v>
      </c>
      <c r="C41" s="84" t="s">
        <v>33</v>
      </c>
      <c r="D41" s="85" t="s">
        <v>378</v>
      </c>
      <c r="E41" s="22">
        <v>2800.0</v>
      </c>
      <c r="F41" s="15">
        <v>11200.0</v>
      </c>
      <c r="G41" s="158">
        <v>12376.0</v>
      </c>
    </row>
    <row r="42">
      <c r="A42" s="83"/>
      <c r="B42" s="157"/>
      <c r="C42" s="84"/>
      <c r="D42" s="85"/>
      <c r="E42" s="22"/>
      <c r="F42" s="15"/>
      <c r="G42" s="158"/>
    </row>
    <row r="43">
      <c r="A43" s="83"/>
      <c r="B43" s="159"/>
      <c r="C43" s="101"/>
      <c r="D43" s="160"/>
      <c r="E43" s="101"/>
      <c r="F43" s="101">
        <v>348720.0</v>
      </c>
      <c r="G43" s="161">
        <v>388065.6</v>
      </c>
    </row>
    <row r="44">
      <c r="A44" s="83"/>
      <c r="B44" s="159"/>
      <c r="C44" s="101"/>
      <c r="D44" s="160"/>
      <c r="E44" s="101"/>
      <c r="F44" s="15"/>
      <c r="G44" s="158"/>
    </row>
    <row r="45">
      <c r="A45" s="103"/>
      <c r="B45" s="162"/>
      <c r="C45" s="92"/>
      <c r="D45" s="93"/>
      <c r="E45" s="22"/>
      <c r="F45" s="15"/>
      <c r="G45" s="158"/>
    </row>
    <row r="46">
      <c r="A46" s="103"/>
      <c r="B46" s="162"/>
      <c r="C46" s="92"/>
      <c r="D46" s="93"/>
      <c r="E46" s="22"/>
      <c r="F46" s="15"/>
      <c r="G46" s="158"/>
    </row>
    <row r="47">
      <c r="A47" s="83"/>
      <c r="B47" s="162"/>
      <c r="C47" s="92"/>
      <c r="D47" s="93"/>
      <c r="E47" s="22"/>
      <c r="F47" s="15"/>
      <c r="G47" s="158"/>
    </row>
    <row r="48">
      <c r="A48" s="83"/>
      <c r="B48" s="162"/>
      <c r="C48" s="10"/>
      <c r="D48" s="96"/>
      <c r="E48" s="15"/>
      <c r="F48" s="15"/>
      <c r="G48" s="158"/>
    </row>
    <row r="49">
      <c r="A49" s="117"/>
      <c r="B49" s="163"/>
      <c r="C49" s="3"/>
      <c r="D49" s="164"/>
      <c r="E49" s="165"/>
      <c r="F49" s="3"/>
      <c r="G49" s="146"/>
    </row>
    <row r="50">
      <c r="A50" s="117"/>
      <c r="B50" s="166"/>
      <c r="C50" s="3"/>
      <c r="D50" s="2"/>
      <c r="E50" s="3"/>
      <c r="F50" s="15"/>
      <c r="G50" s="158"/>
    </row>
    <row r="51">
      <c r="A51" s="117"/>
      <c r="B51" s="166"/>
      <c r="C51" s="3"/>
      <c r="D51" s="2"/>
      <c r="E51" s="3"/>
      <c r="F51" s="15"/>
      <c r="G51" s="158"/>
    </row>
    <row r="52">
      <c r="A52" s="13"/>
      <c r="B52" s="167"/>
      <c r="C52" s="168"/>
      <c r="D52" s="169"/>
      <c r="E52" s="170"/>
      <c r="F52" s="171"/>
      <c r="G52" s="172"/>
    </row>
    <row r="54">
      <c r="A54" s="144"/>
      <c r="B54" s="173" t="s">
        <v>398</v>
      </c>
      <c r="C54" s="126"/>
      <c r="D54" s="174"/>
      <c r="E54" s="174"/>
      <c r="F54" s="174"/>
      <c r="G54" s="175"/>
    </row>
    <row r="55">
      <c r="A55" s="144"/>
      <c r="B55" s="176"/>
      <c r="F55" s="124"/>
      <c r="G55" s="134"/>
    </row>
    <row r="56">
      <c r="A56" s="124"/>
      <c r="B56" s="133"/>
      <c r="F56" s="124"/>
      <c r="G56" s="134"/>
    </row>
    <row r="57">
      <c r="A57" s="177"/>
      <c r="B57" s="178" t="s">
        <v>399</v>
      </c>
      <c r="C57" s="179"/>
      <c r="D57" s="180"/>
      <c r="E57" s="180"/>
      <c r="F57" s="180"/>
      <c r="G57" s="134"/>
    </row>
    <row r="58">
      <c r="A58" s="124"/>
      <c r="B58" s="181"/>
      <c r="C58" s="182"/>
      <c r="D58" s="183"/>
      <c r="E58" s="184"/>
      <c r="F58" s="182"/>
      <c r="G58" s="185"/>
    </row>
  </sheetData>
  <mergeCells count="7">
    <mergeCell ref="B3:C4"/>
    <mergeCell ref="J10:K10"/>
    <mergeCell ref="B13:D13"/>
    <mergeCell ref="C14:E14"/>
    <mergeCell ref="C15:E15"/>
    <mergeCell ref="B54:C54"/>
    <mergeCell ref="D58:E58"/>
  </mergeCells>
  <printOptions horizontalCentered="1"/>
  <pageMargins bottom="0.0" footer="0.0" header="0.0" left="0.0" right="0.0" top="0.2755905511811023"/>
  <pageSetup paperSize="9" scale="95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3" max="3" width="14.25"/>
    <col customWidth="1" min="4" max="4" width="27.88"/>
    <col customWidth="1" min="5" max="6" width="14.38"/>
  </cols>
  <sheetData>
    <row r="3">
      <c r="B3" s="125" t="s">
        <v>388</v>
      </c>
      <c r="C3" s="126"/>
      <c r="D3" s="127"/>
      <c r="E3" s="127"/>
      <c r="F3" s="128"/>
    </row>
    <row r="4">
      <c r="B4" s="129"/>
      <c r="D4" s="130"/>
      <c r="E4" s="130"/>
      <c r="F4" s="131"/>
      <c r="G4" s="132"/>
    </row>
    <row r="5">
      <c r="B5" s="133"/>
      <c r="F5" s="134"/>
      <c r="G5" s="135"/>
    </row>
    <row r="6">
      <c r="B6" s="133"/>
      <c r="D6" s="136" t="s">
        <v>389</v>
      </c>
      <c r="E6" s="137" t="s">
        <v>390</v>
      </c>
      <c r="F6" s="134"/>
      <c r="G6" s="135"/>
    </row>
    <row r="7">
      <c r="B7" s="133"/>
      <c r="D7" s="136" t="s">
        <v>391</v>
      </c>
      <c r="E7" s="138" t="s">
        <v>392</v>
      </c>
      <c r="F7" s="134"/>
    </row>
    <row r="8">
      <c r="B8" s="133"/>
      <c r="D8" s="136" t="s">
        <v>393</v>
      </c>
      <c r="E8" s="138" t="s">
        <v>394</v>
      </c>
      <c r="F8" s="134"/>
    </row>
    <row r="9">
      <c r="B9" s="133"/>
      <c r="D9" s="139"/>
      <c r="E9" s="139"/>
      <c r="F9" s="134"/>
    </row>
    <row r="10">
      <c r="B10" s="133"/>
      <c r="D10" s="140" t="s">
        <v>395</v>
      </c>
      <c r="E10" s="141">
        <v>6.0</v>
      </c>
      <c r="F10" s="143"/>
      <c r="I10" s="144"/>
    </row>
    <row r="11">
      <c r="B11" s="133"/>
      <c r="D11" s="140" t="s">
        <v>396</v>
      </c>
      <c r="E11" s="141" t="s">
        <v>400</v>
      </c>
      <c r="F11" s="143"/>
      <c r="I11" s="142"/>
      <c r="J11" s="132"/>
    </row>
    <row r="12">
      <c r="B12" s="133"/>
      <c r="F12" s="134"/>
      <c r="I12" s="142"/>
      <c r="J12" s="132"/>
    </row>
    <row r="13">
      <c r="B13" s="145"/>
      <c r="E13" s="3"/>
      <c r="F13" s="146"/>
    </row>
    <row r="14">
      <c r="B14" s="147"/>
      <c r="C14" s="5"/>
      <c r="D14" s="5"/>
      <c r="E14" s="3"/>
      <c r="F14" s="146"/>
      <c r="I14" s="3"/>
      <c r="J14" s="3"/>
      <c r="K14" s="3"/>
      <c r="L14" s="3"/>
      <c r="M14" s="3"/>
    </row>
    <row r="15">
      <c r="B15" s="149" t="s">
        <v>397</v>
      </c>
      <c r="C15" s="89" t="s">
        <v>266</v>
      </c>
      <c r="D15" s="89" t="s">
        <v>401</v>
      </c>
      <c r="E15" s="89"/>
      <c r="F15" s="146"/>
    </row>
    <row r="16">
      <c r="B16" s="151"/>
      <c r="C16" s="3"/>
      <c r="D16" s="9"/>
      <c r="E16" s="3"/>
      <c r="F16" s="146"/>
    </row>
    <row r="17">
      <c r="B17" s="153" t="s">
        <v>4</v>
      </c>
      <c r="C17" s="154" t="s">
        <v>5</v>
      </c>
      <c r="D17" s="155" t="s">
        <v>6</v>
      </c>
      <c r="E17" s="154" t="s">
        <v>7</v>
      </c>
      <c r="F17" s="156" t="s">
        <v>8</v>
      </c>
    </row>
    <row r="18">
      <c r="B18" s="157">
        <v>2.0</v>
      </c>
      <c r="C18" s="84" t="s">
        <v>33</v>
      </c>
      <c r="D18" s="85" t="s">
        <v>174</v>
      </c>
      <c r="E18" s="22">
        <v>1600.0</v>
      </c>
      <c r="F18" s="158">
        <f t="shared" ref="F18:F28" si="1">B18*E18</f>
        <v>3200</v>
      </c>
    </row>
    <row r="19">
      <c r="B19" s="157">
        <v>1.0</v>
      </c>
      <c r="C19" s="84" t="s">
        <v>33</v>
      </c>
      <c r="D19" s="85" t="s">
        <v>67</v>
      </c>
      <c r="E19" s="22">
        <v>800.0</v>
      </c>
      <c r="F19" s="158">
        <f t="shared" si="1"/>
        <v>800</v>
      </c>
    </row>
    <row r="20">
      <c r="B20" s="157">
        <v>1.0</v>
      </c>
      <c r="C20" s="84" t="s">
        <v>29</v>
      </c>
      <c r="D20" s="85" t="s">
        <v>72</v>
      </c>
      <c r="E20" s="22">
        <v>37000.0</v>
      </c>
      <c r="F20" s="158">
        <f t="shared" si="1"/>
        <v>37000</v>
      </c>
    </row>
    <row r="21">
      <c r="B21" s="157">
        <v>2.0</v>
      </c>
      <c r="C21" s="84" t="s">
        <v>50</v>
      </c>
      <c r="D21" s="85" t="s">
        <v>171</v>
      </c>
      <c r="E21" s="22">
        <v>3000.0</v>
      </c>
      <c r="F21" s="158">
        <f t="shared" si="1"/>
        <v>6000</v>
      </c>
    </row>
    <row r="22">
      <c r="B22" s="157">
        <v>3.0</v>
      </c>
      <c r="C22" s="84" t="s">
        <v>50</v>
      </c>
      <c r="D22" s="85" t="s">
        <v>235</v>
      </c>
      <c r="E22" s="22">
        <v>3000.0</v>
      </c>
      <c r="F22" s="158">
        <f t="shared" si="1"/>
        <v>9000</v>
      </c>
    </row>
    <row r="23">
      <c r="B23" s="157">
        <v>1.0</v>
      </c>
      <c r="C23" s="84" t="s">
        <v>50</v>
      </c>
      <c r="D23" s="85" t="s">
        <v>104</v>
      </c>
      <c r="E23" s="22">
        <v>2500.0</v>
      </c>
      <c r="F23" s="158">
        <f t="shared" si="1"/>
        <v>2500</v>
      </c>
    </row>
    <row r="24">
      <c r="B24" s="157">
        <v>1.0</v>
      </c>
      <c r="C24" s="84" t="s">
        <v>50</v>
      </c>
      <c r="D24" s="85" t="s">
        <v>236</v>
      </c>
      <c r="E24" s="22">
        <v>5500.0</v>
      </c>
      <c r="F24" s="158">
        <f t="shared" si="1"/>
        <v>5500</v>
      </c>
    </row>
    <row r="25">
      <c r="B25" s="157">
        <v>2.0</v>
      </c>
      <c r="C25" s="84" t="s">
        <v>33</v>
      </c>
      <c r="D25" s="85" t="s">
        <v>22</v>
      </c>
      <c r="E25" s="22">
        <v>1400.0</v>
      </c>
      <c r="F25" s="158">
        <f t="shared" si="1"/>
        <v>2800</v>
      </c>
    </row>
    <row r="26">
      <c r="B26" s="157">
        <v>0.5</v>
      </c>
      <c r="C26" s="84" t="s">
        <v>33</v>
      </c>
      <c r="D26" s="85" t="s">
        <v>269</v>
      </c>
      <c r="E26" s="22">
        <v>9500.0</v>
      </c>
      <c r="F26" s="158">
        <f t="shared" si="1"/>
        <v>4750</v>
      </c>
    </row>
    <row r="27">
      <c r="B27" s="157">
        <v>0.5</v>
      </c>
      <c r="C27" s="84" t="s">
        <v>33</v>
      </c>
      <c r="D27" s="85" t="s">
        <v>258</v>
      </c>
      <c r="E27" s="22">
        <v>11000.0</v>
      </c>
      <c r="F27" s="158">
        <f t="shared" si="1"/>
        <v>5500</v>
      </c>
    </row>
    <row r="28">
      <c r="B28" s="157">
        <v>1.0</v>
      </c>
      <c r="C28" s="84" t="s">
        <v>50</v>
      </c>
      <c r="D28" s="85" t="s">
        <v>271</v>
      </c>
      <c r="E28" s="22">
        <v>3000.0</v>
      </c>
      <c r="F28" s="158">
        <f t="shared" si="1"/>
        <v>3000</v>
      </c>
    </row>
    <row r="29">
      <c r="B29" s="186"/>
      <c r="C29" s="12"/>
      <c r="D29" s="14"/>
      <c r="E29" s="15"/>
      <c r="F29" s="187"/>
    </row>
    <row r="30">
      <c r="B30" s="186"/>
      <c r="C30" s="12"/>
      <c r="D30" s="14"/>
      <c r="E30" s="15"/>
      <c r="F30" s="187">
        <f>SUM(F18:F29)</f>
        <v>80050</v>
      </c>
    </row>
    <row r="31">
      <c r="B31" s="186"/>
      <c r="C31" s="12"/>
      <c r="D31" s="14"/>
      <c r="E31" s="15"/>
      <c r="F31" s="187"/>
    </row>
    <row r="32">
      <c r="B32" s="157"/>
      <c r="C32" s="84"/>
      <c r="D32" s="188"/>
      <c r="E32" s="22"/>
      <c r="F32" s="187"/>
    </row>
    <row r="33">
      <c r="B33" s="157"/>
      <c r="C33" s="84"/>
      <c r="D33" s="188"/>
      <c r="E33" s="22"/>
      <c r="F33" s="158"/>
    </row>
    <row r="34">
      <c r="B34" s="157"/>
      <c r="C34" s="84"/>
      <c r="D34" s="188"/>
      <c r="E34" s="22"/>
      <c r="F34" s="158"/>
    </row>
    <row r="35">
      <c r="B35" s="157"/>
      <c r="C35" s="84"/>
      <c r="D35" s="85"/>
      <c r="E35" s="22"/>
      <c r="F35" s="158"/>
    </row>
    <row r="36">
      <c r="B36" s="157"/>
      <c r="C36" s="84"/>
      <c r="D36" s="188"/>
      <c r="E36" s="22"/>
      <c r="F36" s="158"/>
    </row>
    <row r="37">
      <c r="B37" s="157"/>
      <c r="C37" s="84"/>
      <c r="D37" s="188"/>
      <c r="E37" s="22"/>
      <c r="F37" s="158"/>
    </row>
    <row r="38">
      <c r="B38" s="157"/>
      <c r="C38" s="84"/>
      <c r="D38" s="188"/>
      <c r="E38" s="22"/>
      <c r="F38" s="158"/>
    </row>
    <row r="39">
      <c r="B39" s="157"/>
      <c r="C39" s="84"/>
      <c r="D39" s="188"/>
      <c r="E39" s="22"/>
      <c r="F39" s="187"/>
    </row>
    <row r="40">
      <c r="B40" s="157"/>
      <c r="C40" s="84"/>
      <c r="D40" s="188"/>
      <c r="E40" s="22"/>
      <c r="F40" s="187"/>
    </row>
    <row r="41">
      <c r="B41" s="157"/>
      <c r="C41" s="84"/>
      <c r="D41" s="188"/>
      <c r="E41" s="22"/>
      <c r="F41" s="158"/>
    </row>
    <row r="42">
      <c r="B42" s="157"/>
      <c r="C42" s="84"/>
      <c r="D42" s="188"/>
      <c r="E42" s="22"/>
      <c r="F42" s="158"/>
    </row>
    <row r="43">
      <c r="B43" s="157"/>
      <c r="C43" s="84"/>
      <c r="D43" s="85"/>
      <c r="E43" s="22"/>
      <c r="F43" s="187"/>
    </row>
    <row r="44">
      <c r="B44" s="157"/>
      <c r="C44" s="84"/>
      <c r="D44" s="85"/>
      <c r="E44" s="22"/>
      <c r="F44" s="187"/>
    </row>
    <row r="45">
      <c r="B45" s="157"/>
      <c r="C45" s="84"/>
      <c r="D45" s="85"/>
      <c r="E45" s="22"/>
      <c r="F45" s="187"/>
    </row>
    <row r="46">
      <c r="B46" s="157"/>
      <c r="C46" s="84"/>
      <c r="D46" s="85"/>
      <c r="E46" s="22"/>
      <c r="F46" s="187"/>
    </row>
    <row r="47">
      <c r="B47" s="151"/>
      <c r="C47" s="3"/>
      <c r="D47" s="2"/>
      <c r="E47" s="3"/>
      <c r="F47" s="146"/>
    </row>
    <row r="48">
      <c r="B48" s="151"/>
      <c r="C48" s="3"/>
      <c r="D48" s="2"/>
      <c r="E48" s="3"/>
      <c r="F48" s="158"/>
    </row>
    <row r="49">
      <c r="B49" s="167"/>
      <c r="C49" s="168"/>
      <c r="D49" s="169"/>
      <c r="E49" s="170"/>
      <c r="F49" s="172"/>
    </row>
    <row r="50">
      <c r="B50" s="189"/>
      <c r="C50" s="190"/>
      <c r="D50" s="191"/>
      <c r="E50" s="190"/>
      <c r="F50" s="192" t="s">
        <v>13</v>
      </c>
    </row>
    <row r="51">
      <c r="B51" s="173" t="s">
        <v>398</v>
      </c>
      <c r="C51" s="126"/>
      <c r="D51" s="174"/>
      <c r="E51" s="174"/>
      <c r="F51" s="193" t="s">
        <v>13</v>
      </c>
    </row>
    <row r="52">
      <c r="B52" s="133"/>
      <c r="F52" s="134"/>
    </row>
    <row r="53">
      <c r="B53" s="178" t="s">
        <v>399</v>
      </c>
      <c r="C53" s="179"/>
      <c r="D53" s="180"/>
      <c r="E53" s="180"/>
      <c r="F53" s="134"/>
    </row>
    <row r="54">
      <c r="B54" s="181"/>
      <c r="C54" s="182"/>
      <c r="D54" s="183"/>
      <c r="E54" s="184"/>
      <c r="F54" s="185"/>
    </row>
  </sheetData>
  <mergeCells count="5">
    <mergeCell ref="B3:C4"/>
    <mergeCell ref="I10:J10"/>
    <mergeCell ref="B13:D13"/>
    <mergeCell ref="B51:C51"/>
    <mergeCell ref="D54:E54"/>
  </mergeCells>
  <printOptions horizontalCentered="1"/>
  <pageMargins bottom="0.0" footer="0.0" header="0.0" left="0.0" right="0.0" top="0.5118110236220472"/>
  <pageSetup paperSize="9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24.88"/>
    <col customWidth="1" min="3" max="3" width="15.75"/>
    <col customWidth="1" min="4" max="5" width="15.63"/>
    <col customWidth="1" min="6" max="6" width="15.88"/>
    <col customWidth="1" min="7" max="7" width="4.63"/>
    <col customWidth="1" min="8" max="8" width="6.13"/>
    <col customWidth="1" min="9" max="9" width="14.38"/>
    <col customWidth="1" min="10" max="10" width="16.25"/>
  </cols>
  <sheetData>
    <row r="2" ht="15.75" customHeight="1">
      <c r="A2" s="194" t="s">
        <v>402</v>
      </c>
      <c r="B2" s="194" t="s">
        <v>403</v>
      </c>
      <c r="C2" s="194" t="s">
        <v>404</v>
      </c>
      <c r="D2" s="194" t="s">
        <v>405</v>
      </c>
      <c r="E2" s="194" t="s">
        <v>406</v>
      </c>
      <c r="F2" s="194" t="s">
        <v>407</v>
      </c>
      <c r="I2" s="195" t="s">
        <v>408</v>
      </c>
    </row>
    <row r="3" ht="15.75" customHeight="1">
      <c r="A3" s="196" t="s">
        <v>409</v>
      </c>
      <c r="B3" s="197" t="s">
        <v>410</v>
      </c>
      <c r="C3" s="198"/>
      <c r="D3" s="198"/>
      <c r="F3" s="198">
        <v>0.0</v>
      </c>
      <c r="G3" s="64"/>
      <c r="H3" s="199"/>
      <c r="I3" s="200">
        <f t="shared" ref="I3:I17" si="1">F3/$F$40</f>
        <v>0</v>
      </c>
    </row>
    <row r="4" ht="15.75" customHeight="1">
      <c r="A4" s="196" t="s">
        <v>411</v>
      </c>
      <c r="B4" s="197">
        <v>1476708.65</v>
      </c>
      <c r="C4" s="201">
        <f>'02-02-2026 '!E126+'09-02-2026 '!E251+'18-02-2026 '!E197+'23-02-2026 '!E244</f>
        <v>1623200</v>
      </c>
      <c r="D4" s="198">
        <f>1100000+1200000</f>
        <v>2300000</v>
      </c>
      <c r="E4" s="198">
        <v>0.0</v>
      </c>
      <c r="F4" s="198">
        <f t="shared" ref="F4:F5" si="2">B4+C4-D4</f>
        <v>799908.65</v>
      </c>
      <c r="G4" s="202" t="s">
        <v>2</v>
      </c>
      <c r="H4" s="199"/>
      <c r="I4" s="200">
        <f t="shared" si="1"/>
        <v>0.01603456754</v>
      </c>
    </row>
    <row r="5" ht="15.75" customHeight="1">
      <c r="A5" s="196" t="s">
        <v>228</v>
      </c>
      <c r="B5" s="197">
        <v>149039.7</v>
      </c>
      <c r="C5" s="198">
        <f>'04-02-2026 '!F100+'18-02-2026 '!F83</f>
        <v>83952.375</v>
      </c>
      <c r="D5" s="203">
        <v>77184.75</v>
      </c>
      <c r="E5" s="198">
        <v>0.0</v>
      </c>
      <c r="F5" s="198">
        <f t="shared" si="2"/>
        <v>155807.325</v>
      </c>
      <c r="G5" s="202" t="s">
        <v>2</v>
      </c>
      <c r="H5" s="199"/>
      <c r="I5" s="200">
        <f t="shared" si="1"/>
        <v>0.003123235479</v>
      </c>
      <c r="J5" s="204"/>
    </row>
    <row r="6" ht="15.75" customHeight="1">
      <c r="A6" s="196" t="s">
        <v>206</v>
      </c>
      <c r="B6" s="197">
        <v>1428930.0</v>
      </c>
      <c r="C6" s="198">
        <f>'03-02-2026 '!E95+'04-02-2026 '!E86+'06-02-2026 '!E169+'09-02-2026 '!E137+'12-02-2026 '!E44+'17-02-2026 '!E32+'20-02-2026 '!E433+'25-02-2026 '!E233</f>
        <v>2342200</v>
      </c>
      <c r="D6" s="198">
        <f>620308.33+419026.03+731810.41</f>
        <v>1771144.77</v>
      </c>
      <c r="E6" s="205">
        <f>6871.67+7723.98+13489.59</f>
        <v>28085.24</v>
      </c>
      <c r="F6" s="198">
        <f>B6+C6-D6-E6</f>
        <v>1971899.99</v>
      </c>
      <c r="G6" s="202" t="s">
        <v>2</v>
      </c>
      <c r="H6" s="199"/>
      <c r="I6" s="200">
        <f t="shared" si="1"/>
        <v>0.03952771804</v>
      </c>
    </row>
    <row r="7" ht="15.75" customHeight="1">
      <c r="A7" s="196" t="s">
        <v>412</v>
      </c>
      <c r="B7" s="197">
        <v>2970.0</v>
      </c>
      <c r="C7" s="198"/>
      <c r="D7" s="198"/>
      <c r="E7" s="198">
        <v>0.0</v>
      </c>
      <c r="F7" s="198">
        <f t="shared" ref="F7:F15" si="3">B7+C7-D7</f>
        <v>2970</v>
      </c>
      <c r="G7" s="202" t="s">
        <v>2</v>
      </c>
      <c r="H7" s="199"/>
      <c r="I7" s="200">
        <f t="shared" si="1"/>
        <v>0.00005953513016</v>
      </c>
    </row>
    <row r="8" ht="15.75" customHeight="1">
      <c r="A8" s="196" t="s">
        <v>413</v>
      </c>
      <c r="B8" s="197">
        <v>589770.0</v>
      </c>
      <c r="C8" s="198">
        <f>'02-02-2026 '!E146+'06-02-2026 '!E205+'09-02-2026 '!E276+'10-02-2026 '!E132+'12-02-2026 '!E72+'17-02-2026 '!E170+'23-02-2026 '!E177+'25-02-2026 '!E240</f>
        <v>521150</v>
      </c>
      <c r="D8" s="198">
        <f>436300+300000</f>
        <v>736300</v>
      </c>
      <c r="E8" s="198">
        <v>0.0</v>
      </c>
      <c r="F8" s="198">
        <f t="shared" si="3"/>
        <v>374620</v>
      </c>
      <c r="G8" s="202" t="s">
        <v>2</v>
      </c>
      <c r="H8" s="199"/>
      <c r="I8" s="200">
        <f t="shared" si="1"/>
        <v>0.007509444599</v>
      </c>
    </row>
    <row r="9" ht="15.75" customHeight="1">
      <c r="A9" s="196" t="s">
        <v>414</v>
      </c>
      <c r="B9" s="197">
        <v>73950.0</v>
      </c>
      <c r="C9" s="198"/>
      <c r="D9" s="206"/>
      <c r="E9" s="198">
        <v>0.0</v>
      </c>
      <c r="F9" s="198">
        <f t="shared" si="3"/>
        <v>73950</v>
      </c>
      <c r="G9" s="202" t="s">
        <v>2</v>
      </c>
      <c r="H9" s="199"/>
      <c r="I9" s="200">
        <f t="shared" si="1"/>
        <v>0.001482364604</v>
      </c>
    </row>
    <row r="10" ht="15.75" customHeight="1">
      <c r="A10" s="196" t="s">
        <v>415</v>
      </c>
      <c r="B10" s="197">
        <v>0.0</v>
      </c>
      <c r="C10" s="198"/>
      <c r="D10" s="198"/>
      <c r="E10" s="198">
        <v>0.0</v>
      </c>
      <c r="F10" s="198">
        <f t="shared" si="3"/>
        <v>0</v>
      </c>
      <c r="G10" s="202" t="s">
        <v>2</v>
      </c>
      <c r="H10" s="199"/>
      <c r="I10" s="200">
        <f t="shared" si="1"/>
        <v>0</v>
      </c>
    </row>
    <row r="11" ht="15.75" customHeight="1">
      <c r="A11" s="196" t="s">
        <v>416</v>
      </c>
      <c r="B11" s="197">
        <v>19040.0</v>
      </c>
      <c r="C11" s="198"/>
      <c r="D11" s="198"/>
      <c r="E11" s="198">
        <v>0.0</v>
      </c>
      <c r="F11" s="198">
        <f t="shared" si="3"/>
        <v>19040</v>
      </c>
      <c r="G11" s="202" t="s">
        <v>2</v>
      </c>
      <c r="H11" s="199"/>
      <c r="I11" s="200">
        <f t="shared" si="1"/>
        <v>0.000381666289</v>
      </c>
      <c r="L11" s="207"/>
    </row>
    <row r="12" ht="15.75" customHeight="1">
      <c r="A12" s="196" t="s">
        <v>417</v>
      </c>
      <c r="B12" s="197">
        <v>0.0</v>
      </c>
      <c r="C12" s="198"/>
      <c r="D12" s="198"/>
      <c r="E12" s="198">
        <v>0.0</v>
      </c>
      <c r="F12" s="198">
        <f t="shared" si="3"/>
        <v>0</v>
      </c>
      <c r="G12" s="202" t="s">
        <v>2</v>
      </c>
      <c r="H12" s="199"/>
      <c r="I12" s="200">
        <f t="shared" si="1"/>
        <v>0</v>
      </c>
    </row>
    <row r="13" ht="15.75" customHeight="1">
      <c r="A13" s="196" t="s">
        <v>418</v>
      </c>
      <c r="B13" s="197">
        <v>13229.37</v>
      </c>
      <c r="C13" s="198"/>
      <c r="D13" s="198"/>
      <c r="E13" s="198">
        <v>0.0</v>
      </c>
      <c r="F13" s="198">
        <f t="shared" si="3"/>
        <v>13229.37</v>
      </c>
      <c r="G13" s="202" t="s">
        <v>2</v>
      </c>
      <c r="H13" s="199"/>
      <c r="I13" s="200">
        <f t="shared" si="1"/>
        <v>0.0002651893148</v>
      </c>
      <c r="J13" s="207"/>
    </row>
    <row r="14" ht="15.75" customHeight="1">
      <c r="A14" s="196" t="s">
        <v>108</v>
      </c>
      <c r="B14" s="197">
        <v>1266140.0</v>
      </c>
      <c r="C14" s="198">
        <f>'02-02-2026 '!E255+'06-02-2026 '!E265+'09-02-2026 '!E201+'13-02-2026 '!E358+'17-02-2026 '!E146+'20-02-2026 '!E480+'23-02-2026 '!E266</f>
        <v>1708850</v>
      </c>
      <c r="D14" s="205">
        <f>636400+411000</f>
        <v>1047400</v>
      </c>
      <c r="E14" s="198">
        <v>0.0</v>
      </c>
      <c r="F14" s="198">
        <f t="shared" si="3"/>
        <v>1927590</v>
      </c>
      <c r="G14" s="202" t="s">
        <v>2</v>
      </c>
      <c r="H14" s="199"/>
      <c r="I14" s="200">
        <f t="shared" si="1"/>
        <v>0.0386395022</v>
      </c>
    </row>
    <row r="15" ht="15.75" customHeight="1">
      <c r="A15" s="196" t="s">
        <v>115</v>
      </c>
      <c r="B15" s="197">
        <v>3019690.0</v>
      </c>
      <c r="C15" s="198">
        <f>'02-02-2026 '!E279+'06-02-2026 '!E299+'09-02-2026 '!E227+'13-02-2026 '!E332+'17-02-2026 '!E121+'20-02-2026 '!E462+'23-02-2026 '!E312</f>
        <v>1991525</v>
      </c>
      <c r="D15" s="205">
        <f>685175+423900</f>
        <v>1109075</v>
      </c>
      <c r="E15" s="205">
        <v>0.0</v>
      </c>
      <c r="F15" s="198">
        <f t="shared" si="3"/>
        <v>3902140</v>
      </c>
      <c r="G15" s="202" t="s">
        <v>2</v>
      </c>
      <c r="H15" s="199"/>
      <c r="I15" s="200">
        <f t="shared" si="1"/>
        <v>0.07822034101</v>
      </c>
    </row>
    <row r="16" ht="15.75" customHeight="1">
      <c r="A16" s="196" t="s">
        <v>419</v>
      </c>
      <c r="B16" s="198">
        <v>1.04845817E7</v>
      </c>
      <c r="C16" s="198">
        <f>'02-02-2026 '!F34+'04-02-2026 '!F26+'06-02-2026 '!F130+'09-02-2026 '!F121+'10-02-2026 '!F112+'11-02-2026 '!F22+'12-02-2026 '!F17+'18-02-2026 '!F213+'19-02-2026 '!F113+'23-02-2026 '!F208+'24-02-2026 '!F245</f>
        <v>12953386</v>
      </c>
      <c r="D16" s="205">
        <v>2904986.0</v>
      </c>
      <c r="E16" s="205">
        <v>259406.0</v>
      </c>
      <c r="F16" s="198">
        <f>B16+C16-D16-E16</f>
        <v>20273575.7</v>
      </c>
      <c r="G16" s="202" t="s">
        <v>2</v>
      </c>
      <c r="H16" s="199"/>
      <c r="I16" s="200">
        <f t="shared" si="1"/>
        <v>0.4063939287</v>
      </c>
      <c r="J16" s="207"/>
    </row>
    <row r="17" ht="15.75" customHeight="1">
      <c r="A17" s="196" t="s">
        <v>362</v>
      </c>
      <c r="B17" s="197">
        <v>0.0</v>
      </c>
      <c r="C17" s="198">
        <f>'20-02-2026 '!E490</f>
        <v>51000</v>
      </c>
      <c r="D17" s="205">
        <v>51000.0</v>
      </c>
      <c r="E17" s="198">
        <v>0.0</v>
      </c>
      <c r="F17" s="198">
        <f t="shared" ref="F17:F32" si="4">B17+C17-D17</f>
        <v>0</v>
      </c>
      <c r="G17" s="202" t="s">
        <v>2</v>
      </c>
      <c r="H17" s="199"/>
      <c r="I17" s="200">
        <f t="shared" si="1"/>
        <v>0</v>
      </c>
    </row>
    <row r="18" ht="15.75" customHeight="1">
      <c r="A18" s="196" t="s">
        <v>420</v>
      </c>
      <c r="B18" s="197">
        <v>0.0</v>
      </c>
      <c r="C18" s="198"/>
      <c r="D18" s="198"/>
      <c r="E18" s="198">
        <v>0.0</v>
      </c>
      <c r="F18" s="198">
        <f t="shared" si="4"/>
        <v>0</v>
      </c>
      <c r="G18" s="202" t="s">
        <v>2</v>
      </c>
      <c r="H18" s="199"/>
      <c r="I18" s="200">
        <f>F18/F40</f>
        <v>0</v>
      </c>
      <c r="J18" s="207"/>
    </row>
    <row r="19" ht="16.5" customHeight="1">
      <c r="A19" s="196" t="s">
        <v>222</v>
      </c>
      <c r="B19" s="197">
        <v>317510.0</v>
      </c>
      <c r="C19" s="198">
        <f>'04-02-2026 '!E76+'11-02-2026 '!E62+'18-02-2026 '!E180+'25-02-2026 '!E197</f>
        <v>986740</v>
      </c>
      <c r="D19" s="197">
        <f>317510+165250+181350+337750</f>
        <v>1001860</v>
      </c>
      <c r="E19" s="197">
        <v>0.0</v>
      </c>
      <c r="F19" s="198">
        <f t="shared" si="4"/>
        <v>302390</v>
      </c>
      <c r="G19" s="202" t="s">
        <v>2</v>
      </c>
      <c r="H19" s="199"/>
      <c r="I19" s="200">
        <f>F19/F40</f>
        <v>0.006061558252</v>
      </c>
      <c r="N19" s="208"/>
    </row>
    <row r="20" ht="16.5" customHeight="1">
      <c r="A20" s="196" t="s">
        <v>421</v>
      </c>
      <c r="B20" s="197">
        <v>0.0</v>
      </c>
      <c r="C20" s="198"/>
      <c r="D20" s="197"/>
      <c r="E20" s="197">
        <v>0.0</v>
      </c>
      <c r="F20" s="198">
        <f t="shared" si="4"/>
        <v>0</v>
      </c>
      <c r="G20" s="202" t="s">
        <v>2</v>
      </c>
      <c r="H20" s="199"/>
      <c r="I20" s="200">
        <f>F20/$F$40</f>
        <v>0</v>
      </c>
    </row>
    <row r="21" ht="16.5" customHeight="1">
      <c r="A21" s="196" t="s">
        <v>100</v>
      </c>
      <c r="B21" s="197">
        <v>392625.0</v>
      </c>
      <c r="C21" s="198">
        <f>'02-02-2026 '!E213+'04-02-2026 '!E45+'05-02-2026 '!E13+'09-02-2026 '!E306+'11-02-2026 '!E90+'12-02-2026 '!E64+'18-02-2026 '!E129+'20-02-2026 '!E501+'23-02-2026 '!E222+'25-02-2026 '!E206</f>
        <v>326425</v>
      </c>
      <c r="D21" s="197">
        <f>28800+31700+46075+47700+18000</f>
        <v>172275</v>
      </c>
      <c r="E21" s="197">
        <v>0.0</v>
      </c>
      <c r="F21" s="198">
        <f t="shared" si="4"/>
        <v>546775</v>
      </c>
      <c r="G21" s="202" t="s">
        <v>13</v>
      </c>
      <c r="H21" s="199"/>
      <c r="I21" s="200">
        <f>F21/F40</f>
        <v>0.01096037737</v>
      </c>
    </row>
    <row r="22" ht="16.5" customHeight="1">
      <c r="A22" s="196" t="s">
        <v>422</v>
      </c>
      <c r="B22" s="197">
        <v>0.0</v>
      </c>
      <c r="C22" s="198"/>
      <c r="D22" s="197"/>
      <c r="E22" s="197">
        <v>0.0</v>
      </c>
      <c r="F22" s="198">
        <f t="shared" si="4"/>
        <v>0</v>
      </c>
      <c r="G22" s="202" t="s">
        <v>2</v>
      </c>
      <c r="H22" s="199"/>
      <c r="I22" s="200">
        <f>F22/F40</f>
        <v>0</v>
      </c>
    </row>
    <row r="23" ht="16.5" customHeight="1">
      <c r="A23" s="196" t="s">
        <v>83</v>
      </c>
      <c r="B23" s="197">
        <f>1049840-2500</f>
        <v>1047340</v>
      </c>
      <c r="C23" s="198">
        <f>'02-02-2026 '!E168+'06-02-2026 '!E196+'09-02-2026 '!E290+'13-02-2026 '!E304+'17-02-2026 '!E187+'20-02-2026 '!E510+'23-02-2026 '!E290</f>
        <v>1505950</v>
      </c>
      <c r="D23" s="203">
        <f>579480+467870+645100</f>
        <v>1692450</v>
      </c>
      <c r="E23" s="197">
        <v>0.0</v>
      </c>
      <c r="F23" s="198">
        <f t="shared" si="4"/>
        <v>860840</v>
      </c>
      <c r="G23" s="202" t="s">
        <v>2</v>
      </c>
      <c r="H23" s="199"/>
      <c r="I23" s="200">
        <f>F23/F40</f>
        <v>0.01725596682</v>
      </c>
    </row>
    <row r="24" ht="16.5" customHeight="1">
      <c r="A24" s="196" t="s">
        <v>423</v>
      </c>
      <c r="B24" s="197">
        <v>0.0</v>
      </c>
      <c r="C24" s="201">
        <f>'06-02-2026 '!F26+'06-02-2026 '!F59+'06-02-2026 '!F89+'10-02-2026 '!F87+'10-02-2026 '!F55+'10-02-2026 '!F25+'13-02-2026 '!F34+'13-02-2026 '!F63+'13-02-2026 '!F91+'13-02-2026 '!F128+'13-02-2026 '!F157+'13-02-2026 '!F188+'13-02-2026 '!F220+'18-02-2026 '!F13+'18-02-2026 '!F26+'18-02-2026 '!F42+'18-02-2026 '!F55+'18-02-2026 '!F67+'19-02-2026 '!F36+'19-02-2026 '!F79+'20-02-2026 '!F40+'20-02-2026 '!F71+'20-02-2026 '!F119+'20-02-2026 '!F155+'20-02-2026 '!F196+'20-02-2026 '!F234+'20-02-2026 '!F265+'20-02-2026 '!F303+'20-02-2026 '!F331+'23-02-2026 '!F154+'24-02-2026 '!F212+'24-02-2026 '!F178+'24-02-2026 '!F142+'24-02-2026 '!F104+'24-02-2026 '!F71+'24-02-2026 '!F32+'25-02-2026 '!F22+'25-02-2026 '!F68+'25-02-2026 '!F126+'25-02-2026 '!F161</f>
        <v>13414063.81</v>
      </c>
      <c r="D24" s="203">
        <v>0.0</v>
      </c>
      <c r="E24" s="197">
        <v>0.0</v>
      </c>
      <c r="F24" s="198">
        <f t="shared" si="4"/>
        <v>13414063.81</v>
      </c>
      <c r="G24" s="64"/>
      <c r="H24" s="199"/>
      <c r="I24" s="200">
        <f t="shared" ref="I24:I37" si="5">F24/$F$40</f>
        <v>0.2688915942</v>
      </c>
    </row>
    <row r="25" ht="16.5" customHeight="1">
      <c r="A25" s="196" t="s">
        <v>424</v>
      </c>
      <c r="B25" s="197">
        <v>0.0</v>
      </c>
      <c r="C25" s="205">
        <v>0.0</v>
      </c>
      <c r="D25" s="203">
        <v>0.0</v>
      </c>
      <c r="E25" s="197">
        <v>0.0</v>
      </c>
      <c r="F25" s="198">
        <f t="shared" si="4"/>
        <v>0</v>
      </c>
      <c r="G25" s="202" t="s">
        <v>2</v>
      </c>
      <c r="H25" s="199"/>
      <c r="I25" s="200">
        <f t="shared" si="5"/>
        <v>0</v>
      </c>
    </row>
    <row r="26" ht="16.5" customHeight="1">
      <c r="A26" s="196" t="s">
        <v>425</v>
      </c>
      <c r="B26" s="197">
        <v>0.0</v>
      </c>
      <c r="C26" s="205">
        <v>0.0</v>
      </c>
      <c r="D26" s="203">
        <v>0.0</v>
      </c>
      <c r="E26" s="197">
        <v>0.0</v>
      </c>
      <c r="F26" s="198">
        <f t="shared" si="4"/>
        <v>0</v>
      </c>
      <c r="G26" s="202" t="s">
        <v>2</v>
      </c>
      <c r="H26" s="199"/>
      <c r="I26" s="200">
        <f t="shared" si="5"/>
        <v>0</v>
      </c>
    </row>
    <row r="27" ht="16.5" customHeight="1">
      <c r="A27" s="209" t="s">
        <v>426</v>
      </c>
      <c r="B27" s="197"/>
      <c r="C27" s="198">
        <f>'18-02-2026 '!F138</f>
        <v>39780</v>
      </c>
      <c r="D27" s="203">
        <v>0.0</v>
      </c>
      <c r="E27" s="197"/>
      <c r="F27" s="198">
        <f t="shared" si="4"/>
        <v>39780</v>
      </c>
      <c r="G27" s="202" t="s">
        <v>2</v>
      </c>
      <c r="H27" s="199"/>
      <c r="I27" s="200">
        <f t="shared" si="5"/>
        <v>0.0007974099252</v>
      </c>
    </row>
    <row r="28" ht="16.5" customHeight="1">
      <c r="A28" s="210" t="s">
        <v>427</v>
      </c>
      <c r="B28" s="197">
        <v>1421000.0</v>
      </c>
      <c r="C28" s="198">
        <f>'03-02-2026 '!E68+'10-02-2026 '!E146+'11-02-2026 '!E106+'13-02-2026 '!E271+'17-02-2026 '!E54+'20-02-2026 '!E382+'24-02-2026 '!E225</f>
        <v>1313550</v>
      </c>
      <c r="D28" s="203">
        <v>2324450.0</v>
      </c>
      <c r="E28" s="197">
        <v>0.0</v>
      </c>
      <c r="F28" s="198">
        <f t="shared" si="4"/>
        <v>410100</v>
      </c>
      <c r="G28" s="64"/>
      <c r="H28" s="199"/>
      <c r="I28" s="200">
        <f t="shared" si="5"/>
        <v>0.008220658882</v>
      </c>
    </row>
    <row r="29" ht="16.5" customHeight="1">
      <c r="A29" s="210" t="s">
        <v>190</v>
      </c>
      <c r="B29" s="197">
        <v>1045000.0</v>
      </c>
      <c r="C29" s="198">
        <f>'03-02-2026 '!E47+'06-02-2026 '!E240+'09-02-2026 '!E174+'11-02-2026 '!E80+'17-02-2026 '!E84+'25-02-2026 '!E255</f>
        <v>2451520</v>
      </c>
      <c r="D29" s="203">
        <v>2037800.0</v>
      </c>
      <c r="E29" s="197"/>
      <c r="F29" s="198">
        <f t="shared" si="4"/>
        <v>1458720</v>
      </c>
      <c r="G29" s="202" t="s">
        <v>2</v>
      </c>
      <c r="H29" s="199"/>
      <c r="I29" s="200">
        <f t="shared" si="5"/>
        <v>0.02924076938</v>
      </c>
    </row>
    <row r="30" ht="16.5" customHeight="1">
      <c r="A30" s="210" t="s">
        <v>92</v>
      </c>
      <c r="B30" s="197">
        <v>241774.0</v>
      </c>
      <c r="C30" s="198">
        <f>'02-02-2026 '!F195+'06-02-2026 '!F108+'09-02-2026 '!F90+'17-02-2026 '!F13+'19-02-2026 '!F13+'25-02-2026 '!F84</f>
        <v>1987023.4</v>
      </c>
      <c r="D30" s="203">
        <v>854000.0</v>
      </c>
      <c r="E30" s="197">
        <v>0.0</v>
      </c>
      <c r="F30" s="198">
        <f t="shared" si="4"/>
        <v>1374797.4</v>
      </c>
      <c r="G30" s="64"/>
      <c r="H30" s="199"/>
      <c r="I30" s="200">
        <f t="shared" si="5"/>
        <v>0.02755849904</v>
      </c>
    </row>
    <row r="31" ht="16.5" customHeight="1">
      <c r="A31" s="210" t="s">
        <v>428</v>
      </c>
      <c r="B31" s="197">
        <v>335616.13</v>
      </c>
      <c r="C31" s="198">
        <f>'03-02-2026 '!F31+'09-02-2026 '!F161+'13-02-2026 '!E248+'18-02-2026 '!E231+'20-02-2026 '!E360+'23-02-2026 '!E20</f>
        <v>834499</v>
      </c>
      <c r="D31" s="203">
        <f>332203+232701</f>
        <v>564904</v>
      </c>
      <c r="E31" s="197">
        <v>0.0</v>
      </c>
      <c r="F31" s="198">
        <f t="shared" si="4"/>
        <v>605211.13</v>
      </c>
      <c r="G31" s="64"/>
      <c r="H31" s="199"/>
      <c r="I31" s="200">
        <f t="shared" si="5"/>
        <v>0.01213175872</v>
      </c>
    </row>
    <row r="32" ht="16.5" customHeight="1">
      <c r="A32" s="210" t="s">
        <v>429</v>
      </c>
      <c r="B32" s="197">
        <v>0.0</v>
      </c>
      <c r="C32" s="198">
        <f>'02-02-2026 '!E176+'03-02-2026 '!E104+'10-02-2026 '!E121+'12-02-2026 '!E79+'25-02-2026 '!E213</f>
        <v>182000</v>
      </c>
      <c r="D32" s="197">
        <f>16000+38000+46000</f>
        <v>100000</v>
      </c>
      <c r="E32" s="203">
        <v>0.0</v>
      </c>
      <c r="F32" s="198">
        <f t="shared" si="4"/>
        <v>82000</v>
      </c>
      <c r="G32" s="64"/>
      <c r="H32" s="199"/>
      <c r="I32" s="200">
        <f t="shared" si="5"/>
        <v>0.001643730866</v>
      </c>
    </row>
    <row r="33" ht="16.5" customHeight="1">
      <c r="A33" s="210" t="s">
        <v>430</v>
      </c>
      <c r="B33" s="197"/>
      <c r="C33" s="211">
        <f>'02-02-2026 '!F59+'02-02-2026 '!F73+'05-02-2026 '!F24+'09-02-2026 '!F59+'09-02-2026 '!F73+'02-02-2026 '!F103+'09-02-2026 '!F30+'18-02-2026 '!F116+'18-02-2026 '!F99+'23-02-2026 '!F57+'23-02-2026 '!F91+'25-02-2026 '!F36</f>
        <v>2759807.175</v>
      </c>
      <c r="D33" s="212">
        <v>1482703.3</v>
      </c>
      <c r="E33" s="212">
        <v>0.0</v>
      </c>
      <c r="F33" s="211">
        <f>C33+C34-D33</f>
        <v>1277103.875</v>
      </c>
      <c r="G33" s="202" t="s">
        <v>2</v>
      </c>
      <c r="H33" s="199"/>
      <c r="I33" s="200">
        <f t="shared" si="5"/>
        <v>0.02560018364</v>
      </c>
    </row>
    <row r="34" ht="16.5" customHeight="1">
      <c r="A34" s="210" t="s">
        <v>431</v>
      </c>
      <c r="B34" s="197"/>
      <c r="C34" s="213"/>
      <c r="D34" s="213"/>
      <c r="E34" s="213"/>
      <c r="F34" s="213"/>
      <c r="G34" s="202" t="s">
        <v>2</v>
      </c>
      <c r="H34" s="199"/>
      <c r="I34" s="200">
        <f t="shared" si="5"/>
        <v>0</v>
      </c>
    </row>
    <row r="35" ht="16.5" customHeight="1">
      <c r="A35" s="210" t="s">
        <v>432</v>
      </c>
      <c r="B35" s="197">
        <v>0.0</v>
      </c>
      <c r="C35" s="198">
        <v>0.0</v>
      </c>
      <c r="D35" s="203">
        <v>0.0</v>
      </c>
      <c r="E35" s="197">
        <v>0.0</v>
      </c>
      <c r="F35" s="198">
        <f t="shared" ref="F35:F38" si="6">B35+C35-D35</f>
        <v>0</v>
      </c>
      <c r="G35" s="202" t="s">
        <v>2</v>
      </c>
      <c r="H35" s="199"/>
      <c r="I35" s="200">
        <f t="shared" si="5"/>
        <v>0</v>
      </c>
    </row>
    <row r="36" ht="16.5" customHeight="1">
      <c r="A36" s="210" t="s">
        <v>433</v>
      </c>
      <c r="B36" s="197">
        <v>24925.0</v>
      </c>
      <c r="C36" s="198">
        <f>'02-02-2026 '!E228+'03-02-2026 '!E118+'18-02-2026 '!E150+'20-02-2026 '!E397</f>
        <v>104800</v>
      </c>
      <c r="D36" s="203">
        <f>24925+C36</f>
        <v>129725</v>
      </c>
      <c r="E36" s="197">
        <v>0.0</v>
      </c>
      <c r="F36" s="198">
        <f t="shared" si="6"/>
        <v>0</v>
      </c>
      <c r="G36" s="202" t="s">
        <v>2</v>
      </c>
      <c r="H36" s="199"/>
      <c r="I36" s="200">
        <f t="shared" si="5"/>
        <v>0</v>
      </c>
    </row>
    <row r="37" ht="16.5" customHeight="1">
      <c r="A37" s="210" t="s">
        <v>244</v>
      </c>
      <c r="B37" s="197">
        <v>0.0</v>
      </c>
      <c r="C37" s="214">
        <f>'06-02-2026 '!F150+'13-02-2026 '!F285+'20-02-2026 '!F418</f>
        <v>415480</v>
      </c>
      <c r="D37" s="203">
        <f>C37</f>
        <v>415480</v>
      </c>
      <c r="E37" s="197">
        <v>0.0</v>
      </c>
      <c r="F37" s="198">
        <f t="shared" si="6"/>
        <v>0</v>
      </c>
      <c r="G37" s="202" t="s">
        <v>2</v>
      </c>
      <c r="H37" s="199"/>
      <c r="I37" s="200">
        <f t="shared" si="5"/>
        <v>0</v>
      </c>
    </row>
    <row r="38" ht="16.5" customHeight="1">
      <c r="A38" s="209" t="s">
        <v>366</v>
      </c>
      <c r="B38" s="197">
        <v>0.0</v>
      </c>
      <c r="C38" s="198">
        <f>'23-02-2026 '!E118</f>
        <v>203600</v>
      </c>
      <c r="D38" s="203">
        <v>203600.0</v>
      </c>
      <c r="E38" s="197">
        <v>0.0</v>
      </c>
      <c r="F38" s="198">
        <f t="shared" si="6"/>
        <v>0</v>
      </c>
      <c r="G38" s="202" t="s">
        <v>2</v>
      </c>
      <c r="H38" s="199"/>
      <c r="I38" s="200">
        <f>F38/F40</f>
        <v>0</v>
      </c>
    </row>
    <row r="39" ht="18.0" customHeight="1">
      <c r="C39" s="204"/>
      <c r="D39" s="204"/>
      <c r="E39" s="204"/>
      <c r="F39" s="204"/>
    </row>
    <row r="40" ht="15.75" customHeight="1">
      <c r="B40" s="204">
        <f t="shared" ref="B40:D40" si="7">SUM(B3:B38)</f>
        <v>23349839.55</v>
      </c>
      <c r="C40" s="204">
        <f t="shared" si="7"/>
        <v>47800501.76</v>
      </c>
      <c r="D40" s="204">
        <f t="shared" si="7"/>
        <v>20976337.82</v>
      </c>
      <c r="E40" s="204"/>
      <c r="F40" s="215">
        <f>SUM(F3:F39)</f>
        <v>49886512.25</v>
      </c>
      <c r="H40" s="204"/>
      <c r="I40" s="216">
        <f>SUM(I3:I38)</f>
        <v>1</v>
      </c>
    </row>
    <row r="41" ht="15.0" customHeight="1">
      <c r="C41" s="217"/>
      <c r="G41" s="218"/>
    </row>
    <row r="42" ht="15.75" customHeight="1">
      <c r="B42" s="14" t="s">
        <v>434</v>
      </c>
      <c r="C42" s="204">
        <f>'02-02-2026 '!B284+'03-02-2026 '!B125+'04-02-2026 '!B104+'05-02-2026 '!B26+'06-02-2026 '!B305+'09-02-2026 '!B311+'10-02-2026 '!B152+'11-02-2026 '!B112+'12-02-2026 '!B84+'13-02-2026 '!B361+'17-02-2026 '!B191+'18-02-2026 '!B236+'19-02-2026 '!B118+'20-02-2026 '!B513+'23-02-2026 '!B315+'24-02-2026 '!B250+'25-02-2026 '!B258</f>
        <v>47800501.76</v>
      </c>
      <c r="D42" s="204"/>
      <c r="E42" s="204"/>
      <c r="F42" s="204"/>
    </row>
    <row r="43" ht="15.75" customHeight="1">
      <c r="C43" s="204"/>
      <c r="F43" s="218"/>
    </row>
    <row r="44" ht="15.75" customHeight="1">
      <c r="B44" s="14" t="s">
        <v>435</v>
      </c>
      <c r="C44" s="204">
        <f>'02-02-2026 '!B286+'03-02-2026 '!B127+'04-02-2026 '!B106+'05-02-2026 '!B28+'06-02-2026 '!B307+'09-02-2026 '!B313+'10-02-2026 '!B154+'11-02-2026 '!B114+'12-02-2026 '!B86+'13-02-2026 '!B363+'17-02-2026 '!B193+'18-02-2026 '!B238+'19-02-2026 '!B120+'20-02-2026 '!B515+'23-02-2026 '!B317+'24-02-2026 '!B252+'25-02-2026 '!B260</f>
        <v>17146518.81</v>
      </c>
      <c r="D44" s="219">
        <f>C44/C42</f>
        <v>0.3587100173</v>
      </c>
      <c r="E44" s="219"/>
      <c r="F44" s="204"/>
      <c r="G44" s="14"/>
    </row>
    <row r="45" ht="15.75" customHeight="1">
      <c r="C45" s="204"/>
      <c r="G45" s="204"/>
    </row>
    <row r="46" ht="15.75" customHeight="1">
      <c r="D46" s="220" t="s">
        <v>436</v>
      </c>
    </row>
    <row r="47" ht="15.75" customHeight="1">
      <c r="A47" s="85" t="s">
        <v>437</v>
      </c>
      <c r="B47" s="204">
        <f>'02-02-2026 '!B284+'03-02-2026 '!B125+'04-02-2026 '!B104+'05-02-2026 '!B26+'06-02-2026 '!B305</f>
        <v>10328404.05</v>
      </c>
      <c r="D47" s="221">
        <v>0.0</v>
      </c>
      <c r="E47" s="222"/>
      <c r="F47" s="204"/>
    </row>
    <row r="48" ht="15.75" customHeight="1">
      <c r="A48" s="85" t="s">
        <v>438</v>
      </c>
      <c r="B48" s="204">
        <f>'09-02-2026 '!B311+'10-02-2026 '!B152+'11-02-2026 '!B112+'12-02-2026 '!B84+'13-02-2026 '!B361</f>
        <v>14378852.96</v>
      </c>
      <c r="D48" s="223">
        <v>418.0</v>
      </c>
    </row>
    <row r="49" ht="15.75" customHeight="1">
      <c r="A49" s="85" t="s">
        <v>439</v>
      </c>
      <c r="B49" s="204">
        <f>'17-02-2026 '!B191+'18-02-2026 '!B236+'19-02-2026 '!B118+'20-02-2026 '!B513</f>
        <v>12406303.18</v>
      </c>
      <c r="C49" s="33"/>
      <c r="D49" s="223">
        <v>418.0</v>
      </c>
      <c r="E49" s="204"/>
    </row>
    <row r="50" ht="15.75" customHeight="1">
      <c r="A50" s="85" t="s">
        <v>440</v>
      </c>
      <c r="B50" s="204">
        <f>'23-02-2026 '!B315+'24-02-2026 '!B250+'25-02-2026 '!B258</f>
        <v>10686941.58</v>
      </c>
      <c r="C50" s="217"/>
      <c r="D50" s="224"/>
      <c r="E50" s="204"/>
    </row>
    <row r="51" ht="15.75" customHeight="1">
      <c r="B51" s="204"/>
      <c r="C51" s="225" t="s">
        <v>441</v>
      </c>
      <c r="D51" s="226">
        <f>SUM(D47:D50)</f>
        <v>836</v>
      </c>
      <c r="E51" s="204"/>
    </row>
    <row r="52" ht="15.75" customHeight="1">
      <c r="A52" s="225" t="s">
        <v>442</v>
      </c>
      <c r="B52" s="204">
        <f>SUM(B47:B51)</f>
        <v>47800501.76</v>
      </c>
    </row>
    <row r="53" ht="15.75" customHeight="1">
      <c r="B53" s="204"/>
      <c r="C53" s="218"/>
      <c r="D53" s="218"/>
    </row>
    <row r="54" ht="15.75" customHeight="1"/>
    <row r="55" ht="15.75" customHeight="1">
      <c r="A55" s="225" t="s">
        <v>443</v>
      </c>
      <c r="B55" s="204">
        <f>B52/23</f>
        <v>2078282.685</v>
      </c>
    </row>
    <row r="56" ht="15.75" customHeight="1">
      <c r="A56" s="225" t="s">
        <v>444</v>
      </c>
      <c r="B56" s="204">
        <f>C44/24</f>
        <v>714438.2838</v>
      </c>
      <c r="C56" s="64"/>
    </row>
    <row r="57" ht="15.75" customHeight="1"/>
    <row r="58" ht="15.75" customHeight="1"/>
    <row r="59" ht="15.75" customHeight="1"/>
    <row r="60" ht="15.75" customHeight="1">
      <c r="D60" s="3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4">
    <mergeCell ref="C33:C34"/>
    <mergeCell ref="D33:D34"/>
    <mergeCell ref="E33:E34"/>
    <mergeCell ref="F33:F3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3" max="3" width="14.88"/>
    <col customWidth="1" min="4" max="4" width="21.13"/>
    <col customWidth="1" min="5" max="6" width="14.38"/>
  </cols>
  <sheetData>
    <row r="3">
      <c r="B3" s="125" t="s">
        <v>445</v>
      </c>
      <c r="C3" s="126"/>
      <c r="D3" s="127"/>
      <c r="E3" s="127"/>
      <c r="F3" s="128"/>
    </row>
    <row r="4">
      <c r="B4" s="49"/>
      <c r="C4" s="184"/>
      <c r="D4" s="227"/>
      <c r="E4" s="227"/>
      <c r="F4" s="228"/>
    </row>
    <row r="5">
      <c r="B5" s="229"/>
      <c r="C5" s="230"/>
      <c r="D5" s="230"/>
      <c r="E5" s="230"/>
      <c r="F5" s="231"/>
    </row>
    <row r="6">
      <c r="B6" s="229"/>
      <c r="C6" s="230"/>
      <c r="D6" s="232" t="s">
        <v>389</v>
      </c>
      <c r="E6" s="233" t="s">
        <v>390</v>
      </c>
      <c r="F6" s="231"/>
    </row>
    <row r="7">
      <c r="B7" s="229"/>
      <c r="C7" s="230"/>
      <c r="D7" s="232" t="s">
        <v>391</v>
      </c>
      <c r="E7" s="234" t="s">
        <v>392</v>
      </c>
      <c r="F7" s="231"/>
    </row>
    <row r="8">
      <c r="B8" s="229"/>
      <c r="C8" s="230"/>
      <c r="D8" s="232" t="s">
        <v>393</v>
      </c>
      <c r="E8" s="234" t="s">
        <v>394</v>
      </c>
      <c r="F8" s="231"/>
    </row>
    <row r="9">
      <c r="B9" s="229"/>
      <c r="C9" s="230"/>
      <c r="D9" s="235"/>
      <c r="E9" s="235"/>
      <c r="F9" s="231"/>
    </row>
    <row r="10">
      <c r="B10" s="229"/>
      <c r="C10" s="230"/>
      <c r="D10" s="236"/>
      <c r="E10" s="233"/>
      <c r="F10" s="237"/>
      <c r="I10" s="144"/>
    </row>
    <row r="11">
      <c r="B11" s="229"/>
      <c r="C11" s="230"/>
      <c r="D11" s="238" t="s">
        <v>397</v>
      </c>
      <c r="E11" s="239" t="s">
        <v>266</v>
      </c>
      <c r="F11" s="240" t="s">
        <v>343</v>
      </c>
      <c r="G11" s="241"/>
      <c r="I11" s="142"/>
      <c r="J11" s="132"/>
    </row>
    <row r="12">
      <c r="B12" s="229"/>
      <c r="C12" s="230"/>
      <c r="D12" s="230"/>
      <c r="E12" s="230"/>
      <c r="F12" s="231"/>
      <c r="G12" s="242"/>
      <c r="I12" s="142"/>
      <c r="J12" s="132"/>
    </row>
    <row r="13">
      <c r="B13" s="243"/>
      <c r="E13" s="244"/>
      <c r="F13" s="245"/>
      <c r="G13" s="242"/>
    </row>
    <row r="14" ht="32.25" customHeight="1">
      <c r="B14" s="246">
        <v>46267.0</v>
      </c>
      <c r="C14" s="247"/>
      <c r="D14" s="248"/>
      <c r="E14" s="248" t="s">
        <v>13</v>
      </c>
      <c r="F14" s="249">
        <f>'09-02-2026 '!F161</f>
        <v>137351.5</v>
      </c>
    </row>
    <row r="15" ht="32.25" customHeight="1">
      <c r="B15" s="250" t="s">
        <v>446</v>
      </c>
      <c r="C15" s="251"/>
      <c r="D15" s="248"/>
      <c r="E15" s="248"/>
      <c r="F15" s="252">
        <f>'13-02-2026 '!E248</f>
        <v>167000</v>
      </c>
    </row>
    <row r="16" ht="32.25" customHeight="1">
      <c r="B16" s="250" t="s">
        <v>447</v>
      </c>
      <c r="C16" s="251"/>
      <c r="D16" s="248"/>
      <c r="E16" s="248"/>
      <c r="F16" s="252">
        <f>'18-02-2026 '!E231</f>
        <v>80050</v>
      </c>
    </row>
    <row r="17" ht="32.25" customHeight="1">
      <c r="B17" s="250" t="s">
        <v>448</v>
      </c>
      <c r="C17" s="247"/>
      <c r="D17" s="248"/>
      <c r="E17" s="248"/>
      <c r="F17" s="253">
        <f>'20-02-2026 '!E360</f>
        <v>110660</v>
      </c>
    </row>
    <row r="18" ht="32.25" customHeight="1">
      <c r="B18" s="250" t="s">
        <v>449</v>
      </c>
      <c r="C18" s="247"/>
      <c r="D18" s="248"/>
      <c r="E18" s="248"/>
      <c r="F18" s="249">
        <f>'23-02-2026 '!E20</f>
        <v>110150</v>
      </c>
    </row>
    <row r="19" ht="32.25" customHeight="1">
      <c r="B19" s="246"/>
      <c r="C19" s="247"/>
      <c r="D19" s="248"/>
      <c r="E19" s="248"/>
      <c r="F19" s="249"/>
    </row>
    <row r="20" ht="32.25" customHeight="1">
      <c r="B20" s="246"/>
      <c r="C20" s="247"/>
      <c r="D20" s="248"/>
      <c r="E20" s="248"/>
      <c r="F20" s="249"/>
    </row>
    <row r="21" ht="32.25" customHeight="1">
      <c r="B21" s="250"/>
      <c r="C21" s="247"/>
      <c r="D21" s="248"/>
      <c r="E21" s="248"/>
      <c r="F21" s="249"/>
    </row>
    <row r="22" ht="32.25" customHeight="1">
      <c r="B22" s="250"/>
      <c r="C22" s="247"/>
      <c r="D22" s="254"/>
      <c r="E22" s="248"/>
      <c r="F22" s="249"/>
    </row>
    <row r="23" ht="32.25" customHeight="1">
      <c r="B23" s="250"/>
      <c r="C23" s="247"/>
      <c r="D23" s="254"/>
      <c r="E23" s="248"/>
      <c r="F23" s="249"/>
    </row>
    <row r="24" ht="32.25" customHeight="1">
      <c r="B24" s="250"/>
      <c r="C24" s="247"/>
      <c r="D24" s="254"/>
      <c r="E24" s="248"/>
      <c r="F24" s="249"/>
    </row>
    <row r="25" ht="30.0" customHeight="1">
      <c r="B25" s="255"/>
      <c r="C25" s="256"/>
      <c r="D25" s="257"/>
      <c r="E25" s="244"/>
      <c r="F25" s="258"/>
    </row>
    <row r="26" ht="30.0" customHeight="1">
      <c r="B26" s="255"/>
      <c r="C26" s="256"/>
      <c r="D26" s="257"/>
      <c r="E26" s="244"/>
      <c r="F26" s="258"/>
    </row>
    <row r="27" ht="30.0" customHeight="1">
      <c r="B27" s="259" t="s">
        <v>8</v>
      </c>
      <c r="C27" s="260"/>
      <c r="D27" s="261"/>
      <c r="E27" s="262"/>
      <c r="F27" s="263">
        <f>SUM(F14:F24)</f>
        <v>605211.5</v>
      </c>
    </row>
  </sheetData>
  <mergeCells count="3">
    <mergeCell ref="B3:C4"/>
    <mergeCell ref="I10:J10"/>
    <mergeCell ref="B13:D13"/>
  </mergeCells>
  <printOptions horizontalCentered="1"/>
  <pageMargins bottom="0.0" footer="0.0" header="0.0" left="0.0" right="0.0" top="0.2755905511811023"/>
  <pageSetup paperSize="9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3" max="3" width="14.88"/>
    <col customWidth="1" min="4" max="4" width="21.13"/>
    <col customWidth="1" min="5" max="6" width="14.38"/>
    <col customWidth="1" min="8" max="8" width="13.63"/>
    <col customWidth="1" min="9" max="9" width="14.75"/>
    <col customWidth="1" min="10" max="10" width="21.88"/>
    <col customWidth="1" min="12" max="12" width="14.75"/>
  </cols>
  <sheetData>
    <row r="3">
      <c r="B3" s="125" t="s">
        <v>445</v>
      </c>
      <c r="C3" s="126"/>
      <c r="D3" s="127"/>
      <c r="E3" s="127"/>
      <c r="F3" s="128"/>
      <c r="H3" s="125" t="s">
        <v>445</v>
      </c>
      <c r="I3" s="126"/>
      <c r="J3" s="127"/>
      <c r="K3" s="127"/>
      <c r="L3" s="128"/>
    </row>
    <row r="4">
      <c r="B4" s="49"/>
      <c r="C4" s="184"/>
      <c r="D4" s="227"/>
      <c r="E4" s="227"/>
      <c r="F4" s="228"/>
      <c r="H4" s="49"/>
      <c r="I4" s="184"/>
      <c r="J4" s="227"/>
      <c r="K4" s="227"/>
      <c r="L4" s="228"/>
    </row>
    <row r="5">
      <c r="B5" s="229"/>
      <c r="C5" s="230"/>
      <c r="D5" s="230"/>
      <c r="E5" s="230"/>
      <c r="F5" s="231"/>
      <c r="H5" s="229"/>
      <c r="I5" s="230"/>
      <c r="J5" s="230"/>
      <c r="K5" s="230"/>
      <c r="L5" s="231"/>
    </row>
    <row r="6">
      <c r="B6" s="229"/>
      <c r="C6" s="230"/>
      <c r="D6" s="232" t="s">
        <v>389</v>
      </c>
      <c r="E6" s="233" t="s">
        <v>390</v>
      </c>
      <c r="F6" s="231"/>
      <c r="H6" s="229"/>
      <c r="I6" s="230"/>
      <c r="J6" s="232" t="s">
        <v>389</v>
      </c>
      <c r="K6" s="233" t="s">
        <v>390</v>
      </c>
      <c r="L6" s="231"/>
    </row>
    <row r="7">
      <c r="B7" s="229"/>
      <c r="C7" s="230"/>
      <c r="D7" s="232" t="s">
        <v>391</v>
      </c>
      <c r="E7" s="234" t="s">
        <v>392</v>
      </c>
      <c r="F7" s="231"/>
      <c r="H7" s="229"/>
      <c r="I7" s="230"/>
      <c r="J7" s="232" t="s">
        <v>391</v>
      </c>
      <c r="K7" s="234" t="s">
        <v>392</v>
      </c>
      <c r="L7" s="231"/>
    </row>
    <row r="8">
      <c r="B8" s="229"/>
      <c r="C8" s="230"/>
      <c r="D8" s="232" t="s">
        <v>393</v>
      </c>
      <c r="E8" s="234" t="s">
        <v>394</v>
      </c>
      <c r="F8" s="231"/>
      <c r="H8" s="229"/>
      <c r="I8" s="230"/>
      <c r="J8" s="232" t="s">
        <v>393</v>
      </c>
      <c r="K8" s="234" t="s">
        <v>394</v>
      </c>
      <c r="L8" s="231"/>
    </row>
    <row r="9">
      <c r="B9" s="229"/>
      <c r="C9" s="230"/>
      <c r="D9" s="235"/>
      <c r="E9" s="235"/>
      <c r="F9" s="231"/>
      <c r="H9" s="229"/>
      <c r="I9" s="230"/>
      <c r="J9" s="235"/>
      <c r="K9" s="235"/>
      <c r="L9" s="231"/>
    </row>
    <row r="10">
      <c r="B10" s="229"/>
      <c r="C10" s="230"/>
      <c r="D10" s="236"/>
      <c r="E10" s="233"/>
      <c r="F10" s="237"/>
      <c r="H10" s="229"/>
      <c r="I10" s="230"/>
      <c r="J10" s="236"/>
      <c r="K10" s="233"/>
      <c r="L10" s="237"/>
    </row>
    <row r="11">
      <c r="B11" s="229"/>
      <c r="C11" s="230"/>
      <c r="D11" s="238" t="s">
        <v>397</v>
      </c>
      <c r="E11" s="239" t="s">
        <v>108</v>
      </c>
      <c r="F11" s="264"/>
      <c r="G11" s="241"/>
      <c r="H11" s="229"/>
      <c r="I11" s="230"/>
      <c r="J11" s="238" t="s">
        <v>397</v>
      </c>
      <c r="K11" s="239" t="s">
        <v>115</v>
      </c>
      <c r="L11" s="264"/>
    </row>
    <row r="12">
      <c r="B12" s="229"/>
      <c r="C12" s="230"/>
      <c r="D12" s="230"/>
      <c r="E12" s="230"/>
      <c r="F12" s="231"/>
      <c r="G12" s="242"/>
      <c r="H12" s="229"/>
      <c r="I12" s="230"/>
      <c r="J12" s="230"/>
      <c r="K12" s="230"/>
      <c r="L12" s="231"/>
    </row>
    <row r="13">
      <c r="B13" s="243"/>
      <c r="E13" s="244"/>
      <c r="F13" s="245"/>
      <c r="G13" s="242"/>
      <c r="H13" s="243"/>
      <c r="K13" s="244"/>
      <c r="L13" s="245"/>
    </row>
    <row r="14" ht="32.25" customHeight="1">
      <c r="B14" s="246" t="s">
        <v>450</v>
      </c>
      <c r="C14" s="247"/>
      <c r="D14" s="248"/>
      <c r="E14" s="248"/>
      <c r="F14" s="249">
        <v>229100.0</v>
      </c>
      <c r="H14" s="250" t="s">
        <v>451</v>
      </c>
      <c r="I14" s="247"/>
      <c r="J14" s="248"/>
      <c r="K14" s="248" t="s">
        <v>296</v>
      </c>
      <c r="L14" s="249">
        <v>105800.0</v>
      </c>
    </row>
    <row r="15" ht="32.25" customHeight="1">
      <c r="B15" s="246">
        <v>46154.0</v>
      </c>
      <c r="C15" s="247"/>
      <c r="D15" s="248"/>
      <c r="E15" s="248"/>
      <c r="F15" s="249">
        <v>160600.0</v>
      </c>
      <c r="H15" s="246">
        <v>46266.0</v>
      </c>
      <c r="I15" s="247"/>
      <c r="J15" s="254"/>
      <c r="K15" s="248" t="s">
        <v>198</v>
      </c>
      <c r="L15" s="249">
        <v>252290.0</v>
      </c>
    </row>
    <row r="16" ht="32.25" customHeight="1">
      <c r="B16" s="250" t="s">
        <v>452</v>
      </c>
      <c r="C16" s="247"/>
      <c r="D16" s="254"/>
      <c r="E16" s="248" t="s">
        <v>453</v>
      </c>
      <c r="F16" s="249">
        <v>63000.0</v>
      </c>
      <c r="H16" s="246">
        <v>46357.0</v>
      </c>
      <c r="I16" s="247"/>
      <c r="J16" s="254"/>
      <c r="K16" s="248" t="s">
        <v>282</v>
      </c>
      <c r="L16" s="249">
        <v>226600.0</v>
      </c>
    </row>
    <row r="17" ht="32.25" customHeight="1">
      <c r="B17" s="250" t="s">
        <v>454</v>
      </c>
      <c r="C17" s="247"/>
      <c r="D17" s="254"/>
      <c r="E17" s="248" t="s">
        <v>455</v>
      </c>
      <c r="F17" s="249">
        <v>61800.0</v>
      </c>
      <c r="H17" s="250" t="s">
        <v>456</v>
      </c>
      <c r="I17" s="247"/>
      <c r="J17" s="254"/>
      <c r="K17" s="248" t="s">
        <v>291</v>
      </c>
      <c r="L17" s="249">
        <v>449400.0</v>
      </c>
    </row>
    <row r="18" ht="32.25" customHeight="1">
      <c r="B18" s="246">
        <v>46055.0</v>
      </c>
      <c r="C18" s="247"/>
      <c r="D18" s="254"/>
      <c r="E18" s="248" t="s">
        <v>457</v>
      </c>
      <c r="F18" s="249">
        <v>177100.0</v>
      </c>
      <c r="H18" s="250" t="s">
        <v>458</v>
      </c>
      <c r="I18" s="247"/>
      <c r="J18" s="254"/>
      <c r="K18" s="248" t="s">
        <v>320</v>
      </c>
      <c r="L18" s="249">
        <v>205100.0</v>
      </c>
    </row>
    <row r="19" ht="32.25" customHeight="1">
      <c r="B19" s="246">
        <v>46175.0</v>
      </c>
      <c r="C19" s="247"/>
      <c r="D19" s="254"/>
      <c r="E19" s="248" t="s">
        <v>459</v>
      </c>
      <c r="F19" s="249">
        <v>250800.0</v>
      </c>
      <c r="H19" s="250" t="s">
        <v>460</v>
      </c>
      <c r="I19" s="247"/>
      <c r="J19" s="254"/>
      <c r="K19" s="248" t="s">
        <v>327</v>
      </c>
      <c r="L19" s="249">
        <v>216050.0</v>
      </c>
    </row>
    <row r="20" ht="32.25" customHeight="1">
      <c r="B20" s="246">
        <v>46267.0</v>
      </c>
      <c r="C20" s="247"/>
      <c r="D20" s="254"/>
      <c r="E20" s="248" t="s">
        <v>461</v>
      </c>
      <c r="F20" s="249">
        <v>288200.0</v>
      </c>
      <c r="H20" s="250" t="s">
        <v>452</v>
      </c>
      <c r="I20" s="247"/>
      <c r="J20" s="254"/>
      <c r="K20" s="248" t="s">
        <v>355</v>
      </c>
      <c r="L20" s="249">
        <v>253075.0</v>
      </c>
    </row>
    <row r="21" ht="32.25" customHeight="1">
      <c r="B21" s="250" t="s">
        <v>446</v>
      </c>
      <c r="C21" s="247"/>
      <c r="D21" s="254"/>
      <c r="E21" s="248" t="s">
        <v>462</v>
      </c>
      <c r="F21" s="249">
        <v>332750.0</v>
      </c>
      <c r="H21" s="250" t="s">
        <v>454</v>
      </c>
      <c r="I21" s="247"/>
      <c r="J21" s="254"/>
      <c r="K21" s="248" t="s">
        <v>374</v>
      </c>
      <c r="L21" s="249">
        <v>196700.0</v>
      </c>
    </row>
    <row r="22" ht="32.25" customHeight="1">
      <c r="B22" s="250" t="s">
        <v>463</v>
      </c>
      <c r="C22" s="247"/>
      <c r="D22" s="254"/>
      <c r="E22" s="248" t="s">
        <v>464</v>
      </c>
      <c r="F22" s="249">
        <v>353800.0</v>
      </c>
      <c r="H22" s="246">
        <v>46055.0</v>
      </c>
      <c r="I22" s="247"/>
      <c r="J22" s="254"/>
      <c r="K22" s="248" t="s">
        <v>116</v>
      </c>
      <c r="L22" s="249">
        <v>207100.0</v>
      </c>
    </row>
    <row r="23" ht="32.25" customHeight="1">
      <c r="B23" s="250" t="s">
        <v>448</v>
      </c>
      <c r="C23" s="247"/>
      <c r="D23" s="254"/>
      <c r="E23" s="248" t="s">
        <v>465</v>
      </c>
      <c r="F23" s="249">
        <v>96400.0</v>
      </c>
      <c r="H23" s="246">
        <v>46175.0</v>
      </c>
      <c r="I23" s="247"/>
      <c r="J23" s="254"/>
      <c r="K23" s="248" t="s">
        <v>257</v>
      </c>
      <c r="L23" s="249">
        <v>269675.0</v>
      </c>
    </row>
    <row r="24" ht="32.25" customHeight="1">
      <c r="B24" s="250" t="s">
        <v>466</v>
      </c>
      <c r="C24" s="247"/>
      <c r="D24" s="254"/>
      <c r="E24" s="248" t="s">
        <v>467</v>
      </c>
      <c r="F24" s="249">
        <v>209800.0</v>
      </c>
      <c r="H24" s="246">
        <v>46267.0</v>
      </c>
      <c r="I24" s="247"/>
      <c r="J24" s="254"/>
      <c r="K24" s="248" t="s">
        <v>273</v>
      </c>
      <c r="L24" s="249">
        <v>203900.0</v>
      </c>
    </row>
    <row r="25" ht="32.25" customHeight="1">
      <c r="B25" s="246"/>
      <c r="C25" s="247"/>
      <c r="D25" s="254"/>
      <c r="E25" s="248"/>
      <c r="F25" s="249"/>
      <c r="H25" s="250" t="s">
        <v>446</v>
      </c>
      <c r="I25" s="247"/>
      <c r="J25" s="254"/>
      <c r="K25" s="248" t="s">
        <v>325</v>
      </c>
      <c r="L25" s="249">
        <v>364450.0</v>
      </c>
    </row>
    <row r="26" ht="32.25" customHeight="1">
      <c r="B26" s="246"/>
      <c r="C26" s="247"/>
      <c r="D26" s="254"/>
      <c r="E26" s="248"/>
      <c r="F26" s="249"/>
      <c r="H26" s="250" t="s">
        <v>463</v>
      </c>
      <c r="I26" s="247"/>
      <c r="J26" s="254"/>
      <c r="K26" s="248" t="s">
        <v>333</v>
      </c>
      <c r="L26" s="249">
        <v>450450.0</v>
      </c>
    </row>
    <row r="27" ht="30.0" customHeight="1">
      <c r="B27" s="250"/>
      <c r="C27" s="247"/>
      <c r="D27" s="254"/>
      <c r="E27" s="248"/>
      <c r="F27" s="249"/>
      <c r="H27" s="250" t="s">
        <v>448</v>
      </c>
      <c r="I27" s="247"/>
      <c r="J27" s="254"/>
      <c r="K27" s="248" t="s">
        <v>359</v>
      </c>
      <c r="L27" s="249">
        <v>276850.0</v>
      </c>
    </row>
    <row r="28" ht="30.0" customHeight="1">
      <c r="B28" s="255"/>
      <c r="C28" s="256"/>
      <c r="D28" s="257"/>
      <c r="E28" s="244"/>
      <c r="F28" s="258"/>
      <c r="H28" s="250" t="s">
        <v>466</v>
      </c>
      <c r="I28" s="247"/>
      <c r="J28" s="254"/>
      <c r="K28" s="248" t="s">
        <v>372</v>
      </c>
      <c r="L28" s="249">
        <v>216100.0</v>
      </c>
    </row>
    <row r="29" ht="30.0" customHeight="1">
      <c r="B29" s="255"/>
      <c r="C29" s="256"/>
      <c r="D29" s="257"/>
      <c r="E29" s="244"/>
      <c r="F29" s="258"/>
      <c r="H29" s="250"/>
      <c r="I29" s="247"/>
      <c r="J29" s="254"/>
      <c r="K29" s="248"/>
      <c r="L29" s="249"/>
    </row>
    <row r="30" ht="30.0" customHeight="1">
      <c r="B30" s="255"/>
      <c r="C30" s="256"/>
      <c r="D30" s="257"/>
      <c r="E30" s="244"/>
      <c r="F30" s="258"/>
      <c r="H30" s="255"/>
      <c r="I30" s="256"/>
      <c r="J30" s="257"/>
      <c r="K30" s="244"/>
      <c r="L30" s="258"/>
    </row>
    <row r="31" ht="30.0" customHeight="1">
      <c r="B31" s="259" t="s">
        <v>8</v>
      </c>
      <c r="C31" s="260"/>
      <c r="D31" s="261"/>
      <c r="E31" s="262"/>
      <c r="F31" s="263">
        <f>SUM(F14:F27)</f>
        <v>2223350</v>
      </c>
      <c r="H31" s="259" t="s">
        <v>8</v>
      </c>
      <c r="I31" s="260"/>
      <c r="J31" s="261"/>
      <c r="K31" s="262"/>
      <c r="L31" s="263">
        <f>SUM(L14:L29)</f>
        <v>3893540</v>
      </c>
    </row>
  </sheetData>
  <mergeCells count="4">
    <mergeCell ref="B3:C4"/>
    <mergeCell ref="H3:I4"/>
    <mergeCell ref="B13:D13"/>
    <mergeCell ref="H13:J13"/>
  </mergeCells>
  <printOptions horizontalCentered="1"/>
  <pageMargins bottom="0.0" footer="0.0" header="0.0" left="0.0" right="0.0" top="0.2755905511811023"/>
  <pageSetup paperSize="9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.0"/>
    <col customWidth="1" min="3" max="3" width="11.13"/>
    <col customWidth="1" min="4" max="4" width="5.25"/>
    <col customWidth="1" min="5" max="5" width="34.88"/>
    <col customWidth="1" min="6" max="6" width="17.88"/>
    <col customWidth="1" min="7" max="7" width="12.75"/>
  </cols>
  <sheetData>
    <row r="1">
      <c r="A1" s="2"/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65" t="s">
        <v>468</v>
      </c>
      <c r="F2" s="3"/>
      <c r="G2" s="3"/>
      <c r="H2" s="3"/>
      <c r="I2" s="266"/>
    </row>
    <row r="3">
      <c r="A3" s="2"/>
      <c r="B3" s="2"/>
      <c r="C3" s="2"/>
      <c r="D3" s="2"/>
      <c r="E3" s="9"/>
      <c r="F3" s="3"/>
      <c r="G3" s="3"/>
      <c r="H3" s="3"/>
      <c r="I3" s="266"/>
    </row>
    <row r="4">
      <c r="A4" s="2"/>
      <c r="B4" s="267" t="s">
        <v>469</v>
      </c>
      <c r="C4" s="268"/>
      <c r="D4" s="2"/>
      <c r="E4" s="269">
        <v>46055.0</v>
      </c>
      <c r="F4" s="126"/>
      <c r="G4" s="270"/>
      <c r="H4" s="3"/>
      <c r="I4" s="2"/>
    </row>
    <row r="5">
      <c r="A5" s="2"/>
      <c r="B5" s="271" t="s">
        <v>470</v>
      </c>
      <c r="C5" s="271">
        <v>28468.0</v>
      </c>
      <c r="D5" s="2"/>
      <c r="E5" s="272" t="s">
        <v>402</v>
      </c>
      <c r="F5" s="273" t="s">
        <v>471</v>
      </c>
      <c r="G5" s="274" t="s">
        <v>472</v>
      </c>
      <c r="H5" s="3"/>
      <c r="I5" s="2"/>
    </row>
    <row r="6">
      <c r="A6" s="2"/>
      <c r="B6" s="2"/>
      <c r="C6" s="2"/>
      <c r="D6" s="2"/>
      <c r="E6" s="147" t="s">
        <v>473</v>
      </c>
      <c r="F6" s="15">
        <f>'02-02-2026 '!E59</f>
        <v>283900</v>
      </c>
      <c r="G6" s="158">
        <f t="shared" ref="G6:G11" si="1">F6*0.04</f>
        <v>11356</v>
      </c>
      <c r="H6" s="3"/>
      <c r="I6" s="2"/>
    </row>
    <row r="7">
      <c r="A7" s="2"/>
      <c r="B7" s="267" t="s">
        <v>468</v>
      </c>
      <c r="C7" s="268"/>
      <c r="D7" s="2"/>
      <c r="E7" s="147" t="s">
        <v>474</v>
      </c>
      <c r="F7" s="15">
        <f>'02-02-2026 '!E73</f>
        <v>49850</v>
      </c>
      <c r="G7" s="158">
        <f t="shared" si="1"/>
        <v>1994</v>
      </c>
      <c r="H7" s="3"/>
      <c r="I7" s="2"/>
    </row>
    <row r="8">
      <c r="A8" s="2"/>
      <c r="B8" s="271" t="s">
        <v>470</v>
      </c>
      <c r="C8" s="271">
        <f>F22</f>
        <v>38374</v>
      </c>
      <c r="D8" s="2"/>
      <c r="E8" s="147" t="s">
        <v>475</v>
      </c>
      <c r="F8" s="15">
        <f>'02-02-2026 '!E103</f>
        <v>270800</v>
      </c>
      <c r="G8" s="158">
        <f t="shared" si="1"/>
        <v>10832</v>
      </c>
      <c r="H8" s="2"/>
      <c r="I8" s="2"/>
    </row>
    <row r="9">
      <c r="A9" s="2"/>
      <c r="B9" s="2"/>
      <c r="C9" s="2"/>
      <c r="D9" s="2"/>
      <c r="E9" s="275" t="s">
        <v>92</v>
      </c>
      <c r="F9" s="15">
        <f>'02-02-2026 '!E195</f>
        <v>308800</v>
      </c>
      <c r="G9" s="158">
        <f t="shared" si="1"/>
        <v>12352</v>
      </c>
      <c r="H9" s="2"/>
      <c r="I9" s="2"/>
    </row>
    <row r="10">
      <c r="A10" s="2"/>
      <c r="B10" s="2"/>
      <c r="C10" s="2"/>
      <c r="D10" s="2"/>
      <c r="E10" s="275" t="s">
        <v>90</v>
      </c>
      <c r="F10" s="15">
        <f>'02-02-2026 '!E176</f>
        <v>16000</v>
      </c>
      <c r="G10" s="158">
        <f t="shared" si="1"/>
        <v>640</v>
      </c>
      <c r="H10" s="2"/>
      <c r="I10" s="2"/>
    </row>
    <row r="11">
      <c r="A11" s="2"/>
      <c r="B11" s="2"/>
      <c r="C11" s="2"/>
      <c r="D11" s="2"/>
      <c r="E11" s="275" t="s">
        <v>433</v>
      </c>
      <c r="F11" s="15">
        <f>'02-02-2026 '!E228</f>
        <v>30000</v>
      </c>
      <c r="G11" s="158">
        <f t="shared" si="1"/>
        <v>1200</v>
      </c>
      <c r="H11" s="2"/>
      <c r="I11" s="2"/>
    </row>
    <row r="12">
      <c r="A12" s="2"/>
      <c r="B12" s="2"/>
      <c r="C12" s="2"/>
      <c r="D12" s="2"/>
      <c r="E12" s="269"/>
      <c r="F12" s="126"/>
      <c r="G12" s="270"/>
      <c r="H12" s="2"/>
      <c r="I12" s="2"/>
    </row>
    <row r="13">
      <c r="A13" s="2"/>
      <c r="B13" s="2"/>
      <c r="C13" s="2"/>
      <c r="D13" s="2"/>
      <c r="E13" s="275"/>
      <c r="F13" s="15"/>
      <c r="G13" s="158"/>
      <c r="H13" s="2"/>
      <c r="I13" s="2"/>
    </row>
    <row r="14">
      <c r="A14" s="2"/>
      <c r="B14" s="2"/>
      <c r="C14" s="2"/>
      <c r="D14" s="2"/>
      <c r="E14" s="275"/>
      <c r="F14" s="15"/>
      <c r="G14" s="158"/>
      <c r="H14" s="3"/>
      <c r="I14" s="1"/>
    </row>
    <row r="15">
      <c r="A15" s="2"/>
      <c r="B15" s="2"/>
      <c r="C15" s="2"/>
      <c r="D15" s="2"/>
      <c r="E15" s="275"/>
      <c r="F15" s="15"/>
      <c r="G15" s="158"/>
      <c r="H15" s="3"/>
      <c r="I15" s="1"/>
    </row>
    <row r="16">
      <c r="A16" s="2"/>
      <c r="B16" s="2"/>
      <c r="C16" s="2"/>
      <c r="D16" s="2"/>
      <c r="E16" s="269"/>
      <c r="F16" s="126"/>
      <c r="G16" s="270"/>
      <c r="H16" s="3"/>
      <c r="I16" s="1"/>
    </row>
    <row r="17">
      <c r="A17" s="2"/>
      <c r="B17" s="2"/>
      <c r="C17" s="2"/>
      <c r="D17" s="2"/>
      <c r="E17" s="276"/>
      <c r="F17" s="170"/>
      <c r="G17" s="277"/>
      <c r="H17" s="3"/>
      <c r="I17" s="1"/>
    </row>
    <row r="18">
      <c r="A18" s="2"/>
      <c r="B18" s="2"/>
      <c r="C18" s="2"/>
      <c r="D18" s="2"/>
      <c r="E18" s="52"/>
      <c r="F18" s="3"/>
      <c r="G18" s="3"/>
      <c r="H18" s="3"/>
      <c r="I18" s="1"/>
    </row>
    <row r="19">
      <c r="A19" s="2"/>
      <c r="B19" s="2"/>
      <c r="C19" s="2"/>
      <c r="D19" s="2"/>
      <c r="E19" s="1"/>
      <c r="F19" s="1"/>
      <c r="G19" s="1"/>
      <c r="H19" s="3"/>
      <c r="I19" s="1"/>
    </row>
    <row r="20">
      <c r="A20" s="2"/>
      <c r="B20" s="2"/>
      <c r="C20" s="2"/>
      <c r="D20" s="2"/>
      <c r="E20" s="278" t="s">
        <v>476</v>
      </c>
      <c r="F20" s="279">
        <f>SUM(F6:F17)</f>
        <v>959350</v>
      </c>
      <c r="G20" s="280"/>
      <c r="H20" s="3"/>
      <c r="I20" s="1"/>
    </row>
    <row r="21">
      <c r="A21" s="2"/>
      <c r="B21" s="2"/>
      <c r="C21" s="2"/>
      <c r="D21" s="2"/>
      <c r="E21" s="2"/>
      <c r="F21" s="3"/>
      <c r="G21" s="3"/>
      <c r="H21" s="3"/>
      <c r="I21" s="2"/>
    </row>
    <row r="22">
      <c r="A22" s="2"/>
      <c r="B22" s="2"/>
      <c r="C22" s="3"/>
      <c r="D22" s="3"/>
      <c r="E22" s="281" t="s">
        <v>477</v>
      </c>
      <c r="F22" s="279">
        <f>F20*0.04</f>
        <v>38374</v>
      </c>
      <c r="G22" s="280"/>
      <c r="H22" s="3"/>
      <c r="I22" s="2"/>
    </row>
    <row r="23">
      <c r="A23" s="2"/>
      <c r="B23" s="2"/>
      <c r="C23" s="3"/>
      <c r="D23" s="3"/>
      <c r="E23" s="3"/>
      <c r="F23" s="3"/>
      <c r="G23" s="3"/>
      <c r="H23" s="3"/>
      <c r="I23" s="2"/>
    </row>
    <row r="24">
      <c r="A24" s="2"/>
      <c r="B24" s="2"/>
      <c r="C24" s="3"/>
      <c r="D24" s="3"/>
      <c r="E24" s="3"/>
      <c r="F24" s="3"/>
      <c r="G24" s="3"/>
      <c r="H24" s="3"/>
      <c r="I24" s="2"/>
    </row>
    <row r="25">
      <c r="A25" s="2"/>
      <c r="B25" s="9"/>
      <c r="C25" s="9"/>
      <c r="D25" s="9"/>
      <c r="E25" s="3"/>
      <c r="F25" s="3"/>
      <c r="G25" s="3"/>
      <c r="H25" s="3"/>
      <c r="I25" s="2"/>
    </row>
    <row r="26">
      <c r="A26" s="2"/>
      <c r="B26" s="2"/>
      <c r="C26" s="3"/>
      <c r="D26" s="3"/>
      <c r="E26" s="9"/>
      <c r="F26" s="9"/>
      <c r="G26" s="9"/>
      <c r="H26" s="3"/>
      <c r="I26" s="2"/>
    </row>
    <row r="27">
      <c r="A27" s="2"/>
      <c r="B27" s="2"/>
      <c r="C27" s="3"/>
      <c r="D27" s="3"/>
      <c r="E27" s="3"/>
      <c r="F27" s="3"/>
      <c r="G27" s="3"/>
      <c r="H27" s="3"/>
      <c r="I27" s="2"/>
    </row>
    <row r="28">
      <c r="A28" s="2"/>
      <c r="B28" s="2"/>
      <c r="C28" s="3"/>
      <c r="D28" s="3"/>
      <c r="E28" s="3"/>
      <c r="F28" s="3"/>
      <c r="G28" s="3"/>
      <c r="H28" s="3"/>
      <c r="I28" s="2"/>
    </row>
    <row r="47">
      <c r="F47" s="11"/>
      <c r="G47" s="15"/>
    </row>
    <row r="48">
      <c r="F48" s="11"/>
      <c r="G48" s="15"/>
    </row>
    <row r="49">
      <c r="F49" s="11"/>
      <c r="G49" s="15"/>
    </row>
    <row r="50">
      <c r="F50" s="14"/>
      <c r="G50" s="282"/>
    </row>
    <row r="51">
      <c r="F51" s="14"/>
      <c r="G51" s="16"/>
    </row>
    <row r="52">
      <c r="F52" s="14"/>
      <c r="G52" s="16"/>
    </row>
    <row r="53">
      <c r="F53" s="10"/>
      <c r="G53" s="11"/>
    </row>
    <row r="55">
      <c r="F55" s="11"/>
      <c r="G55" s="15"/>
    </row>
    <row r="56">
      <c r="F56" s="11"/>
      <c r="G56" s="15"/>
    </row>
    <row r="57">
      <c r="F57" s="11"/>
      <c r="G57" s="15"/>
    </row>
    <row r="58">
      <c r="F58" s="11"/>
      <c r="G58" s="15"/>
    </row>
    <row r="59">
      <c r="F59" s="11"/>
      <c r="G59" s="15"/>
      <c r="H59" s="15"/>
    </row>
    <row r="60">
      <c r="F60" s="11"/>
      <c r="G60" s="15"/>
      <c r="H60" s="15"/>
    </row>
  </sheetData>
  <mergeCells count="7">
    <mergeCell ref="B4:C4"/>
    <mergeCell ref="E4:G4"/>
    <mergeCell ref="B7:C7"/>
    <mergeCell ref="E12:G12"/>
    <mergeCell ref="E16:G16"/>
    <mergeCell ref="F20:G20"/>
    <mergeCell ref="F22:G22"/>
  </mergeCells>
  <printOptions horizontalCentered="1"/>
  <pageMargins bottom="0.59251968503937" footer="0.0" header="0.0" left="0.25" right="0.25" top="0.59251968503937"/>
  <pageSetup paperSize="9" scale="95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63"/>
    <col customWidth="1" min="3" max="3" width="9.88"/>
    <col customWidth="1" min="4" max="4" width="17.75"/>
    <col customWidth="1" min="7" max="7" width="6.38"/>
    <col customWidth="1" min="8" max="8" width="8.25"/>
    <col customWidth="1" min="9" max="9" width="9.13"/>
    <col customWidth="1" min="10" max="10" width="17.75"/>
    <col customWidth="1" min="11" max="11" width="13.25"/>
    <col customWidth="1" min="13" max="13" width="13.75"/>
    <col customWidth="1" min="16" max="16" width="9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83" t="s">
        <v>478</v>
      </c>
      <c r="C2" s="284"/>
      <c r="D2" s="284"/>
      <c r="E2" s="284"/>
      <c r="F2" s="280"/>
      <c r="G2" s="3"/>
      <c r="H2" s="283" t="s">
        <v>479</v>
      </c>
      <c r="I2" s="284"/>
      <c r="J2" s="284"/>
      <c r="K2" s="284"/>
      <c r="L2" s="284"/>
      <c r="M2" s="280"/>
      <c r="N2" s="2"/>
      <c r="O2" s="2"/>
      <c r="P2" s="2"/>
      <c r="Q2" s="2"/>
    </row>
    <row r="3">
      <c r="A3" s="2"/>
      <c r="B3" s="1"/>
      <c r="C3" s="3"/>
      <c r="D3" s="9"/>
      <c r="E3" s="3"/>
      <c r="F3" s="3"/>
      <c r="G3" s="3"/>
      <c r="H3" s="3"/>
      <c r="I3" s="3"/>
      <c r="J3" s="2"/>
      <c r="K3" s="9"/>
      <c r="L3" s="9"/>
      <c r="M3" s="9"/>
      <c r="N3" s="2"/>
      <c r="O3" s="266"/>
      <c r="P3" s="2"/>
      <c r="Q3" s="2"/>
    </row>
    <row r="4">
      <c r="A4" s="2"/>
      <c r="B4" s="269">
        <v>46027.0</v>
      </c>
      <c r="C4" s="126"/>
      <c r="D4" s="126"/>
      <c r="E4" s="126"/>
      <c r="F4" s="270"/>
      <c r="G4" s="3"/>
      <c r="H4" s="269">
        <v>46027.0</v>
      </c>
      <c r="I4" s="126"/>
      <c r="J4" s="126"/>
      <c r="K4" s="126"/>
      <c r="L4" s="126"/>
      <c r="M4" s="270"/>
      <c r="N4" s="4"/>
      <c r="O4" s="285" t="s">
        <v>480</v>
      </c>
      <c r="P4" s="286"/>
      <c r="Q4" s="268"/>
    </row>
    <row r="5">
      <c r="A5" s="2"/>
      <c r="B5" s="287" t="s">
        <v>4</v>
      </c>
      <c r="C5" s="273" t="s">
        <v>5</v>
      </c>
      <c r="D5" s="288" t="s">
        <v>6</v>
      </c>
      <c r="E5" s="273" t="s">
        <v>7</v>
      </c>
      <c r="F5" s="273" t="s">
        <v>8</v>
      </c>
      <c r="G5" s="3"/>
      <c r="H5" s="289" t="s">
        <v>4</v>
      </c>
      <c r="I5" s="273" t="s">
        <v>5</v>
      </c>
      <c r="J5" s="288" t="s">
        <v>6</v>
      </c>
      <c r="K5" s="273" t="s">
        <v>7</v>
      </c>
      <c r="L5" s="290" t="s">
        <v>8</v>
      </c>
      <c r="M5" s="274" t="s">
        <v>9</v>
      </c>
      <c r="N5" s="4"/>
      <c r="O5" s="271" t="s">
        <v>481</v>
      </c>
      <c r="P5" s="291"/>
      <c r="Q5" s="271">
        <v>842024.0</v>
      </c>
    </row>
    <row r="6">
      <c r="A6" s="2"/>
      <c r="B6" s="292">
        <v>2.0</v>
      </c>
      <c r="C6" s="10" t="s">
        <v>18</v>
      </c>
      <c r="D6" s="11" t="s">
        <v>19</v>
      </c>
      <c r="E6" s="15">
        <v>32000.0</v>
      </c>
      <c r="F6" s="293">
        <f t="shared" ref="F6:F13" si="1">B6*E6</f>
        <v>64000</v>
      </c>
      <c r="G6" s="3"/>
      <c r="H6" s="26">
        <v>2.0</v>
      </c>
      <c r="I6" s="10" t="s">
        <v>18</v>
      </c>
      <c r="J6" s="11" t="s">
        <v>19</v>
      </c>
      <c r="K6" s="15">
        <v>32000.0</v>
      </c>
      <c r="L6" s="15">
        <f t="shared" ref="L6:L14" si="2">H6*K6</f>
        <v>64000</v>
      </c>
      <c r="M6" s="15">
        <f t="shared" ref="M6:M7" si="3">L6*1.105</f>
        <v>70720</v>
      </c>
      <c r="N6" s="3"/>
      <c r="O6" s="291"/>
      <c r="P6" s="291"/>
      <c r="Q6" s="291"/>
    </row>
    <row r="7">
      <c r="A7" s="2"/>
      <c r="B7" s="292">
        <v>1.0</v>
      </c>
      <c r="C7" s="10" t="s">
        <v>29</v>
      </c>
      <c r="D7" s="11" t="s">
        <v>31</v>
      </c>
      <c r="E7" s="15">
        <v>46000.0</v>
      </c>
      <c r="F7" s="293">
        <f t="shared" si="1"/>
        <v>46000</v>
      </c>
      <c r="G7" s="3"/>
      <c r="H7" s="26">
        <v>1.0</v>
      </c>
      <c r="I7" s="10" t="s">
        <v>29</v>
      </c>
      <c r="J7" s="11" t="s">
        <v>31</v>
      </c>
      <c r="K7" s="15">
        <v>46000.0</v>
      </c>
      <c r="L7" s="15">
        <f t="shared" si="2"/>
        <v>46000</v>
      </c>
      <c r="M7" s="15">
        <f t="shared" si="3"/>
        <v>50830</v>
      </c>
      <c r="N7" s="3"/>
      <c r="O7" s="271" t="s">
        <v>482</v>
      </c>
      <c r="P7" s="294" t="s">
        <v>451</v>
      </c>
      <c r="Q7" s="271">
        <v>300000.0</v>
      </c>
    </row>
    <row r="8">
      <c r="A8" s="2"/>
      <c r="B8" s="292">
        <v>0.5</v>
      </c>
      <c r="C8" s="10" t="s">
        <v>18</v>
      </c>
      <c r="D8" s="295" t="s">
        <v>483</v>
      </c>
      <c r="E8" s="15">
        <v>52000.0</v>
      </c>
      <c r="F8" s="293">
        <f t="shared" si="1"/>
        <v>26000</v>
      </c>
      <c r="G8" s="3"/>
      <c r="H8" s="26">
        <v>0.5</v>
      </c>
      <c r="I8" s="10" t="s">
        <v>18</v>
      </c>
      <c r="J8" s="11" t="s">
        <v>483</v>
      </c>
      <c r="K8" s="15">
        <v>52000.0</v>
      </c>
      <c r="L8" s="15">
        <f t="shared" si="2"/>
        <v>26000</v>
      </c>
      <c r="M8" s="15">
        <f>L8*1.21</f>
        <v>31460</v>
      </c>
      <c r="N8" s="3"/>
      <c r="O8" s="271" t="s">
        <v>482</v>
      </c>
      <c r="P8" s="294" t="s">
        <v>484</v>
      </c>
      <c r="Q8" s="271">
        <v>542024.0</v>
      </c>
    </row>
    <row r="9">
      <c r="A9" s="2"/>
      <c r="B9" s="292">
        <v>1.0</v>
      </c>
      <c r="C9" s="10" t="s">
        <v>18</v>
      </c>
      <c r="D9" s="11" t="s">
        <v>20</v>
      </c>
      <c r="E9" s="15">
        <v>35000.0</v>
      </c>
      <c r="F9" s="293">
        <f t="shared" si="1"/>
        <v>35000</v>
      </c>
      <c r="G9" s="3"/>
      <c r="H9" s="26">
        <v>1.0</v>
      </c>
      <c r="I9" s="10" t="s">
        <v>18</v>
      </c>
      <c r="J9" s="11" t="s">
        <v>20</v>
      </c>
      <c r="K9" s="15">
        <v>35000.0</v>
      </c>
      <c r="L9" s="15">
        <f t="shared" si="2"/>
        <v>35000</v>
      </c>
      <c r="M9" s="15">
        <f t="shared" ref="M9:M14" si="4">L9*1.105</f>
        <v>38675</v>
      </c>
      <c r="N9" s="3"/>
      <c r="O9" s="2"/>
      <c r="P9" s="2"/>
      <c r="Q9" s="2"/>
    </row>
    <row r="10">
      <c r="A10" s="2"/>
      <c r="B10" s="292">
        <v>1.0</v>
      </c>
      <c r="C10" s="10" t="s">
        <v>18</v>
      </c>
      <c r="D10" s="11" t="s">
        <v>177</v>
      </c>
      <c r="E10" s="15">
        <v>16000.0</v>
      </c>
      <c r="F10" s="293">
        <f t="shared" si="1"/>
        <v>16000</v>
      </c>
      <c r="G10" s="3"/>
      <c r="H10" s="26">
        <v>1.0</v>
      </c>
      <c r="I10" s="10" t="s">
        <v>18</v>
      </c>
      <c r="J10" s="11" t="s">
        <v>177</v>
      </c>
      <c r="K10" s="15">
        <v>16000.0</v>
      </c>
      <c r="L10" s="15">
        <f t="shared" si="2"/>
        <v>16000</v>
      </c>
      <c r="M10" s="15">
        <f t="shared" si="4"/>
        <v>17680</v>
      </c>
      <c r="N10" s="3"/>
      <c r="O10" s="2"/>
      <c r="P10" s="2"/>
      <c r="Q10" s="2"/>
    </row>
    <row r="11">
      <c r="A11" s="2"/>
      <c r="B11" s="292">
        <v>1.0</v>
      </c>
      <c r="C11" s="10" t="s">
        <v>18</v>
      </c>
      <c r="D11" s="295" t="s">
        <v>25</v>
      </c>
      <c r="E11" s="15">
        <v>19000.0</v>
      </c>
      <c r="F11" s="293">
        <f t="shared" si="1"/>
        <v>19000</v>
      </c>
      <c r="G11" s="2"/>
      <c r="H11" s="26">
        <v>1.0</v>
      </c>
      <c r="I11" s="10" t="s">
        <v>18</v>
      </c>
      <c r="J11" s="11" t="s">
        <v>25</v>
      </c>
      <c r="K11" s="15">
        <v>19000.0</v>
      </c>
      <c r="L11" s="15">
        <f t="shared" si="2"/>
        <v>19000</v>
      </c>
      <c r="M11" s="15">
        <f t="shared" si="4"/>
        <v>20995</v>
      </c>
      <c r="N11" s="3"/>
      <c r="O11" s="267" t="s">
        <v>485</v>
      </c>
      <c r="P11" s="286"/>
      <c r="Q11" s="268"/>
    </row>
    <row r="12">
      <c r="A12" s="2"/>
      <c r="B12" s="292">
        <v>1.0</v>
      </c>
      <c r="C12" s="10" t="s">
        <v>18</v>
      </c>
      <c r="D12" s="11" t="s">
        <v>24</v>
      </c>
      <c r="E12" s="15">
        <v>20000.0</v>
      </c>
      <c r="F12" s="293">
        <f t="shared" si="1"/>
        <v>20000</v>
      </c>
      <c r="G12" s="2"/>
      <c r="H12" s="26">
        <v>1.0</v>
      </c>
      <c r="I12" s="10" t="s">
        <v>18</v>
      </c>
      <c r="J12" s="11" t="s">
        <v>24</v>
      </c>
      <c r="K12" s="15">
        <v>20000.0</v>
      </c>
      <c r="L12" s="15">
        <f t="shared" si="2"/>
        <v>20000</v>
      </c>
      <c r="M12" s="15">
        <f t="shared" si="4"/>
        <v>22100</v>
      </c>
      <c r="N12" s="3"/>
      <c r="O12" s="271" t="s">
        <v>481</v>
      </c>
      <c r="P12" s="294" t="s">
        <v>486</v>
      </c>
      <c r="Q12" s="271">
        <v>802512.0</v>
      </c>
    </row>
    <row r="13">
      <c r="A13" s="2"/>
      <c r="B13" s="292">
        <v>1.0</v>
      </c>
      <c r="C13" s="10" t="s">
        <v>18</v>
      </c>
      <c r="D13" s="11" t="s">
        <v>72</v>
      </c>
      <c r="E13" s="15">
        <v>48000.0</v>
      </c>
      <c r="F13" s="293">
        <f t="shared" si="1"/>
        <v>48000</v>
      </c>
      <c r="G13" s="2"/>
      <c r="H13" s="26">
        <v>1.0</v>
      </c>
      <c r="I13" s="10" t="s">
        <v>18</v>
      </c>
      <c r="J13" s="295" t="s">
        <v>72</v>
      </c>
      <c r="K13" s="15">
        <v>48000.0</v>
      </c>
      <c r="L13" s="15">
        <f t="shared" si="2"/>
        <v>48000</v>
      </c>
      <c r="M13" s="15">
        <f t="shared" si="4"/>
        <v>53040</v>
      </c>
      <c r="N13" s="2"/>
      <c r="O13" s="2"/>
      <c r="P13" s="2"/>
      <c r="Q13" s="2"/>
    </row>
    <row r="14">
      <c r="A14" s="2"/>
      <c r="B14" s="296">
        <v>46028.0</v>
      </c>
      <c r="C14" s="126"/>
      <c r="D14" s="126"/>
      <c r="E14" s="126"/>
      <c r="F14" s="297"/>
      <c r="G14" s="2"/>
      <c r="H14" s="26">
        <v>1.0</v>
      </c>
      <c r="I14" s="10" t="s">
        <v>18</v>
      </c>
      <c r="J14" s="11" t="s">
        <v>232</v>
      </c>
      <c r="K14" s="15">
        <v>77000.0</v>
      </c>
      <c r="L14" s="15">
        <f t="shared" si="2"/>
        <v>77000</v>
      </c>
      <c r="M14" s="15">
        <f t="shared" si="4"/>
        <v>85085</v>
      </c>
      <c r="N14" s="2"/>
      <c r="O14" s="298" t="s">
        <v>487</v>
      </c>
      <c r="P14" s="286"/>
      <c r="Q14" s="268"/>
    </row>
    <row r="15">
      <c r="A15" s="2"/>
      <c r="B15" s="292">
        <v>1.0</v>
      </c>
      <c r="C15" s="10" t="s">
        <v>29</v>
      </c>
      <c r="D15" s="295" t="s">
        <v>232</v>
      </c>
      <c r="E15" s="15">
        <v>77000.0</v>
      </c>
      <c r="F15" s="293">
        <f t="shared" ref="F15:F16" si="5">B15*E15</f>
        <v>77000</v>
      </c>
      <c r="G15" s="3"/>
      <c r="H15" s="269">
        <v>46028.0</v>
      </c>
      <c r="I15" s="126"/>
      <c r="J15" s="126"/>
      <c r="K15" s="126"/>
      <c r="L15" s="126"/>
      <c r="M15" s="270"/>
      <c r="N15" s="2"/>
      <c r="O15" s="271" t="s">
        <v>481</v>
      </c>
      <c r="P15" s="291"/>
      <c r="Q15" s="271">
        <v>722291.0</v>
      </c>
    </row>
    <row r="16">
      <c r="A16" s="2"/>
      <c r="B16" s="292">
        <v>1.0</v>
      </c>
      <c r="C16" s="10" t="s">
        <v>29</v>
      </c>
      <c r="D16" s="295" t="s">
        <v>31</v>
      </c>
      <c r="E16" s="15">
        <v>46000.0</v>
      </c>
      <c r="F16" s="293">
        <f t="shared" si="5"/>
        <v>46000</v>
      </c>
      <c r="G16" s="3"/>
      <c r="H16" s="26">
        <v>1.0</v>
      </c>
      <c r="I16" s="10" t="s">
        <v>29</v>
      </c>
      <c r="J16" s="11" t="s">
        <v>232</v>
      </c>
      <c r="K16" s="15">
        <v>77000.0</v>
      </c>
      <c r="L16" s="15">
        <f t="shared" ref="L16:L18" si="6">H16*K16</f>
        <v>77000</v>
      </c>
      <c r="M16" s="15">
        <f t="shared" ref="M16:M18" si="7">L16*1.105</f>
        <v>85085</v>
      </c>
      <c r="N16" s="2"/>
      <c r="O16" s="3"/>
      <c r="P16" s="3"/>
      <c r="Q16" s="3"/>
    </row>
    <row r="17">
      <c r="A17" s="2"/>
      <c r="B17" s="296">
        <v>46029.0</v>
      </c>
      <c r="C17" s="126"/>
      <c r="D17" s="126"/>
      <c r="E17" s="126"/>
      <c r="F17" s="297"/>
      <c r="G17" s="3"/>
      <c r="H17" s="26">
        <v>1.0</v>
      </c>
      <c r="I17" s="10" t="s">
        <v>29</v>
      </c>
      <c r="J17" s="11" t="s">
        <v>31</v>
      </c>
      <c r="K17" s="15">
        <v>46000.0</v>
      </c>
      <c r="L17" s="15">
        <f t="shared" si="6"/>
        <v>46000</v>
      </c>
      <c r="M17" s="15">
        <f t="shared" si="7"/>
        <v>50830</v>
      </c>
      <c r="N17" s="2"/>
      <c r="O17" s="299" t="s">
        <v>469</v>
      </c>
      <c r="P17" s="286"/>
      <c r="Q17" s="268"/>
    </row>
    <row r="18">
      <c r="A18" s="2"/>
      <c r="B18" s="292">
        <v>1.0</v>
      </c>
      <c r="C18" s="10" t="s">
        <v>18</v>
      </c>
      <c r="D18" s="11" t="s">
        <v>39</v>
      </c>
      <c r="E18" s="15">
        <v>23000.0</v>
      </c>
      <c r="F18" s="293">
        <f t="shared" ref="F18:F24" si="8">B18*E18</f>
        <v>23000</v>
      </c>
      <c r="G18" s="3"/>
      <c r="H18" s="26">
        <v>1.0</v>
      </c>
      <c r="I18" s="10" t="s">
        <v>18</v>
      </c>
      <c r="J18" s="295" t="s">
        <v>19</v>
      </c>
      <c r="K18" s="15">
        <v>32000.0</v>
      </c>
      <c r="L18" s="15">
        <f t="shared" si="6"/>
        <v>32000</v>
      </c>
      <c r="M18" s="15">
        <f t="shared" si="7"/>
        <v>35360</v>
      </c>
      <c r="N18" s="2"/>
      <c r="O18" s="271" t="s">
        <v>481</v>
      </c>
      <c r="P18" s="291"/>
      <c r="Q18" s="271">
        <v>543290.0</v>
      </c>
    </row>
    <row r="19">
      <c r="A19" s="2"/>
      <c r="B19" s="292">
        <v>1.0</v>
      </c>
      <c r="C19" s="10" t="s">
        <v>29</v>
      </c>
      <c r="D19" s="295" t="s">
        <v>31</v>
      </c>
      <c r="E19" s="15">
        <v>46000.0</v>
      </c>
      <c r="F19" s="293">
        <f t="shared" si="8"/>
        <v>46000</v>
      </c>
      <c r="G19" s="2"/>
      <c r="H19" s="269">
        <v>46029.0</v>
      </c>
      <c r="I19" s="126"/>
      <c r="J19" s="126"/>
      <c r="K19" s="126"/>
      <c r="L19" s="126"/>
      <c r="M19" s="270"/>
      <c r="N19" s="2"/>
      <c r="O19" s="3"/>
      <c r="P19" s="3"/>
      <c r="Q19" s="3"/>
    </row>
    <row r="20">
      <c r="A20" s="2"/>
      <c r="B20" s="292">
        <v>1.0</v>
      </c>
      <c r="C20" s="10" t="s">
        <v>29</v>
      </c>
      <c r="D20" s="11" t="s">
        <v>232</v>
      </c>
      <c r="E20" s="15">
        <v>77000.0</v>
      </c>
      <c r="F20" s="293">
        <f t="shared" si="8"/>
        <v>77000</v>
      </c>
      <c r="G20" s="2"/>
      <c r="H20" s="26">
        <v>1.0</v>
      </c>
      <c r="I20" s="10" t="s">
        <v>18</v>
      </c>
      <c r="J20" s="11" t="s">
        <v>39</v>
      </c>
      <c r="K20" s="15">
        <v>23000.0</v>
      </c>
      <c r="L20" s="15">
        <f t="shared" ref="L20:L27" si="9">H20*K20</f>
        <v>23000</v>
      </c>
      <c r="M20" s="15">
        <f t="shared" ref="M20:M25" si="10">L20*1.105</f>
        <v>25415</v>
      </c>
      <c r="N20" s="3"/>
      <c r="O20" s="1"/>
      <c r="P20" s="3"/>
      <c r="Q20" s="3"/>
    </row>
    <row r="21">
      <c r="A21" s="2"/>
      <c r="B21" s="292">
        <v>1.0</v>
      </c>
      <c r="C21" s="10" t="s">
        <v>18</v>
      </c>
      <c r="D21" s="295" t="s">
        <v>213</v>
      </c>
      <c r="E21" s="15">
        <v>45000.0</v>
      </c>
      <c r="F21" s="293">
        <f t="shared" si="8"/>
        <v>45000</v>
      </c>
      <c r="G21" s="3"/>
      <c r="H21" s="26">
        <v>1.0</v>
      </c>
      <c r="I21" s="10" t="s">
        <v>29</v>
      </c>
      <c r="J21" s="11" t="s">
        <v>31</v>
      </c>
      <c r="K21" s="15">
        <v>46000.0</v>
      </c>
      <c r="L21" s="15">
        <f t="shared" si="9"/>
        <v>46000</v>
      </c>
      <c r="M21" s="15">
        <f t="shared" si="10"/>
        <v>50830</v>
      </c>
      <c r="N21" s="3"/>
      <c r="O21" s="1"/>
      <c r="P21" s="3"/>
      <c r="Q21" s="3"/>
      <c r="R21" s="15"/>
    </row>
    <row r="22">
      <c r="A22" s="2"/>
      <c r="B22" s="292">
        <v>1.0</v>
      </c>
      <c r="C22" s="10" t="s">
        <v>18</v>
      </c>
      <c r="D22" s="11" t="s">
        <v>20</v>
      </c>
      <c r="E22" s="15">
        <v>35000.0</v>
      </c>
      <c r="F22" s="293">
        <f t="shared" si="8"/>
        <v>35000</v>
      </c>
      <c r="G22" s="3"/>
      <c r="H22" s="26">
        <v>1.0</v>
      </c>
      <c r="I22" s="10" t="s">
        <v>29</v>
      </c>
      <c r="J22" s="11" t="s">
        <v>232</v>
      </c>
      <c r="K22" s="15">
        <v>77000.0</v>
      </c>
      <c r="L22" s="15">
        <f t="shared" si="9"/>
        <v>77000</v>
      </c>
      <c r="M22" s="15">
        <f t="shared" si="10"/>
        <v>85085</v>
      </c>
      <c r="N22" s="3"/>
      <c r="O22" s="1"/>
      <c r="P22" s="1"/>
      <c r="Q22" s="3"/>
      <c r="R22" s="15"/>
    </row>
    <row r="23">
      <c r="A23" s="2"/>
      <c r="B23" s="292">
        <v>1.0</v>
      </c>
      <c r="C23" s="10" t="s">
        <v>29</v>
      </c>
      <c r="D23" s="11" t="s">
        <v>216</v>
      </c>
      <c r="E23" s="15">
        <v>30000.0</v>
      </c>
      <c r="F23" s="293">
        <f t="shared" si="8"/>
        <v>30000</v>
      </c>
      <c r="G23" s="3"/>
      <c r="H23" s="26">
        <v>1.0</v>
      </c>
      <c r="I23" s="10" t="s">
        <v>18</v>
      </c>
      <c r="J23" s="295" t="s">
        <v>213</v>
      </c>
      <c r="K23" s="15">
        <v>45000.0</v>
      </c>
      <c r="L23" s="15">
        <f t="shared" si="9"/>
        <v>45000</v>
      </c>
      <c r="M23" s="15">
        <f t="shared" si="10"/>
        <v>49725</v>
      </c>
      <c r="N23" s="3"/>
      <c r="O23" s="1"/>
      <c r="P23" s="1"/>
      <c r="Q23" s="3"/>
      <c r="R23" s="15"/>
    </row>
    <row r="24">
      <c r="A24" s="2"/>
      <c r="B24" s="292">
        <v>0.5</v>
      </c>
      <c r="C24" s="10" t="s">
        <v>18</v>
      </c>
      <c r="D24" s="295" t="s">
        <v>21</v>
      </c>
      <c r="E24" s="15">
        <v>52000.0</v>
      </c>
      <c r="F24" s="293">
        <f t="shared" si="8"/>
        <v>26000</v>
      </c>
      <c r="G24" s="3"/>
      <c r="H24" s="26">
        <v>1.0</v>
      </c>
      <c r="I24" s="10" t="s">
        <v>18</v>
      </c>
      <c r="J24" s="11" t="s">
        <v>20</v>
      </c>
      <c r="K24" s="15">
        <v>35000.0</v>
      </c>
      <c r="L24" s="15">
        <f t="shared" si="9"/>
        <v>35000</v>
      </c>
      <c r="M24" s="15">
        <f t="shared" si="10"/>
        <v>38675</v>
      </c>
      <c r="N24" s="3"/>
      <c r="O24" s="1"/>
      <c r="P24" s="1"/>
      <c r="Q24" s="3"/>
      <c r="R24" s="15"/>
    </row>
    <row r="25">
      <c r="A25" s="2"/>
      <c r="B25" s="296">
        <v>46030.0</v>
      </c>
      <c r="C25" s="126"/>
      <c r="D25" s="126"/>
      <c r="E25" s="126"/>
      <c r="F25" s="297"/>
      <c r="G25" s="3"/>
      <c r="H25" s="26">
        <v>1.0</v>
      </c>
      <c r="I25" s="10" t="s">
        <v>29</v>
      </c>
      <c r="J25" s="11" t="s">
        <v>216</v>
      </c>
      <c r="K25" s="15">
        <v>30000.0</v>
      </c>
      <c r="L25" s="15">
        <f t="shared" si="9"/>
        <v>30000</v>
      </c>
      <c r="M25" s="15">
        <f t="shared" si="10"/>
        <v>33150</v>
      </c>
      <c r="N25" s="2"/>
      <c r="O25" s="1"/>
      <c r="P25" s="1"/>
      <c r="Q25" s="3"/>
    </row>
    <row r="26">
      <c r="A26" s="2"/>
      <c r="B26" s="292">
        <v>0.5</v>
      </c>
      <c r="C26" s="10" t="s">
        <v>18</v>
      </c>
      <c r="D26" s="295" t="s">
        <v>21</v>
      </c>
      <c r="E26" s="15">
        <v>52000.0</v>
      </c>
      <c r="F26" s="293">
        <f t="shared" ref="F26:F29" si="11">B26*E26</f>
        <v>26000</v>
      </c>
      <c r="G26" s="3"/>
      <c r="H26" s="26">
        <v>0.5</v>
      </c>
      <c r="I26" s="10" t="s">
        <v>18</v>
      </c>
      <c r="J26" s="11" t="s">
        <v>21</v>
      </c>
      <c r="K26" s="15">
        <v>52000.0</v>
      </c>
      <c r="L26" s="15">
        <f t="shared" si="9"/>
        <v>26000</v>
      </c>
      <c r="M26" s="15">
        <f>L26*1.21</f>
        <v>31460</v>
      </c>
      <c r="N26" s="3"/>
      <c r="O26" s="1"/>
      <c r="P26" s="3"/>
      <c r="Q26" s="3"/>
    </row>
    <row r="27">
      <c r="A27" s="2"/>
      <c r="B27" s="292">
        <v>1.0</v>
      </c>
      <c r="C27" s="10" t="s">
        <v>29</v>
      </c>
      <c r="D27" s="295" t="s">
        <v>31</v>
      </c>
      <c r="E27" s="15">
        <v>46000.0</v>
      </c>
      <c r="F27" s="293">
        <f t="shared" si="11"/>
        <v>46000</v>
      </c>
      <c r="G27" s="3"/>
      <c r="H27" s="26">
        <v>1.0</v>
      </c>
      <c r="I27" s="10" t="s">
        <v>18</v>
      </c>
      <c r="J27" s="11" t="s">
        <v>19</v>
      </c>
      <c r="K27" s="15">
        <v>32000.0</v>
      </c>
      <c r="L27" s="15">
        <f t="shared" si="9"/>
        <v>32000</v>
      </c>
      <c r="M27" s="15">
        <f>L27*1.105</f>
        <v>35360</v>
      </c>
      <c r="N27" s="3"/>
      <c r="O27" s="1"/>
      <c r="P27" s="3"/>
      <c r="Q27" s="3"/>
    </row>
    <row r="28">
      <c r="A28" s="2"/>
      <c r="B28" s="292">
        <v>1.0</v>
      </c>
      <c r="C28" s="10" t="s">
        <v>29</v>
      </c>
      <c r="D28" s="11" t="s">
        <v>488</v>
      </c>
      <c r="E28" s="15">
        <v>37000.0</v>
      </c>
      <c r="F28" s="293">
        <f t="shared" si="11"/>
        <v>37000</v>
      </c>
      <c r="G28" s="3"/>
      <c r="H28" s="269">
        <v>46030.0</v>
      </c>
      <c r="I28" s="126"/>
      <c r="J28" s="126"/>
      <c r="K28" s="126"/>
      <c r="L28" s="126"/>
      <c r="M28" s="270"/>
      <c r="N28" s="3"/>
      <c r="O28" s="1"/>
      <c r="P28" s="1"/>
      <c r="Q28" s="3"/>
    </row>
    <row r="29">
      <c r="A29" s="2"/>
      <c r="B29" s="292">
        <v>1.0</v>
      </c>
      <c r="C29" s="10" t="s">
        <v>29</v>
      </c>
      <c r="D29" s="11" t="s">
        <v>201</v>
      </c>
      <c r="E29" s="15">
        <v>42000.0</v>
      </c>
      <c r="F29" s="293">
        <f t="shared" si="11"/>
        <v>42000</v>
      </c>
      <c r="G29" s="3"/>
      <c r="H29" s="26">
        <v>0.5</v>
      </c>
      <c r="I29" s="10" t="s">
        <v>18</v>
      </c>
      <c r="J29" s="11" t="s">
        <v>21</v>
      </c>
      <c r="K29" s="15">
        <v>52000.0</v>
      </c>
      <c r="L29" s="15">
        <f t="shared" ref="L29:L32" si="12">H29*K29</f>
        <v>26000</v>
      </c>
      <c r="M29" s="15">
        <f>L29*1.21</f>
        <v>31460</v>
      </c>
      <c r="N29" s="3"/>
      <c r="O29" s="1"/>
      <c r="P29" s="1"/>
      <c r="Q29" s="3"/>
    </row>
    <row r="30">
      <c r="A30" s="2"/>
      <c r="B30" s="296">
        <v>46031.0</v>
      </c>
      <c r="C30" s="126"/>
      <c r="D30" s="126"/>
      <c r="E30" s="126"/>
      <c r="F30" s="297"/>
      <c r="G30" s="3"/>
      <c r="H30" s="26">
        <v>1.0</v>
      </c>
      <c r="I30" s="10" t="s">
        <v>29</v>
      </c>
      <c r="J30" s="11" t="s">
        <v>31</v>
      </c>
      <c r="K30" s="15">
        <v>46000.0</v>
      </c>
      <c r="L30" s="15">
        <f t="shared" si="12"/>
        <v>46000</v>
      </c>
      <c r="M30" s="15">
        <f t="shared" ref="M30:M32" si="13">L30*1.105</f>
        <v>50830</v>
      </c>
      <c r="N30" s="3"/>
      <c r="O30" s="1"/>
      <c r="P30" s="1"/>
      <c r="Q30" s="3"/>
    </row>
    <row r="31">
      <c r="A31" s="2"/>
      <c r="B31" s="292">
        <v>2.0</v>
      </c>
      <c r="C31" s="10" t="s">
        <v>29</v>
      </c>
      <c r="D31" s="11" t="s">
        <v>31</v>
      </c>
      <c r="E31" s="15">
        <v>46000.0</v>
      </c>
      <c r="F31" s="293">
        <f t="shared" ref="F31:F33" si="14">B31*E31</f>
        <v>92000</v>
      </c>
      <c r="G31" s="3"/>
      <c r="H31" s="26">
        <v>1.0</v>
      </c>
      <c r="I31" s="10" t="s">
        <v>29</v>
      </c>
      <c r="J31" s="295" t="s">
        <v>488</v>
      </c>
      <c r="K31" s="15">
        <v>37000.0</v>
      </c>
      <c r="L31" s="15">
        <f t="shared" si="12"/>
        <v>37000</v>
      </c>
      <c r="M31" s="15">
        <f t="shared" si="13"/>
        <v>40885</v>
      </c>
      <c r="N31" s="2"/>
      <c r="O31" s="1"/>
      <c r="P31" s="1"/>
      <c r="Q31" s="3"/>
    </row>
    <row r="32">
      <c r="A32" s="2"/>
      <c r="B32" s="292">
        <v>1.0</v>
      </c>
      <c r="C32" s="10" t="s">
        <v>29</v>
      </c>
      <c r="D32" s="11" t="s">
        <v>214</v>
      </c>
      <c r="E32" s="15">
        <v>42000.0</v>
      </c>
      <c r="F32" s="293">
        <f t="shared" si="14"/>
        <v>42000</v>
      </c>
      <c r="G32" s="3"/>
      <c r="H32" s="26">
        <v>1.0</v>
      </c>
      <c r="I32" s="10" t="s">
        <v>29</v>
      </c>
      <c r="J32" s="11" t="s">
        <v>201</v>
      </c>
      <c r="K32" s="15">
        <v>42000.0</v>
      </c>
      <c r="L32" s="15">
        <f t="shared" si="12"/>
        <v>42000</v>
      </c>
      <c r="M32" s="15">
        <f t="shared" si="13"/>
        <v>46410</v>
      </c>
      <c r="N32" s="2"/>
      <c r="O32" s="1"/>
      <c r="P32" s="3"/>
      <c r="Q32" s="3"/>
    </row>
    <row r="33">
      <c r="A33" s="2"/>
      <c r="B33" s="292">
        <v>1.0</v>
      </c>
      <c r="C33" s="10" t="s">
        <v>29</v>
      </c>
      <c r="D33" s="295" t="s">
        <v>489</v>
      </c>
      <c r="E33" s="15">
        <v>45000.0</v>
      </c>
      <c r="F33" s="293">
        <f t="shared" si="14"/>
        <v>45000</v>
      </c>
      <c r="G33" s="3"/>
      <c r="H33" s="269">
        <v>46031.0</v>
      </c>
      <c r="I33" s="126"/>
      <c r="J33" s="126"/>
      <c r="K33" s="126"/>
      <c r="L33" s="126"/>
      <c r="M33" s="270"/>
      <c r="N33" s="2"/>
      <c r="O33" s="1"/>
      <c r="P33" s="3"/>
      <c r="Q33" s="3"/>
    </row>
    <row r="34">
      <c r="A34" s="2"/>
      <c r="B34" s="296">
        <v>46034.0</v>
      </c>
      <c r="C34" s="126"/>
      <c r="D34" s="126"/>
      <c r="E34" s="126"/>
      <c r="F34" s="297"/>
      <c r="G34" s="3"/>
      <c r="H34" s="26">
        <v>2.0</v>
      </c>
      <c r="I34" s="10" t="s">
        <v>29</v>
      </c>
      <c r="J34" s="11" t="s">
        <v>31</v>
      </c>
      <c r="K34" s="15">
        <v>46000.0</v>
      </c>
      <c r="L34" s="15">
        <f t="shared" ref="L34:L36" si="15">H34*K34</f>
        <v>92000</v>
      </c>
      <c r="M34" s="15">
        <f t="shared" ref="M34:M36" si="16">L34*1.105</f>
        <v>101660</v>
      </c>
      <c r="N34" s="2"/>
      <c r="O34" s="1"/>
      <c r="P34" s="3"/>
      <c r="Q34" s="3"/>
    </row>
    <row r="35">
      <c r="A35" s="2"/>
      <c r="B35" s="292">
        <v>1.0</v>
      </c>
      <c r="C35" s="10" t="s">
        <v>18</v>
      </c>
      <c r="D35" s="300" t="s">
        <v>31</v>
      </c>
      <c r="E35" s="15">
        <v>38000.0</v>
      </c>
      <c r="F35" s="293">
        <f t="shared" ref="F35:F38" si="17">B35*E35</f>
        <v>38000</v>
      </c>
      <c r="G35" s="3"/>
      <c r="H35" s="26">
        <v>1.0</v>
      </c>
      <c r="I35" s="10" t="s">
        <v>29</v>
      </c>
      <c r="J35" s="11" t="s">
        <v>214</v>
      </c>
      <c r="K35" s="15">
        <v>42000.0</v>
      </c>
      <c r="L35" s="15">
        <f t="shared" si="15"/>
        <v>42000</v>
      </c>
      <c r="M35" s="15">
        <f t="shared" si="16"/>
        <v>46410</v>
      </c>
      <c r="N35" s="3"/>
      <c r="O35" s="1"/>
      <c r="P35" s="3"/>
      <c r="Q35" s="3"/>
    </row>
    <row r="36">
      <c r="A36" s="2"/>
      <c r="B36" s="292">
        <v>2.0</v>
      </c>
      <c r="C36" s="10" t="s">
        <v>18</v>
      </c>
      <c r="D36" s="300" t="s">
        <v>39</v>
      </c>
      <c r="E36" s="15">
        <v>22000.0</v>
      </c>
      <c r="F36" s="293">
        <f t="shared" si="17"/>
        <v>44000</v>
      </c>
      <c r="G36" s="3"/>
      <c r="H36" s="26">
        <v>1.0</v>
      </c>
      <c r="I36" s="10" t="s">
        <v>29</v>
      </c>
      <c r="J36" s="11" t="s">
        <v>489</v>
      </c>
      <c r="K36" s="15">
        <v>45000.0</v>
      </c>
      <c r="L36" s="15">
        <f t="shared" si="15"/>
        <v>45000</v>
      </c>
      <c r="M36" s="15">
        <f t="shared" si="16"/>
        <v>49725</v>
      </c>
      <c r="N36" s="3"/>
      <c r="O36" s="1"/>
      <c r="P36" s="3"/>
      <c r="Q36" s="3"/>
    </row>
    <row r="37">
      <c r="A37" s="2"/>
      <c r="B37" s="292">
        <v>1.0</v>
      </c>
      <c r="C37" s="10" t="s">
        <v>18</v>
      </c>
      <c r="D37" s="300" t="s">
        <v>201</v>
      </c>
      <c r="E37" s="15">
        <v>35000.0</v>
      </c>
      <c r="F37" s="293">
        <f t="shared" si="17"/>
        <v>35000</v>
      </c>
      <c r="G37" s="3"/>
      <c r="H37" s="269">
        <v>46034.0</v>
      </c>
      <c r="I37" s="126"/>
      <c r="J37" s="126"/>
      <c r="K37" s="126"/>
      <c r="L37" s="126"/>
      <c r="M37" s="270"/>
      <c r="N37" s="3"/>
      <c r="O37" s="1"/>
      <c r="P37" s="1"/>
      <c r="Q37" s="3"/>
    </row>
    <row r="38">
      <c r="A38" s="2"/>
      <c r="B38" s="292">
        <v>1.0</v>
      </c>
      <c r="C38" s="10" t="s">
        <v>18</v>
      </c>
      <c r="D38" s="295" t="s">
        <v>214</v>
      </c>
      <c r="E38" s="15">
        <v>38000.0</v>
      </c>
      <c r="F38" s="293">
        <f t="shared" si="17"/>
        <v>38000</v>
      </c>
      <c r="G38" s="3"/>
      <c r="H38" s="26">
        <v>1.0</v>
      </c>
      <c r="I38" s="10" t="s">
        <v>18</v>
      </c>
      <c r="J38" s="295" t="s">
        <v>31</v>
      </c>
      <c r="K38" s="15">
        <v>38000.0</v>
      </c>
      <c r="L38" s="15">
        <f t="shared" ref="L38:L42" si="18">H38*K38</f>
        <v>38000</v>
      </c>
      <c r="M38" s="15">
        <f t="shared" ref="M38:M42" si="19">L38*1.105</f>
        <v>41990</v>
      </c>
      <c r="N38" s="3"/>
      <c r="O38" s="3"/>
      <c r="P38" s="266"/>
      <c r="Q38" s="3"/>
    </row>
    <row r="39">
      <c r="A39" s="2"/>
      <c r="B39" s="296">
        <v>46035.0</v>
      </c>
      <c r="C39" s="126"/>
      <c r="D39" s="126"/>
      <c r="E39" s="126"/>
      <c r="F39" s="297"/>
      <c r="G39" s="3"/>
      <c r="H39" s="26">
        <v>2.0</v>
      </c>
      <c r="I39" s="10" t="s">
        <v>18</v>
      </c>
      <c r="J39" s="11" t="s">
        <v>39</v>
      </c>
      <c r="K39" s="15">
        <v>22000.0</v>
      </c>
      <c r="L39" s="15">
        <f t="shared" si="18"/>
        <v>44000</v>
      </c>
      <c r="M39" s="15">
        <f t="shared" si="19"/>
        <v>48620</v>
      </c>
      <c r="N39" s="3"/>
      <c r="O39" s="3"/>
      <c r="P39" s="266"/>
      <c r="Q39" s="3"/>
    </row>
    <row r="40">
      <c r="A40" s="2"/>
      <c r="B40" s="292">
        <v>1.0</v>
      </c>
      <c r="C40" s="10" t="s">
        <v>18</v>
      </c>
      <c r="D40" s="10" t="s">
        <v>178</v>
      </c>
      <c r="E40" s="15">
        <v>32000.0</v>
      </c>
      <c r="F40" s="293">
        <f t="shared" ref="F40:F42" si="20">B40*E40</f>
        <v>32000</v>
      </c>
      <c r="G40" s="3"/>
      <c r="H40" s="26">
        <v>1.0</v>
      </c>
      <c r="I40" s="10" t="s">
        <v>18</v>
      </c>
      <c r="J40" s="11" t="s">
        <v>201</v>
      </c>
      <c r="K40" s="15">
        <v>35000.0</v>
      </c>
      <c r="L40" s="15">
        <f t="shared" si="18"/>
        <v>35000</v>
      </c>
      <c r="M40" s="15">
        <f t="shared" si="19"/>
        <v>38675</v>
      </c>
      <c r="N40" s="3"/>
      <c r="O40" s="3"/>
      <c r="P40" s="266"/>
      <c r="Q40" s="3"/>
    </row>
    <row r="41">
      <c r="A41" s="2"/>
      <c r="B41" s="292">
        <v>1.0</v>
      </c>
      <c r="C41" s="10" t="s">
        <v>18</v>
      </c>
      <c r="D41" s="10" t="s">
        <v>202</v>
      </c>
      <c r="E41" s="15">
        <v>30000.0</v>
      </c>
      <c r="F41" s="293">
        <f t="shared" si="20"/>
        <v>30000</v>
      </c>
      <c r="G41" s="3"/>
      <c r="H41" s="26">
        <v>1.0</v>
      </c>
      <c r="I41" s="10" t="s">
        <v>18</v>
      </c>
      <c r="J41" s="11" t="s">
        <v>214</v>
      </c>
      <c r="K41" s="15">
        <v>38000.0</v>
      </c>
      <c r="L41" s="15">
        <f t="shared" si="18"/>
        <v>38000</v>
      </c>
      <c r="M41" s="15">
        <f t="shared" si="19"/>
        <v>41990</v>
      </c>
      <c r="N41" s="3"/>
      <c r="O41" s="3"/>
      <c r="P41" s="3"/>
      <c r="Q41" s="3"/>
    </row>
    <row r="42">
      <c r="A42" s="2"/>
      <c r="B42" s="292">
        <v>1.0</v>
      </c>
      <c r="C42" s="10" t="s">
        <v>18</v>
      </c>
      <c r="D42" s="10" t="s">
        <v>23</v>
      </c>
      <c r="E42" s="15">
        <v>13000.0</v>
      </c>
      <c r="F42" s="293">
        <f t="shared" si="20"/>
        <v>13000</v>
      </c>
      <c r="G42" s="146"/>
      <c r="H42" s="26">
        <v>1.0</v>
      </c>
      <c r="I42" s="10" t="s">
        <v>18</v>
      </c>
      <c r="J42" s="11" t="s">
        <v>490</v>
      </c>
      <c r="K42" s="15">
        <v>32000.0</v>
      </c>
      <c r="L42" s="15">
        <f t="shared" si="18"/>
        <v>32000</v>
      </c>
      <c r="M42" s="15">
        <f t="shared" si="19"/>
        <v>35360</v>
      </c>
      <c r="N42" s="3"/>
      <c r="O42" s="3"/>
      <c r="P42" s="3"/>
      <c r="Q42" s="3"/>
    </row>
    <row r="43">
      <c r="A43" s="2"/>
      <c r="B43" s="296">
        <v>46036.0</v>
      </c>
      <c r="C43" s="126"/>
      <c r="D43" s="126"/>
      <c r="E43" s="126"/>
      <c r="F43" s="297"/>
      <c r="G43" s="3"/>
      <c r="H43" s="269">
        <v>46035.0</v>
      </c>
      <c r="I43" s="126"/>
      <c r="J43" s="126"/>
      <c r="K43" s="126"/>
      <c r="L43" s="126"/>
      <c r="M43" s="270"/>
      <c r="N43" s="2"/>
      <c r="O43" s="3"/>
      <c r="P43" s="3"/>
      <c r="Q43" s="3"/>
    </row>
    <row r="44">
      <c r="A44" s="2"/>
      <c r="B44" s="292">
        <v>1.0</v>
      </c>
      <c r="C44" s="10" t="s">
        <v>18</v>
      </c>
      <c r="D44" s="295" t="s">
        <v>39</v>
      </c>
      <c r="E44" s="15">
        <v>22000.0</v>
      </c>
      <c r="F44" s="293">
        <f t="shared" ref="F44:F45" si="21">B44*E44</f>
        <v>22000</v>
      </c>
      <c r="G44" s="3"/>
      <c r="H44" s="26">
        <v>1.0</v>
      </c>
      <c r="I44" s="10" t="s">
        <v>18</v>
      </c>
      <c r="J44" s="11" t="s">
        <v>178</v>
      </c>
      <c r="K44" s="15">
        <v>32000.0</v>
      </c>
      <c r="L44" s="15">
        <f t="shared" ref="L44:L46" si="22">H44*K44</f>
        <v>32000</v>
      </c>
      <c r="M44" s="15">
        <f t="shared" ref="M44:M46" si="23">L44*1.105</f>
        <v>35360</v>
      </c>
      <c r="N44" s="2"/>
      <c r="O44" s="3"/>
      <c r="P44" s="3"/>
      <c r="Q44" s="3"/>
    </row>
    <row r="45">
      <c r="A45" s="2"/>
      <c r="B45" s="292">
        <v>1.0</v>
      </c>
      <c r="C45" s="10" t="s">
        <v>29</v>
      </c>
      <c r="D45" s="300" t="s">
        <v>30</v>
      </c>
      <c r="E45" s="15">
        <v>70000.0</v>
      </c>
      <c r="F45" s="293">
        <f t="shared" si="21"/>
        <v>70000</v>
      </c>
      <c r="G45" s="3"/>
      <c r="H45" s="26">
        <v>1.0</v>
      </c>
      <c r="I45" s="10" t="s">
        <v>18</v>
      </c>
      <c r="J45" s="295" t="s">
        <v>202</v>
      </c>
      <c r="K45" s="15">
        <v>30000.0</v>
      </c>
      <c r="L45" s="15">
        <f t="shared" si="22"/>
        <v>30000</v>
      </c>
      <c r="M45" s="15">
        <f t="shared" si="23"/>
        <v>33150</v>
      </c>
      <c r="N45" s="2"/>
      <c r="O45" s="1"/>
      <c r="P45" s="3"/>
      <c r="Q45" s="3"/>
    </row>
    <row r="46">
      <c r="A46" s="2"/>
      <c r="B46" s="296">
        <v>46037.0</v>
      </c>
      <c r="C46" s="126"/>
      <c r="D46" s="126"/>
      <c r="E46" s="126"/>
      <c r="F46" s="297"/>
      <c r="G46" s="3"/>
      <c r="H46" s="26">
        <v>1.0</v>
      </c>
      <c r="I46" s="10" t="s">
        <v>18</v>
      </c>
      <c r="J46" s="10" t="s">
        <v>23</v>
      </c>
      <c r="K46" s="15">
        <v>13000.0</v>
      </c>
      <c r="L46" s="15">
        <f t="shared" si="22"/>
        <v>13000</v>
      </c>
      <c r="M46" s="15">
        <f t="shared" si="23"/>
        <v>14365</v>
      </c>
      <c r="N46" s="3"/>
      <c r="O46" s="1"/>
      <c r="P46" s="3"/>
      <c r="Q46" s="3"/>
    </row>
    <row r="47">
      <c r="A47" s="2"/>
      <c r="B47" s="292">
        <v>1.0</v>
      </c>
      <c r="C47" s="10" t="s">
        <v>18</v>
      </c>
      <c r="D47" s="295" t="s">
        <v>19</v>
      </c>
      <c r="E47" s="15">
        <v>32000.0</v>
      </c>
      <c r="F47" s="293">
        <f t="shared" ref="F47:F49" si="24">B47*E47</f>
        <v>32000</v>
      </c>
      <c r="G47" s="3"/>
      <c r="H47" s="269">
        <v>46036.0</v>
      </c>
      <c r="I47" s="126"/>
      <c r="J47" s="126"/>
      <c r="K47" s="126"/>
      <c r="L47" s="126"/>
      <c r="M47" s="270"/>
      <c r="N47" s="3"/>
      <c r="O47" s="1"/>
      <c r="P47" s="3"/>
      <c r="Q47" s="3"/>
    </row>
    <row r="48">
      <c r="A48" s="2"/>
      <c r="B48" s="292">
        <v>1.0</v>
      </c>
      <c r="C48" s="10" t="s">
        <v>18</v>
      </c>
      <c r="D48" s="295" t="s">
        <v>196</v>
      </c>
      <c r="E48" s="15">
        <v>30000.0</v>
      </c>
      <c r="F48" s="293">
        <f t="shared" si="24"/>
        <v>30000</v>
      </c>
      <c r="G48" s="3"/>
      <c r="H48" s="26">
        <v>1.0</v>
      </c>
      <c r="I48" s="10" t="s">
        <v>18</v>
      </c>
      <c r="J48" s="10" t="s">
        <v>39</v>
      </c>
      <c r="K48" s="15">
        <v>22000.0</v>
      </c>
      <c r="L48" s="15">
        <f t="shared" ref="L48:L49" si="25">H48*K48</f>
        <v>22000</v>
      </c>
      <c r="M48" s="15">
        <f t="shared" ref="M48:M49" si="26">L48*1.105</f>
        <v>24310</v>
      </c>
      <c r="N48" s="3"/>
      <c r="O48" s="1"/>
      <c r="P48" s="3"/>
      <c r="Q48" s="3"/>
    </row>
    <row r="49">
      <c r="A49" s="2"/>
      <c r="B49" s="292">
        <v>1.0</v>
      </c>
      <c r="C49" s="10" t="s">
        <v>29</v>
      </c>
      <c r="D49" s="300" t="s">
        <v>30</v>
      </c>
      <c r="E49" s="15">
        <v>70000.0</v>
      </c>
      <c r="F49" s="293">
        <f t="shared" si="24"/>
        <v>70000</v>
      </c>
      <c r="G49" s="3"/>
      <c r="H49" s="26">
        <v>1.0</v>
      </c>
      <c r="I49" s="10" t="s">
        <v>29</v>
      </c>
      <c r="J49" s="10" t="s">
        <v>30</v>
      </c>
      <c r="K49" s="15">
        <v>70000.0</v>
      </c>
      <c r="L49" s="15">
        <f t="shared" si="25"/>
        <v>70000</v>
      </c>
      <c r="M49" s="15">
        <f t="shared" si="26"/>
        <v>77350</v>
      </c>
      <c r="N49" s="3"/>
      <c r="O49" s="1"/>
      <c r="P49" s="1"/>
      <c r="Q49" s="3"/>
    </row>
    <row r="50">
      <c r="A50" s="2"/>
      <c r="B50" s="296">
        <v>46038.0</v>
      </c>
      <c r="C50" s="126"/>
      <c r="D50" s="126"/>
      <c r="E50" s="126"/>
      <c r="F50" s="297"/>
      <c r="G50" s="3"/>
      <c r="H50" s="269">
        <v>46037.0</v>
      </c>
      <c r="I50" s="126"/>
      <c r="J50" s="126"/>
      <c r="K50" s="126"/>
      <c r="L50" s="126"/>
      <c r="M50" s="270"/>
      <c r="N50" s="3"/>
      <c r="O50" s="1"/>
      <c r="P50" s="1"/>
      <c r="Q50" s="3"/>
    </row>
    <row r="51">
      <c r="A51" s="2"/>
      <c r="B51" s="292">
        <v>1.0</v>
      </c>
      <c r="C51" s="10" t="s">
        <v>29</v>
      </c>
      <c r="D51" s="300" t="s">
        <v>31</v>
      </c>
      <c r="E51" s="15">
        <v>38000.0</v>
      </c>
      <c r="F51" s="293">
        <f t="shared" ref="F51:F53" si="27">B51*E51</f>
        <v>38000</v>
      </c>
      <c r="G51" s="3"/>
      <c r="H51" s="26">
        <v>1.0</v>
      </c>
      <c r="I51" s="10" t="s">
        <v>18</v>
      </c>
      <c r="J51" s="10" t="s">
        <v>19</v>
      </c>
      <c r="K51" s="15">
        <v>32000.0</v>
      </c>
      <c r="L51" s="15">
        <f t="shared" ref="L51:L54" si="28">H51*K51</f>
        <v>32000</v>
      </c>
      <c r="M51" s="15">
        <f t="shared" ref="M51:M54" si="29">L51*1.105</f>
        <v>35360</v>
      </c>
      <c r="N51" s="2"/>
      <c r="O51" s="1"/>
      <c r="P51" s="1"/>
      <c r="Q51" s="3"/>
    </row>
    <row r="52">
      <c r="A52" s="2"/>
      <c r="B52" s="292">
        <v>1.0</v>
      </c>
      <c r="C52" s="10" t="s">
        <v>29</v>
      </c>
      <c r="D52" s="300" t="s">
        <v>211</v>
      </c>
      <c r="E52" s="15">
        <v>70000.0</v>
      </c>
      <c r="F52" s="293">
        <f t="shared" si="27"/>
        <v>70000</v>
      </c>
      <c r="G52" s="3"/>
      <c r="H52" s="26">
        <v>1.0</v>
      </c>
      <c r="I52" s="10" t="s">
        <v>18</v>
      </c>
      <c r="J52" s="10" t="s">
        <v>196</v>
      </c>
      <c r="K52" s="15">
        <v>30000.0</v>
      </c>
      <c r="L52" s="15">
        <f t="shared" si="28"/>
        <v>30000</v>
      </c>
      <c r="M52" s="15">
        <f t="shared" si="29"/>
        <v>33150</v>
      </c>
      <c r="N52" s="2"/>
      <c r="O52" s="1"/>
      <c r="P52" s="1"/>
      <c r="Q52" s="3"/>
    </row>
    <row r="53">
      <c r="A53" s="2"/>
      <c r="B53" s="292">
        <v>1.0</v>
      </c>
      <c r="C53" s="10" t="s">
        <v>29</v>
      </c>
      <c r="D53" s="295" t="s">
        <v>491</v>
      </c>
      <c r="E53" s="15">
        <v>22000.0</v>
      </c>
      <c r="F53" s="293">
        <f t="shared" si="27"/>
        <v>22000</v>
      </c>
      <c r="G53" s="3"/>
      <c r="H53" s="26">
        <v>1.0</v>
      </c>
      <c r="I53" s="10" t="s">
        <v>29</v>
      </c>
      <c r="J53" s="295" t="s">
        <v>30</v>
      </c>
      <c r="K53" s="15">
        <v>70000.0</v>
      </c>
      <c r="L53" s="15">
        <f t="shared" si="28"/>
        <v>70000</v>
      </c>
      <c r="M53" s="15">
        <f t="shared" si="29"/>
        <v>77350</v>
      </c>
      <c r="N53" s="2"/>
      <c r="O53" s="1"/>
      <c r="P53" s="1"/>
      <c r="Q53" s="3"/>
    </row>
    <row r="54">
      <c r="A54" s="2"/>
      <c r="B54" s="296">
        <v>46041.0</v>
      </c>
      <c r="C54" s="126"/>
      <c r="D54" s="126"/>
      <c r="E54" s="126"/>
      <c r="F54" s="297"/>
      <c r="G54" s="3"/>
      <c r="H54" s="26">
        <v>1.0</v>
      </c>
      <c r="I54" s="10" t="s">
        <v>29</v>
      </c>
      <c r="J54" s="11" t="s">
        <v>213</v>
      </c>
      <c r="K54" s="15">
        <v>32000.0</v>
      </c>
      <c r="L54" s="15">
        <f t="shared" si="28"/>
        <v>32000</v>
      </c>
      <c r="M54" s="15">
        <f t="shared" si="29"/>
        <v>35360</v>
      </c>
      <c r="N54" s="2"/>
      <c r="O54" s="1"/>
      <c r="P54" s="1"/>
      <c r="Q54" s="3"/>
    </row>
    <row r="55">
      <c r="A55" s="2"/>
      <c r="B55" s="292">
        <v>1.0</v>
      </c>
      <c r="C55" s="10" t="s">
        <v>29</v>
      </c>
      <c r="D55" s="11" t="s">
        <v>31</v>
      </c>
      <c r="E55" s="15">
        <v>38000.0</v>
      </c>
      <c r="F55" s="293">
        <f t="shared" ref="F55:F59" si="30">B55*E55</f>
        <v>38000</v>
      </c>
      <c r="G55" s="3"/>
      <c r="H55" s="269">
        <v>46038.0</v>
      </c>
      <c r="I55" s="126"/>
      <c r="J55" s="126"/>
      <c r="K55" s="126"/>
      <c r="L55" s="126"/>
      <c r="M55" s="270"/>
      <c r="N55" s="2"/>
      <c r="O55" s="1"/>
      <c r="P55" s="1"/>
      <c r="Q55" s="3"/>
    </row>
    <row r="56">
      <c r="A56" s="2"/>
      <c r="B56" s="292">
        <v>1.0</v>
      </c>
      <c r="C56" s="10" t="s">
        <v>18</v>
      </c>
      <c r="D56" s="11" t="s">
        <v>107</v>
      </c>
      <c r="E56" s="15">
        <v>53000.0</v>
      </c>
      <c r="F56" s="293">
        <f t="shared" si="30"/>
        <v>53000</v>
      </c>
      <c r="G56" s="3"/>
      <c r="H56" s="26">
        <v>1.0</v>
      </c>
      <c r="I56" s="10" t="s">
        <v>29</v>
      </c>
      <c r="J56" s="11" t="s">
        <v>31</v>
      </c>
      <c r="K56" s="15">
        <v>38000.0</v>
      </c>
      <c r="L56" s="15">
        <f t="shared" ref="L56:L58" si="31">H56*K56</f>
        <v>38000</v>
      </c>
      <c r="M56" s="15">
        <f t="shared" ref="M56:M58" si="32">L56*1.105</f>
        <v>41990</v>
      </c>
      <c r="N56" s="3"/>
      <c r="O56" s="1"/>
      <c r="P56" s="1"/>
      <c r="Q56" s="3"/>
    </row>
    <row r="57">
      <c r="A57" s="2"/>
      <c r="B57" s="292">
        <v>1.0</v>
      </c>
      <c r="C57" s="10" t="s">
        <v>288</v>
      </c>
      <c r="D57" s="11" t="s">
        <v>202</v>
      </c>
      <c r="E57" s="15">
        <v>43000.0</v>
      </c>
      <c r="F57" s="293">
        <f t="shared" si="30"/>
        <v>43000</v>
      </c>
      <c r="G57" s="3"/>
      <c r="H57" s="26">
        <v>1.0</v>
      </c>
      <c r="I57" s="10" t="s">
        <v>29</v>
      </c>
      <c r="J57" s="11" t="s">
        <v>211</v>
      </c>
      <c r="K57" s="15">
        <v>70000.0</v>
      </c>
      <c r="L57" s="15">
        <f t="shared" si="31"/>
        <v>70000</v>
      </c>
      <c r="M57" s="15">
        <f t="shared" si="32"/>
        <v>77350</v>
      </c>
      <c r="N57" s="3"/>
      <c r="O57" s="1"/>
      <c r="P57" s="1"/>
      <c r="Q57" s="3"/>
    </row>
    <row r="58">
      <c r="A58" s="2"/>
      <c r="B58" s="292">
        <v>1.0</v>
      </c>
      <c r="C58" s="10" t="s">
        <v>29</v>
      </c>
      <c r="D58" s="11" t="s">
        <v>30</v>
      </c>
      <c r="E58" s="15">
        <v>63000.0</v>
      </c>
      <c r="F58" s="293">
        <f t="shared" si="30"/>
        <v>63000</v>
      </c>
      <c r="G58" s="3"/>
      <c r="H58" s="26">
        <v>1.0</v>
      </c>
      <c r="I58" s="10" t="s">
        <v>29</v>
      </c>
      <c r="J58" s="11" t="s">
        <v>491</v>
      </c>
      <c r="K58" s="15">
        <v>22000.0</v>
      </c>
      <c r="L58" s="15">
        <f t="shared" si="31"/>
        <v>22000</v>
      </c>
      <c r="M58" s="15">
        <f t="shared" si="32"/>
        <v>24310</v>
      </c>
      <c r="N58" s="3"/>
      <c r="O58" s="1"/>
      <c r="P58" s="1"/>
      <c r="Q58" s="3"/>
    </row>
    <row r="59">
      <c r="A59" s="2"/>
      <c r="B59" s="292">
        <v>0.5</v>
      </c>
      <c r="C59" s="10" t="s">
        <v>18</v>
      </c>
      <c r="D59" s="11" t="s">
        <v>21</v>
      </c>
      <c r="E59" s="15">
        <v>50000.0</v>
      </c>
      <c r="F59" s="293">
        <f t="shared" si="30"/>
        <v>25000</v>
      </c>
      <c r="G59" s="3"/>
      <c r="H59" s="269">
        <v>46041.0</v>
      </c>
      <c r="I59" s="126"/>
      <c r="J59" s="126"/>
      <c r="K59" s="126"/>
      <c r="L59" s="126"/>
      <c r="M59" s="270"/>
      <c r="N59" s="3"/>
      <c r="O59" s="1"/>
      <c r="P59" s="1"/>
      <c r="Q59" s="3"/>
    </row>
    <row r="60">
      <c r="A60" s="2"/>
      <c r="B60" s="301"/>
      <c r="C60" s="3"/>
      <c r="D60" s="9"/>
      <c r="E60" s="3"/>
      <c r="F60" s="302"/>
      <c r="G60" s="3"/>
      <c r="H60" s="26">
        <v>1.0</v>
      </c>
      <c r="I60" s="10" t="s">
        <v>29</v>
      </c>
      <c r="J60" s="295" t="s">
        <v>31</v>
      </c>
      <c r="K60" s="15">
        <v>38000.0</v>
      </c>
      <c r="L60" s="15">
        <f t="shared" ref="L60:L64" si="33">H60*K60</f>
        <v>38000</v>
      </c>
      <c r="M60" s="15">
        <f t="shared" ref="M60:M63" si="34">L60*1.105</f>
        <v>41990</v>
      </c>
      <c r="N60" s="3"/>
      <c r="O60" s="1"/>
      <c r="P60" s="1"/>
      <c r="Q60" s="3"/>
    </row>
    <row r="61">
      <c r="A61" s="2"/>
      <c r="B61" s="301"/>
      <c r="C61" s="3"/>
      <c r="D61" s="9"/>
      <c r="E61" s="3"/>
      <c r="F61" s="302"/>
      <c r="G61" s="3"/>
      <c r="H61" s="26">
        <v>1.0</v>
      </c>
      <c r="I61" s="10" t="s">
        <v>18</v>
      </c>
      <c r="J61" s="11" t="s">
        <v>107</v>
      </c>
      <c r="K61" s="15">
        <v>53000.0</v>
      </c>
      <c r="L61" s="15">
        <f t="shared" si="33"/>
        <v>53000</v>
      </c>
      <c r="M61" s="15">
        <f t="shared" si="34"/>
        <v>58565</v>
      </c>
      <c r="N61" s="3"/>
      <c r="O61" s="1"/>
      <c r="P61" s="1"/>
      <c r="Q61" s="3"/>
    </row>
    <row r="62">
      <c r="A62" s="2"/>
      <c r="B62" s="301"/>
      <c r="C62" s="3"/>
      <c r="D62" s="9"/>
      <c r="E62" s="3"/>
      <c r="F62" s="302"/>
      <c r="G62" s="3"/>
      <c r="H62" s="26">
        <v>1.0</v>
      </c>
      <c r="I62" s="10" t="s">
        <v>288</v>
      </c>
      <c r="J62" s="11" t="s">
        <v>202</v>
      </c>
      <c r="K62" s="15">
        <v>43000.0</v>
      </c>
      <c r="L62" s="15">
        <f t="shared" si="33"/>
        <v>43000</v>
      </c>
      <c r="M62" s="15">
        <f t="shared" si="34"/>
        <v>47515</v>
      </c>
      <c r="N62" s="3"/>
      <c r="O62" s="1"/>
      <c r="P62" s="1"/>
      <c r="Q62" s="3"/>
    </row>
    <row r="63">
      <c r="A63" s="2"/>
      <c r="B63" s="301"/>
      <c r="C63" s="3"/>
      <c r="D63" s="9"/>
      <c r="E63" s="3"/>
      <c r="F63" s="302"/>
      <c r="G63" s="3"/>
      <c r="H63" s="26">
        <v>1.0</v>
      </c>
      <c r="I63" s="10" t="s">
        <v>29</v>
      </c>
      <c r="J63" s="11" t="s">
        <v>30</v>
      </c>
      <c r="K63" s="15">
        <v>63000.0</v>
      </c>
      <c r="L63" s="15">
        <f t="shared" si="33"/>
        <v>63000</v>
      </c>
      <c r="M63" s="15">
        <f t="shared" si="34"/>
        <v>69615</v>
      </c>
      <c r="N63" s="3"/>
      <c r="O63" s="1"/>
      <c r="P63" s="1"/>
      <c r="Q63" s="3"/>
    </row>
    <row r="64">
      <c r="A64" s="2"/>
      <c r="B64" s="301"/>
      <c r="C64" s="3"/>
      <c r="D64" s="9"/>
      <c r="E64" s="3"/>
      <c r="F64" s="302"/>
      <c r="G64" s="3"/>
      <c r="H64" s="26">
        <v>0.5</v>
      </c>
      <c r="I64" s="10" t="s">
        <v>18</v>
      </c>
      <c r="J64" s="11" t="s">
        <v>21</v>
      </c>
      <c r="K64" s="15">
        <v>50000.0</v>
      </c>
      <c r="L64" s="15">
        <f t="shared" si="33"/>
        <v>25000</v>
      </c>
      <c r="M64" s="15">
        <f>L64*1.21</f>
        <v>30250</v>
      </c>
      <c r="N64" s="3"/>
      <c r="O64" s="1"/>
      <c r="P64" s="1"/>
      <c r="Q64" s="3"/>
    </row>
    <row r="65">
      <c r="A65" s="2"/>
      <c r="B65" s="303"/>
      <c r="C65" s="304"/>
      <c r="D65" s="305"/>
      <c r="E65" s="304"/>
      <c r="F65" s="306"/>
      <c r="G65" s="3"/>
      <c r="H65" s="307" t="str">
        <f>F65</f>
        <v/>
      </c>
      <c r="I65" s="53"/>
      <c r="J65" s="53"/>
      <c r="K65" s="53"/>
      <c r="L65" s="53"/>
      <c r="M65" s="54"/>
      <c r="N65" s="3"/>
      <c r="O65" s="3"/>
      <c r="P65" s="3"/>
      <c r="Q65" s="3"/>
    </row>
    <row r="66">
      <c r="A66" s="2"/>
      <c r="B66" s="308" t="s">
        <v>492</v>
      </c>
      <c r="C66" s="309"/>
      <c r="D66" s="310"/>
      <c r="E66" s="311"/>
      <c r="F66" s="312">
        <f>SUM(F6:F64)</f>
        <v>1815000</v>
      </c>
      <c r="G66" s="3"/>
      <c r="H66" s="313" t="s">
        <v>492</v>
      </c>
      <c r="I66" s="53"/>
      <c r="J66" s="53"/>
      <c r="K66" s="53"/>
      <c r="L66" s="54"/>
      <c r="M66" s="314">
        <f>SUM(M6:M65)</f>
        <v>2242915</v>
      </c>
      <c r="N66" s="3"/>
      <c r="O66" s="1"/>
      <c r="P66" s="3"/>
      <c r="Q66" s="3"/>
    </row>
    <row r="67">
      <c r="A67" s="2"/>
      <c r="B67" s="315" t="s">
        <v>493</v>
      </c>
      <c r="C67" s="316"/>
      <c r="D67" s="317"/>
      <c r="E67" s="318">
        <v>0.02</v>
      </c>
      <c r="F67" s="319">
        <f>E67*F66</f>
        <v>36300</v>
      </c>
      <c r="G67" s="3"/>
      <c r="H67" s="320" t="s">
        <v>493</v>
      </c>
      <c r="I67" s="321"/>
      <c r="J67" s="321"/>
      <c r="K67" s="322">
        <v>0.018</v>
      </c>
      <c r="L67" s="323"/>
      <c r="M67" s="324">
        <f>K67*M66</f>
        <v>40372.47</v>
      </c>
      <c r="N67" s="3"/>
      <c r="O67" s="1"/>
      <c r="P67" s="3"/>
      <c r="Q67" s="3"/>
    </row>
    <row r="68">
      <c r="A68" s="2"/>
      <c r="B68" s="315" t="s">
        <v>494</v>
      </c>
      <c r="C68" s="316"/>
      <c r="D68" s="325"/>
      <c r="E68" s="318">
        <v>0.02</v>
      </c>
      <c r="F68" s="319">
        <f>E68*F66</f>
        <v>36300</v>
      </c>
      <c r="G68" s="3"/>
      <c r="H68" s="315" t="s">
        <v>494</v>
      </c>
      <c r="I68" s="326"/>
      <c r="J68" s="326"/>
      <c r="K68" s="327">
        <v>0.0158</v>
      </c>
      <c r="L68" s="328"/>
      <c r="M68" s="324">
        <f>K68*M66</f>
        <v>35438.057</v>
      </c>
      <c r="N68" s="3"/>
      <c r="O68" s="1"/>
      <c r="P68" s="3"/>
      <c r="Q68" s="3"/>
    </row>
    <row r="69">
      <c r="A69" s="2"/>
      <c r="B69" s="315" t="s">
        <v>495</v>
      </c>
      <c r="C69" s="316"/>
      <c r="D69" s="329"/>
      <c r="E69" s="318">
        <v>0.05</v>
      </c>
      <c r="F69" s="319">
        <f>E69*F66</f>
        <v>90750</v>
      </c>
      <c r="G69" s="3"/>
      <c r="H69" s="315" t="s">
        <v>495</v>
      </c>
      <c r="I69" s="326"/>
      <c r="J69" s="326"/>
      <c r="K69" s="327">
        <v>0.0498</v>
      </c>
      <c r="L69" s="328"/>
      <c r="M69" s="324">
        <f>K69*M66</f>
        <v>111697.167</v>
      </c>
      <c r="N69" s="3"/>
      <c r="O69" s="1"/>
      <c r="P69" s="3"/>
      <c r="Q69" s="3"/>
    </row>
    <row r="70">
      <c r="A70" s="2"/>
      <c r="B70" s="315" t="s">
        <v>496</v>
      </c>
      <c r="C70" s="316"/>
      <c r="D70" s="329"/>
      <c r="E70" s="318">
        <v>0.012</v>
      </c>
      <c r="F70" s="319">
        <f>E70*F66</f>
        <v>21780</v>
      </c>
      <c r="G70" s="3"/>
      <c r="H70" s="315" t="s">
        <v>496</v>
      </c>
      <c r="I70" s="326"/>
      <c r="J70" s="326"/>
      <c r="K70" s="327">
        <v>0.012</v>
      </c>
      <c r="L70" s="328"/>
      <c r="M70" s="324">
        <f>K70*M66</f>
        <v>26914.98</v>
      </c>
      <c r="N70" s="3"/>
      <c r="O70" s="1"/>
      <c r="P70" s="3"/>
      <c r="Q70" s="3"/>
    </row>
    <row r="71">
      <c r="A71" s="2"/>
      <c r="B71" s="315" t="s">
        <v>8</v>
      </c>
      <c r="C71" s="316"/>
      <c r="D71" s="329"/>
      <c r="E71" s="316"/>
      <c r="F71" s="330">
        <f>F66-F67-F68-F69-F70</f>
        <v>1629870</v>
      </c>
      <c r="G71" s="3"/>
      <c r="H71" s="315" t="s">
        <v>8</v>
      </c>
      <c r="I71" s="326"/>
      <c r="J71" s="326"/>
      <c r="K71" s="331"/>
      <c r="L71" s="316"/>
      <c r="M71" s="324">
        <f>M66-M67-M68-M69-M70</f>
        <v>2028492.326</v>
      </c>
      <c r="N71" s="3"/>
      <c r="O71" s="1"/>
      <c r="P71" s="3"/>
      <c r="Q71" s="3"/>
    </row>
    <row r="72">
      <c r="A72" s="2"/>
      <c r="B72" s="332"/>
      <c r="C72" s="333"/>
      <c r="D72" s="334"/>
      <c r="E72" s="333"/>
      <c r="F72" s="335"/>
      <c r="G72" s="3"/>
      <c r="H72" s="243"/>
      <c r="K72" s="336"/>
      <c r="L72" s="333"/>
      <c r="M72" s="335"/>
      <c r="N72" s="3"/>
      <c r="O72" s="3"/>
      <c r="P72" s="1"/>
      <c r="Q72" s="3"/>
    </row>
    <row r="73">
      <c r="A73" s="2"/>
      <c r="B73" s="337" t="s">
        <v>497</v>
      </c>
      <c r="C73" s="338"/>
      <c r="D73" s="339"/>
      <c r="E73" s="338"/>
      <c r="F73" s="340">
        <f>F71/3</f>
        <v>543290</v>
      </c>
      <c r="G73" s="3"/>
      <c r="H73" s="341" t="s">
        <v>498</v>
      </c>
      <c r="I73" s="342"/>
      <c r="J73" s="342"/>
      <c r="K73" s="342"/>
      <c r="L73" s="342"/>
      <c r="M73" s="340">
        <f>M71-M74</f>
        <v>1485202.326</v>
      </c>
      <c r="N73" s="3"/>
      <c r="O73" s="3"/>
      <c r="P73" s="3"/>
      <c r="Q73" s="3"/>
    </row>
    <row r="74">
      <c r="A74" s="2"/>
      <c r="B74" s="1"/>
      <c r="C74" s="3"/>
      <c r="D74" s="52"/>
      <c r="E74" s="3"/>
      <c r="F74" s="3"/>
      <c r="G74" s="3"/>
      <c r="H74" s="341" t="s">
        <v>0</v>
      </c>
      <c r="I74" s="342"/>
      <c r="J74" s="342"/>
      <c r="K74" s="342"/>
      <c r="L74" s="342"/>
      <c r="M74" s="340">
        <f>F73</f>
        <v>543290</v>
      </c>
      <c r="N74" s="3"/>
      <c r="O74" s="1"/>
      <c r="P74" s="3"/>
      <c r="Q74" s="3"/>
    </row>
    <row r="75">
      <c r="A75" s="2"/>
      <c r="B75" s="1"/>
      <c r="C75" s="3"/>
      <c r="D75" s="2"/>
      <c r="E75" s="3"/>
      <c r="F75" s="3"/>
      <c r="G75" s="3"/>
      <c r="Q75" s="2"/>
    </row>
    <row r="76">
      <c r="A76" s="2"/>
      <c r="B76" s="1"/>
      <c r="C76" s="3"/>
      <c r="D76" s="2"/>
      <c r="E76" s="3"/>
      <c r="F76" s="3"/>
      <c r="G76" s="3"/>
      <c r="Q76" s="2"/>
    </row>
    <row r="77">
      <c r="A77" s="2"/>
      <c r="B77" s="1"/>
      <c r="C77" s="3"/>
      <c r="D77" s="2"/>
      <c r="E77" s="3"/>
      <c r="F77" s="3"/>
      <c r="G77" s="3"/>
      <c r="Q77" s="2"/>
    </row>
    <row r="96">
      <c r="L96" s="26"/>
      <c r="M96" s="10"/>
      <c r="N96" s="11"/>
      <c r="O96" s="15"/>
    </row>
    <row r="97">
      <c r="L97" s="26"/>
      <c r="M97" s="10"/>
      <c r="N97" s="11"/>
      <c r="O97" s="15"/>
    </row>
    <row r="98">
      <c r="L98" s="26"/>
      <c r="M98" s="10"/>
      <c r="N98" s="11"/>
      <c r="O98" s="15"/>
    </row>
    <row r="99">
      <c r="L99" s="13"/>
      <c r="M99" s="12"/>
      <c r="N99" s="14"/>
      <c r="O99" s="282"/>
      <c r="P99" s="15"/>
    </row>
    <row r="100">
      <c r="L100" s="13"/>
      <c r="M100" s="12"/>
      <c r="N100" s="14"/>
      <c r="O100" s="16"/>
      <c r="P100" s="15"/>
    </row>
    <row r="101">
      <c r="L101" s="13"/>
      <c r="M101" s="12"/>
      <c r="N101" s="14"/>
      <c r="O101" s="16"/>
      <c r="P101" s="15"/>
    </row>
    <row r="102">
      <c r="M102" s="26"/>
      <c r="N102" s="10"/>
      <c r="O102" s="11"/>
      <c r="P102" s="15"/>
    </row>
    <row r="104">
      <c r="L104" s="26"/>
      <c r="M104" s="10"/>
      <c r="N104" s="11"/>
      <c r="O104" s="15"/>
    </row>
    <row r="105">
      <c r="L105" s="26"/>
      <c r="M105" s="10"/>
      <c r="N105" s="11"/>
      <c r="O105" s="15"/>
    </row>
    <row r="106">
      <c r="L106" s="26"/>
      <c r="M106" s="10"/>
      <c r="N106" s="11"/>
      <c r="O106" s="15"/>
    </row>
    <row r="107">
      <c r="L107" s="26"/>
      <c r="M107" s="10"/>
      <c r="N107" s="11"/>
      <c r="O107" s="15"/>
    </row>
    <row r="108">
      <c r="L108" s="26"/>
      <c r="M108" s="10"/>
      <c r="N108" s="11"/>
      <c r="O108" s="15"/>
      <c r="P108" s="15"/>
      <c r="Q108" s="15"/>
    </row>
    <row r="109">
      <c r="L109" s="26"/>
      <c r="M109" s="11"/>
      <c r="N109" s="11"/>
      <c r="O109" s="15"/>
      <c r="P109" s="15"/>
      <c r="Q109" s="15"/>
    </row>
  </sheetData>
  <mergeCells count="38">
    <mergeCell ref="B2:F2"/>
    <mergeCell ref="H2:M2"/>
    <mergeCell ref="B4:F4"/>
    <mergeCell ref="H4:M4"/>
    <mergeCell ref="O4:Q4"/>
    <mergeCell ref="O11:Q11"/>
    <mergeCell ref="B14:F14"/>
    <mergeCell ref="O14:Q14"/>
    <mergeCell ref="H15:M15"/>
    <mergeCell ref="B17:F17"/>
    <mergeCell ref="O17:Q17"/>
    <mergeCell ref="H19:M19"/>
    <mergeCell ref="B25:F25"/>
    <mergeCell ref="B30:F30"/>
    <mergeCell ref="H28:M28"/>
    <mergeCell ref="H33:M33"/>
    <mergeCell ref="B34:F34"/>
    <mergeCell ref="H37:M37"/>
    <mergeCell ref="B39:F39"/>
    <mergeCell ref="B43:F43"/>
    <mergeCell ref="H43:M43"/>
    <mergeCell ref="B46:F46"/>
    <mergeCell ref="H47:M47"/>
    <mergeCell ref="B50:F50"/>
    <mergeCell ref="H50:M50"/>
    <mergeCell ref="B54:F54"/>
    <mergeCell ref="H55:M55"/>
    <mergeCell ref="H59:M59"/>
    <mergeCell ref="H72:J72"/>
    <mergeCell ref="H73:L73"/>
    <mergeCell ref="H74:L74"/>
    <mergeCell ref="H65:M65"/>
    <mergeCell ref="H66:L66"/>
    <mergeCell ref="H67:J67"/>
    <mergeCell ref="H68:J68"/>
    <mergeCell ref="H69:J69"/>
    <mergeCell ref="H70:J70"/>
    <mergeCell ref="H71:J71"/>
  </mergeCells>
  <printOptions horizontalCentered="1"/>
  <pageMargins bottom="0.59251968503937" footer="0.0" header="0.0" left="0.25" right="0.25" top="0.59251968503937"/>
  <pageSetup paperSize="9" scale="95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6.63"/>
    <col customWidth="1" min="4" max="4" width="23.0"/>
    <col customWidth="1" min="5" max="5" width="15.88"/>
  </cols>
  <sheetData>
    <row r="1">
      <c r="A1" s="43"/>
      <c r="B1" s="43"/>
      <c r="C1" s="43"/>
      <c r="D1" s="43"/>
    </row>
    <row r="2">
      <c r="A2" s="343">
        <v>2024.0</v>
      </c>
      <c r="B2" s="344"/>
      <c r="C2" s="344"/>
      <c r="D2" s="345"/>
    </row>
    <row r="3">
      <c r="A3" s="346" t="s">
        <v>499</v>
      </c>
      <c r="B3" s="347" t="s">
        <v>404</v>
      </c>
      <c r="C3" s="347" t="s">
        <v>121</v>
      </c>
      <c r="D3" s="348" t="s">
        <v>500</v>
      </c>
    </row>
    <row r="4" ht="28.5" customHeight="1">
      <c r="A4" s="349" t="s">
        <v>501</v>
      </c>
      <c r="B4" s="350">
        <v>6610837.0</v>
      </c>
      <c r="C4" s="350">
        <v>1499980.4</v>
      </c>
      <c r="D4" s="351" t="s">
        <v>502</v>
      </c>
    </row>
    <row r="5" ht="28.5" customHeight="1">
      <c r="A5" s="349" t="s">
        <v>503</v>
      </c>
      <c r="B5" s="350">
        <v>1.160691385E7</v>
      </c>
      <c r="C5" s="350">
        <v>2766739.47</v>
      </c>
      <c r="D5" s="352">
        <f t="shared" ref="D5:D9" si="1">(B5/B4)-1</f>
        <v>0.755740438</v>
      </c>
    </row>
    <row r="6" ht="28.5" customHeight="1">
      <c r="A6" s="349" t="s">
        <v>504</v>
      </c>
      <c r="B6" s="350">
        <v>1.428778465E7</v>
      </c>
      <c r="C6" s="350">
        <v>4258070.96</v>
      </c>
      <c r="D6" s="352">
        <f t="shared" si="1"/>
        <v>0.2309718875</v>
      </c>
    </row>
    <row r="7" ht="28.5" customHeight="1">
      <c r="A7" s="349" t="s">
        <v>480</v>
      </c>
      <c r="B7" s="350">
        <v>1.428592495E7</v>
      </c>
      <c r="C7" s="350">
        <v>3966858.2</v>
      </c>
      <c r="D7" s="353">
        <f t="shared" si="1"/>
        <v>-0.0001301601365</v>
      </c>
    </row>
    <row r="8" ht="28.5" customHeight="1">
      <c r="A8" s="354" t="s">
        <v>485</v>
      </c>
      <c r="B8" s="355">
        <v>1.757859235E7</v>
      </c>
      <c r="C8" s="355">
        <v>5644784.48</v>
      </c>
      <c r="D8" s="356">
        <f t="shared" si="1"/>
        <v>0.2304833192</v>
      </c>
      <c r="E8" s="357" t="s">
        <v>505</v>
      </c>
    </row>
    <row r="9" ht="28.5" customHeight="1">
      <c r="A9" s="358" t="s">
        <v>487</v>
      </c>
      <c r="B9" s="359">
        <v>1.335218675E7</v>
      </c>
      <c r="C9" s="359">
        <v>4012332.18</v>
      </c>
      <c r="D9" s="360">
        <f t="shared" si="1"/>
        <v>-0.2404291263</v>
      </c>
    </row>
    <row r="10">
      <c r="A10" s="35"/>
      <c r="B10" s="35"/>
      <c r="C10" s="35"/>
      <c r="D10" s="34"/>
    </row>
    <row r="11">
      <c r="A11" s="343">
        <v>2025.0</v>
      </c>
      <c r="B11" s="344"/>
      <c r="C11" s="344"/>
      <c r="D11" s="345"/>
    </row>
    <row r="12">
      <c r="A12" s="346" t="s">
        <v>499</v>
      </c>
      <c r="B12" s="347" t="s">
        <v>404</v>
      </c>
      <c r="C12" s="347" t="s">
        <v>121</v>
      </c>
      <c r="D12" s="348" t="s">
        <v>506</v>
      </c>
    </row>
    <row r="13" ht="27.0" customHeight="1">
      <c r="A13" s="349" t="s">
        <v>469</v>
      </c>
      <c r="B13" s="350">
        <v>1.453330325E7</v>
      </c>
      <c r="C13" s="350">
        <v>4973035.61</v>
      </c>
      <c r="D13" s="352">
        <f>(B13/B9)-1</f>
        <v>0.08845865641</v>
      </c>
    </row>
    <row r="14" ht="27.0" customHeight="1">
      <c r="A14" s="349" t="s">
        <v>468</v>
      </c>
      <c r="B14" s="350">
        <v>1.339021213E7</v>
      </c>
      <c r="C14" s="350">
        <v>3861495.53</v>
      </c>
      <c r="D14" s="353">
        <f t="shared" ref="D14:D24" si="2">(B14/B13)-1</f>
        <v>-0.07865322152</v>
      </c>
    </row>
    <row r="15" ht="27.0" customHeight="1">
      <c r="A15" s="349" t="s">
        <v>507</v>
      </c>
      <c r="B15" s="350">
        <v>1.69143985E7</v>
      </c>
      <c r="C15" s="350">
        <v>4863091.848515406</v>
      </c>
      <c r="D15" s="352">
        <f t="shared" si="2"/>
        <v>0.2631912277</v>
      </c>
    </row>
    <row r="16" ht="27.0" customHeight="1">
      <c r="A16" s="361" t="s">
        <v>508</v>
      </c>
      <c r="B16" s="362">
        <v>1.914041878E7</v>
      </c>
      <c r="C16" s="362">
        <v>5464007.78</v>
      </c>
      <c r="D16" s="363">
        <f t="shared" si="2"/>
        <v>0.1316050512</v>
      </c>
    </row>
    <row r="17" ht="27.0" customHeight="1">
      <c r="A17" s="349" t="s">
        <v>509</v>
      </c>
      <c r="B17" s="364">
        <v>2.1485846E7</v>
      </c>
      <c r="C17" s="364">
        <v>6950818.0</v>
      </c>
      <c r="D17" s="363">
        <f t="shared" si="2"/>
        <v>0.122537926</v>
      </c>
    </row>
    <row r="18" ht="27.0" customHeight="1">
      <c r="A18" s="349" t="s">
        <v>510</v>
      </c>
      <c r="B18" s="364">
        <v>2.6992959E7</v>
      </c>
      <c r="C18" s="364">
        <v>9333591.0</v>
      </c>
      <c r="D18" s="363">
        <f t="shared" si="2"/>
        <v>0.2563135285</v>
      </c>
    </row>
    <row r="19" ht="27.0" customHeight="1">
      <c r="A19" s="349" t="s">
        <v>501</v>
      </c>
      <c r="B19" s="365">
        <v>2.2226532E7</v>
      </c>
      <c r="C19" s="365">
        <v>6781226.0</v>
      </c>
      <c r="D19" s="366">
        <f t="shared" si="2"/>
        <v>-0.1765803816</v>
      </c>
    </row>
    <row r="20" ht="27.0" customHeight="1">
      <c r="A20" s="349" t="s">
        <v>503</v>
      </c>
      <c r="B20" s="365">
        <v>4.9577896E7</v>
      </c>
      <c r="C20" s="365">
        <v>1.8689411E7</v>
      </c>
      <c r="D20" s="356">
        <f t="shared" si="2"/>
        <v>1.230572723</v>
      </c>
      <c r="E20" s="357" t="s">
        <v>511</v>
      </c>
      <c r="F20" s="367">
        <f>(B20/B5)-1</f>
        <v>3.271410699</v>
      </c>
    </row>
    <row r="21" ht="27.0" customHeight="1">
      <c r="A21" s="349" t="s">
        <v>504</v>
      </c>
      <c r="B21" s="350">
        <v>4.76165138E7</v>
      </c>
      <c r="C21" s="350">
        <v>1.768933853E7</v>
      </c>
      <c r="D21" s="366">
        <f t="shared" si="2"/>
        <v>-0.03956162642</v>
      </c>
      <c r="J21" s="364"/>
    </row>
    <row r="22" ht="27.0" customHeight="1">
      <c r="A22" s="354" t="s">
        <v>480</v>
      </c>
      <c r="B22" s="368">
        <v>5.6639984E7</v>
      </c>
      <c r="C22" s="368">
        <v>2.0408042E7</v>
      </c>
      <c r="D22" s="369">
        <f t="shared" si="2"/>
        <v>0.1895029577</v>
      </c>
      <c r="E22" s="357" t="s">
        <v>505</v>
      </c>
      <c r="F22" s="367">
        <f>(B22/B8)-1</f>
        <v>2.22210009</v>
      </c>
    </row>
    <row r="23" ht="27.0" customHeight="1">
      <c r="A23" s="349" t="s">
        <v>485</v>
      </c>
      <c r="B23" s="365">
        <v>5.0632881E7</v>
      </c>
      <c r="C23" s="365">
        <v>1.8653725E7</v>
      </c>
      <c r="D23" s="366">
        <f t="shared" si="2"/>
        <v>-0.1060576394</v>
      </c>
    </row>
    <row r="24" ht="27.0" customHeight="1">
      <c r="A24" s="358" t="s">
        <v>487</v>
      </c>
      <c r="B24" s="370">
        <v>3.815758E7</v>
      </c>
      <c r="C24" s="370">
        <v>1.3297741E7</v>
      </c>
      <c r="D24" s="371">
        <f t="shared" si="2"/>
        <v>-0.2463873426</v>
      </c>
    </row>
  </sheetData>
  <mergeCells count="2">
    <mergeCell ref="A2:D2"/>
    <mergeCell ref="A11:D1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4.63"/>
    <col customWidth="1" min="3" max="3" width="15.63"/>
    <col customWidth="1" min="4" max="4" width="15.13"/>
    <col customWidth="1" min="5" max="7" width="13.0"/>
    <col customWidth="1" min="8" max="8" width="17.25"/>
    <col customWidth="1" min="9" max="10" width="15.63"/>
    <col customWidth="1" min="12" max="12" width="13.0"/>
  </cols>
  <sheetData>
    <row r="2" ht="15.0" customHeight="1">
      <c r="I2" s="218"/>
    </row>
    <row r="3" ht="15.0" customHeight="1">
      <c r="A3" s="372" t="s">
        <v>166</v>
      </c>
      <c r="B3" s="373" t="s">
        <v>125</v>
      </c>
      <c r="C3" s="374" t="s">
        <v>126</v>
      </c>
      <c r="D3" s="375" t="s">
        <v>127</v>
      </c>
      <c r="E3" s="375" t="s">
        <v>128</v>
      </c>
      <c r="F3" s="376" t="s">
        <v>129</v>
      </c>
      <c r="G3" s="377"/>
      <c r="I3" s="218"/>
    </row>
    <row r="4" ht="15.0" customHeight="1">
      <c r="A4" s="49"/>
      <c r="B4" s="378" t="str">
        <f>'08-09-2025 '!B197</f>
        <v>#REF!</v>
      </c>
      <c r="C4" s="51">
        <v>242165.35</v>
      </c>
      <c r="D4" s="51">
        <v>374274.29</v>
      </c>
      <c r="E4" s="51"/>
      <c r="F4" s="51">
        <v>0.0</v>
      </c>
      <c r="G4" s="56"/>
      <c r="H4" s="33" t="s">
        <v>166</v>
      </c>
      <c r="I4" s="379" t="str">
        <f>SUM(B4:E4)</f>
        <v>#REF!</v>
      </c>
      <c r="J4" s="35"/>
    </row>
    <row r="5" ht="15.0" customHeight="1">
      <c r="A5" s="13"/>
      <c r="B5" s="204"/>
      <c r="C5" s="204"/>
      <c r="D5" s="56"/>
      <c r="E5" s="56"/>
      <c r="F5" s="56"/>
      <c r="G5" s="56"/>
      <c r="I5" s="218"/>
    </row>
    <row r="6" ht="15.0" customHeight="1">
      <c r="A6" s="373" t="s">
        <v>130</v>
      </c>
      <c r="B6" s="53"/>
      <c r="C6" s="53"/>
      <c r="D6" s="53"/>
      <c r="E6" s="53"/>
      <c r="F6" s="54"/>
      <c r="G6" s="35"/>
      <c r="I6" s="218"/>
    </row>
    <row r="7" ht="15.0" customHeight="1">
      <c r="A7" s="13" t="s">
        <v>131</v>
      </c>
      <c r="B7" s="204" t="str">
        <f>'08-09-2025 '!B200</f>
        <v>#REF!</v>
      </c>
      <c r="C7" s="204" t="str">
        <f>'01-09-2025 '!C168+'02-09-2025 '!C325+'03-09-2025 '!C213+'05-09-2025 '!C481+'08-09-2025 '!C200+'09-09-2025 '!C334</f>
        <v>#REF!</v>
      </c>
      <c r="D7" s="204" t="str">
        <f>'01-09-2025 '!D168</f>
        <v>#REF!</v>
      </c>
      <c r="E7" s="204">
        <v>0.0</v>
      </c>
      <c r="F7" s="204" t="str">
        <f>11942737.74-'09-09-2025 '!F335</f>
        <v>#REF!</v>
      </c>
      <c r="G7" s="204"/>
      <c r="H7" s="13" t="s">
        <v>131</v>
      </c>
      <c r="I7" s="218" t="str">
        <f t="shared" ref="I7:I11" si="1">SUM(B7:F7)</f>
        <v>#REF!</v>
      </c>
      <c r="J7" s="217">
        <v>0.0</v>
      </c>
      <c r="K7" s="35" t="s">
        <v>13</v>
      </c>
      <c r="L7" s="218" t="s">
        <v>13</v>
      </c>
    </row>
    <row r="8" ht="15.0" customHeight="1">
      <c r="A8" s="13" t="s">
        <v>133</v>
      </c>
      <c r="B8" s="204">
        <v>0.0</v>
      </c>
      <c r="C8" s="204">
        <v>0.0</v>
      </c>
      <c r="D8" s="204" t="str">
        <f>'01-09-2025 '!D169+'02-09-2025 '!D326+'09-09-2025 '!D335</f>
        <v>#REF!</v>
      </c>
      <c r="E8" s="204">
        <v>0.0</v>
      </c>
      <c r="F8" s="204">
        <v>0.0</v>
      </c>
      <c r="G8" s="204"/>
      <c r="H8" s="13" t="s">
        <v>133</v>
      </c>
      <c r="I8" s="218" t="str">
        <f t="shared" si="1"/>
        <v>#REF!</v>
      </c>
      <c r="J8" s="35"/>
    </row>
    <row r="9" ht="15.0" customHeight="1">
      <c r="A9" s="13" t="s">
        <v>134</v>
      </c>
      <c r="B9" s="204">
        <v>0.0</v>
      </c>
      <c r="C9" s="204">
        <v>0.0</v>
      </c>
      <c r="D9" s="204">
        <v>0.0</v>
      </c>
      <c r="E9" s="204">
        <v>0.0</v>
      </c>
      <c r="F9" s="204">
        <v>0.0</v>
      </c>
      <c r="G9" s="204"/>
      <c r="H9" s="13" t="s">
        <v>134</v>
      </c>
      <c r="I9" s="218">
        <f t="shared" si="1"/>
        <v>0</v>
      </c>
      <c r="J9" s="35"/>
    </row>
    <row r="10" ht="15.0" customHeight="1">
      <c r="A10" s="13" t="s">
        <v>135</v>
      </c>
      <c r="B10" s="204">
        <v>0.0</v>
      </c>
      <c r="C10" s="204" t="str">
        <f>'01-09-2025 '!C171+'04-09-2025 '!C65+'08-09-2025 '!C203+'09-09-2025 '!C337</f>
        <v>#REF!</v>
      </c>
      <c r="D10" s="204">
        <v>0.0</v>
      </c>
      <c r="E10" s="204">
        <v>0.0</v>
      </c>
      <c r="F10" s="204">
        <v>0.0</v>
      </c>
      <c r="G10" s="204"/>
      <c r="H10" s="13" t="s">
        <v>135</v>
      </c>
      <c r="I10" s="218" t="str">
        <f t="shared" si="1"/>
        <v>#REF!</v>
      </c>
      <c r="J10" s="35"/>
    </row>
    <row r="11" ht="15.0" customHeight="1">
      <c r="A11" s="13" t="s">
        <v>136</v>
      </c>
      <c r="B11" s="204">
        <v>0.0</v>
      </c>
      <c r="C11" s="204" t="str">
        <f>(C7*0.6%)+(C10*0.6%)</f>
        <v>#REF!</v>
      </c>
      <c r="D11" s="204" t="str">
        <f>'01-09-2025 '!D172+'02-09-2025 '!D329+'09-09-2025 '!D338</f>
        <v>#REF!</v>
      </c>
      <c r="E11" s="204">
        <v>0.0</v>
      </c>
      <c r="F11" s="204">
        <v>0.0</v>
      </c>
      <c r="G11" s="204"/>
      <c r="H11" s="380" t="s">
        <v>136</v>
      </c>
      <c r="I11" s="218" t="str">
        <f t="shared" si="1"/>
        <v>#REF!</v>
      </c>
      <c r="J11" s="35"/>
    </row>
    <row r="12" ht="15.0" customHeight="1">
      <c r="A12" s="13"/>
      <c r="B12" s="204"/>
      <c r="C12" s="218"/>
      <c r="D12" s="218"/>
      <c r="E12" s="56"/>
      <c r="F12" s="35"/>
      <c r="G12" s="56"/>
      <c r="H12" s="63"/>
      <c r="I12" s="218"/>
    </row>
    <row r="13" ht="15.0" customHeight="1">
      <c r="A13" s="65" t="s">
        <v>8</v>
      </c>
      <c r="B13" s="381" t="str">
        <f>SUM(B4:B11)</f>
        <v>#REF!</v>
      </c>
      <c r="C13" s="381" t="str">
        <f>C4+C7+C9+C10-C11</f>
        <v>#REF!</v>
      </c>
      <c r="D13" s="381" t="str">
        <f>D4+D7+D8-D11</f>
        <v>#REF!</v>
      </c>
      <c r="E13" s="381">
        <f>E4+E7+E9+E10-E11</f>
        <v>0</v>
      </c>
      <c r="F13" s="382" t="str">
        <f>F7-F8</f>
        <v>#REF!</v>
      </c>
      <c r="G13" s="204"/>
      <c r="H13" s="383" t="str">
        <f>A13</f>
        <v>TOTAL</v>
      </c>
      <c r="I13" s="379" t="str">
        <f>(I4+I7+I8+I9+I10-I11)</f>
        <v>#REF!</v>
      </c>
      <c r="J13" s="208" t="str">
        <f>SUM(B13:F13)</f>
        <v>#REF!</v>
      </c>
    </row>
    <row r="14" ht="15.0" customHeight="1">
      <c r="A14" s="13"/>
      <c r="B14" s="24"/>
      <c r="C14" s="14"/>
      <c r="D14" s="16"/>
      <c r="E14" s="16"/>
      <c r="F14" s="35"/>
      <c r="G14" s="16"/>
      <c r="H14" s="63" t="s">
        <v>13</v>
      </c>
      <c r="I14" s="218"/>
      <c r="J14" s="208" t="str">
        <f>I13-J13</f>
        <v>#REF!</v>
      </c>
    </row>
    <row r="15" ht="15.0" customHeight="1">
      <c r="A15" s="373" t="s">
        <v>137</v>
      </c>
      <c r="B15" s="53"/>
      <c r="C15" s="53"/>
      <c r="D15" s="53"/>
      <c r="E15" s="53"/>
      <c r="F15" s="54"/>
      <c r="G15" s="35"/>
      <c r="H15" s="63" t="s">
        <v>13</v>
      </c>
      <c r="I15" s="218"/>
    </row>
    <row r="16" ht="15.0" customHeight="1">
      <c r="A16" s="13" t="s">
        <v>138</v>
      </c>
      <c r="B16" s="384" t="str">
        <f>'08-09-2025 '!B209+'09-09-2025 '!B343</f>
        <v>#REF!</v>
      </c>
      <c r="C16" s="384">
        <v>0.0</v>
      </c>
      <c r="D16" s="384">
        <v>0.0</v>
      </c>
      <c r="E16" s="384">
        <v>0.0</v>
      </c>
      <c r="F16" s="384">
        <v>0.0</v>
      </c>
      <c r="G16" s="384"/>
      <c r="H16" s="385" t="s">
        <v>138</v>
      </c>
      <c r="I16" s="218" t="str">
        <f t="shared" ref="I16:I36" si="2">SUM(B16:F16)</f>
        <v>#REF!</v>
      </c>
      <c r="J16" s="35"/>
    </row>
    <row r="17" ht="15.0" customHeight="1">
      <c r="A17" s="13" t="s">
        <v>139</v>
      </c>
      <c r="B17" s="384">
        <v>0.0</v>
      </c>
      <c r="C17" s="384" t="str">
        <f>'08-09-2025 '!C212</f>
        <v>#REF!</v>
      </c>
      <c r="D17" s="384">
        <v>0.0</v>
      </c>
      <c r="E17" s="384">
        <v>0.0</v>
      </c>
      <c r="F17" s="384">
        <v>0.0</v>
      </c>
      <c r="G17" s="384"/>
      <c r="H17" s="380" t="s">
        <v>139</v>
      </c>
      <c r="I17" s="218" t="str">
        <f t="shared" si="2"/>
        <v>#REF!</v>
      </c>
      <c r="J17" s="35"/>
    </row>
    <row r="18" ht="15.0" customHeight="1">
      <c r="A18" s="13" t="s">
        <v>512</v>
      </c>
      <c r="B18" s="384">
        <v>0.0</v>
      </c>
      <c r="C18" s="384">
        <v>0.0</v>
      </c>
      <c r="D18" s="384" t="str">
        <f>'01-09-2025 '!D179+'02-09-2025 '!D336+'09-09-2025 '!D345</f>
        <v>#REF!</v>
      </c>
      <c r="E18" s="384">
        <v>0.0</v>
      </c>
      <c r="F18" s="384">
        <v>0.0</v>
      </c>
      <c r="G18" s="384"/>
      <c r="H18" s="380" t="s">
        <v>512</v>
      </c>
      <c r="I18" s="218" t="str">
        <f t="shared" si="2"/>
        <v>#REF!</v>
      </c>
      <c r="J18" s="35"/>
    </row>
    <row r="19" ht="15.0" customHeight="1">
      <c r="A19" s="13" t="s">
        <v>140</v>
      </c>
      <c r="B19" s="384">
        <v>0.0</v>
      </c>
      <c r="C19" s="384">
        <v>0.0</v>
      </c>
      <c r="D19" s="384" t="str">
        <f>'03-09-2025 '!D225+'08-09-2025 '!D212+'09-09-2025 '!D346</f>
        <v>#REF!</v>
      </c>
      <c r="E19" s="384">
        <v>0.0</v>
      </c>
      <c r="F19" s="384">
        <v>0.0</v>
      </c>
      <c r="G19" s="384"/>
      <c r="H19" s="13" t="s">
        <v>140</v>
      </c>
      <c r="I19" s="218" t="str">
        <f t="shared" si="2"/>
        <v>#REF!</v>
      </c>
      <c r="J19" s="35"/>
      <c r="V19" s="35" t="s">
        <v>513</v>
      </c>
    </row>
    <row r="20" ht="15.0" customHeight="1">
      <c r="A20" s="13" t="s">
        <v>141</v>
      </c>
      <c r="B20" s="384" t="str">
        <f t="shared" ref="B20:B21" si="3">'08-09-2025 '!B213+'09-09-2025 '!B347</f>
        <v>#REF!</v>
      </c>
      <c r="C20" s="384">
        <v>0.0</v>
      </c>
      <c r="D20" s="384">
        <v>0.0</v>
      </c>
      <c r="E20" s="384">
        <v>0.0</v>
      </c>
      <c r="F20" s="384">
        <v>0.0</v>
      </c>
      <c r="G20" s="384"/>
      <c r="H20" s="385" t="s">
        <v>141</v>
      </c>
      <c r="I20" s="218" t="str">
        <f t="shared" si="2"/>
        <v>#REF!</v>
      </c>
      <c r="J20" s="35"/>
    </row>
    <row r="21" ht="15.0" customHeight="1">
      <c r="A21" s="13" t="s">
        <v>142</v>
      </c>
      <c r="B21" s="384" t="str">
        <f t="shared" si="3"/>
        <v>#REF!</v>
      </c>
      <c r="C21" s="384" t="str">
        <f>'01-09-2025 '!C182+'02-09-2025 '!C339+'03-09-2025 '!C227+'04-09-2025 '!C76+'05-09-2025 '!C495+'08-09-2025 '!C214+'09-09-2025 '!C348</f>
        <v>#REF!</v>
      </c>
      <c r="D21" s="384">
        <v>0.0</v>
      </c>
      <c r="E21" s="384">
        <v>0.0</v>
      </c>
      <c r="F21" s="384" t="str">
        <f>'03-09-2025 '!F227</f>
        <v>#REF!</v>
      </c>
      <c r="G21" s="384"/>
      <c r="H21" s="13" t="s">
        <v>142</v>
      </c>
      <c r="I21" s="218" t="str">
        <f t="shared" si="2"/>
        <v>#REF!</v>
      </c>
      <c r="J21" s="35"/>
    </row>
    <row r="22" ht="15.0" customHeight="1">
      <c r="A22" s="13" t="s">
        <v>143</v>
      </c>
      <c r="B22" s="384">
        <v>0.0</v>
      </c>
      <c r="C22" s="384" t="str">
        <f>'01-09-2025 '!C183+'03-09-2025 '!C228+'05-09-2025 '!C496+'08-09-2025 '!C215</f>
        <v>#REF!</v>
      </c>
      <c r="D22" s="384">
        <v>0.0</v>
      </c>
      <c r="E22" s="384">
        <v>0.0</v>
      </c>
      <c r="F22" s="384">
        <v>0.0</v>
      </c>
      <c r="G22" s="384"/>
      <c r="H22" s="385" t="s">
        <v>143</v>
      </c>
      <c r="I22" s="218" t="str">
        <f t="shared" si="2"/>
        <v>#REF!</v>
      </c>
      <c r="J22" s="35"/>
    </row>
    <row r="23" ht="15.0" customHeight="1">
      <c r="A23" s="13" t="s">
        <v>514</v>
      </c>
      <c r="B23" s="384">
        <v>0.0</v>
      </c>
      <c r="C23" s="384" t="str">
        <f>'05-09-2025 '!C497+'08-09-2025 '!C216</f>
        <v>#REF!</v>
      </c>
      <c r="D23" s="384">
        <v>0.0</v>
      </c>
      <c r="E23" s="384">
        <v>0.0</v>
      </c>
      <c r="F23" s="384">
        <v>0.0</v>
      </c>
      <c r="G23" s="384"/>
      <c r="H23" s="385" t="s">
        <v>514</v>
      </c>
      <c r="I23" s="218" t="str">
        <f t="shared" si="2"/>
        <v>#REF!</v>
      </c>
      <c r="J23" s="35"/>
    </row>
    <row r="24" ht="15.0" customHeight="1">
      <c r="A24" s="13" t="s">
        <v>515</v>
      </c>
      <c r="B24" s="384">
        <v>0.0</v>
      </c>
      <c r="C24" s="384" t="str">
        <f>'08-09-2025 '!C217</f>
        <v>#REF!</v>
      </c>
      <c r="D24" s="384">
        <v>0.0</v>
      </c>
      <c r="E24" s="384">
        <v>0.0</v>
      </c>
      <c r="F24" s="384">
        <v>0.0</v>
      </c>
      <c r="G24" s="218"/>
      <c r="H24" s="385" t="s">
        <v>515</v>
      </c>
      <c r="I24" s="218" t="str">
        <f t="shared" si="2"/>
        <v>#REF!</v>
      </c>
      <c r="J24" s="35"/>
    </row>
    <row r="25" ht="15.0" customHeight="1">
      <c r="A25" s="13" t="s">
        <v>516</v>
      </c>
      <c r="B25" s="384" t="str">
        <f>'08-09-2025 '!B218</f>
        <v>#REF!</v>
      </c>
      <c r="C25" s="384">
        <v>0.0</v>
      </c>
      <c r="D25" s="384">
        <v>0.0</v>
      </c>
      <c r="E25" s="384">
        <v>0.0</v>
      </c>
      <c r="F25" s="384">
        <v>0.0</v>
      </c>
      <c r="G25" s="218"/>
      <c r="H25" s="385" t="s">
        <v>516</v>
      </c>
      <c r="I25" s="218" t="str">
        <f t="shared" si="2"/>
        <v>#REF!</v>
      </c>
      <c r="J25" s="35"/>
    </row>
    <row r="26" ht="15.0" customHeight="1">
      <c r="A26" s="13" t="s">
        <v>147</v>
      </c>
      <c r="B26" s="384">
        <v>0.0</v>
      </c>
      <c r="C26" s="384" t="str">
        <f>'01-09-2025 '!C187</f>
        <v>#REF!</v>
      </c>
      <c r="D26" s="384">
        <v>0.0</v>
      </c>
      <c r="E26" s="384">
        <v>0.0</v>
      </c>
      <c r="F26" s="384">
        <v>0.0</v>
      </c>
      <c r="G26" s="218"/>
      <c r="H26" s="380" t="s">
        <v>147</v>
      </c>
      <c r="I26" s="218" t="str">
        <f t="shared" si="2"/>
        <v>#REF!</v>
      </c>
      <c r="J26" s="35"/>
    </row>
    <row r="27" ht="15.0" customHeight="1">
      <c r="A27" s="13" t="s">
        <v>148</v>
      </c>
      <c r="B27" s="384">
        <v>0.0</v>
      </c>
      <c r="C27" s="384">
        <v>0.0</v>
      </c>
      <c r="D27" s="384">
        <v>0.0</v>
      </c>
      <c r="E27" s="384">
        <v>0.0</v>
      </c>
      <c r="F27" s="384">
        <v>0.0</v>
      </c>
      <c r="G27" s="218"/>
      <c r="H27" s="385" t="s">
        <v>148</v>
      </c>
      <c r="I27" s="218">
        <f t="shared" si="2"/>
        <v>0</v>
      </c>
      <c r="J27" s="35"/>
    </row>
    <row r="28" ht="15.0" customHeight="1">
      <c r="A28" s="13" t="s">
        <v>149</v>
      </c>
      <c r="B28" s="384">
        <v>0.0</v>
      </c>
      <c r="C28" s="384" t="str">
        <f>'03-09-2025 '!C234+'04-09-2025 '!C83+'08-09-2025 '!C221</f>
        <v>#REF!</v>
      </c>
      <c r="D28" s="384">
        <v>0.0</v>
      </c>
      <c r="E28" s="384">
        <v>0.0</v>
      </c>
      <c r="F28" s="384">
        <v>0.0</v>
      </c>
      <c r="G28" s="218"/>
      <c r="H28" s="385" t="s">
        <v>149</v>
      </c>
      <c r="I28" s="218" t="str">
        <f t="shared" si="2"/>
        <v>#REF!</v>
      </c>
      <c r="J28" s="35"/>
    </row>
    <row r="29" ht="15.0" customHeight="1">
      <c r="A29" s="13" t="s">
        <v>150</v>
      </c>
      <c r="B29" s="384">
        <v>0.0</v>
      </c>
      <c r="C29" s="384">
        <v>0.0</v>
      </c>
      <c r="D29" s="384">
        <v>0.0</v>
      </c>
      <c r="E29" s="384">
        <v>0.0</v>
      </c>
      <c r="F29" s="384">
        <v>0.0</v>
      </c>
      <c r="G29" s="218"/>
      <c r="H29" s="385" t="s">
        <v>150</v>
      </c>
      <c r="I29" s="218">
        <f t="shared" si="2"/>
        <v>0</v>
      </c>
      <c r="J29" s="35"/>
    </row>
    <row r="30" ht="15.0" customHeight="1">
      <c r="A30" s="13" t="s">
        <v>151</v>
      </c>
      <c r="B30" s="384">
        <v>0.0</v>
      </c>
      <c r="C30" s="384">
        <v>0.0</v>
      </c>
      <c r="D30" s="384" t="str">
        <f>'03-09-2025 '!D236</f>
        <v>#REF!</v>
      </c>
      <c r="E30" s="384">
        <v>0.0</v>
      </c>
      <c r="F30" s="384">
        <v>0.0</v>
      </c>
      <c r="G30" s="218"/>
      <c r="H30" s="385" t="s">
        <v>151</v>
      </c>
      <c r="I30" s="218" t="str">
        <f t="shared" si="2"/>
        <v>#REF!</v>
      </c>
      <c r="J30" s="35"/>
    </row>
    <row r="31" ht="15.0" customHeight="1">
      <c r="A31" s="13" t="s">
        <v>154</v>
      </c>
      <c r="B31" s="384">
        <v>0.0</v>
      </c>
      <c r="C31" s="384">
        <v>0.0</v>
      </c>
      <c r="D31" s="384">
        <v>0.0</v>
      </c>
      <c r="E31" s="384">
        <v>0.0</v>
      </c>
      <c r="F31" s="384">
        <v>0.0</v>
      </c>
      <c r="G31" s="218"/>
      <c r="H31" s="13" t="s">
        <v>154</v>
      </c>
      <c r="I31" s="218">
        <f t="shared" si="2"/>
        <v>0</v>
      </c>
      <c r="J31" s="35"/>
    </row>
    <row r="32" ht="15.0" customHeight="1">
      <c r="A32" s="13" t="s">
        <v>153</v>
      </c>
      <c r="B32" s="384">
        <v>0.0</v>
      </c>
      <c r="C32" s="384" t="str">
        <f>'01-09-2025 '!C193+'02-09-2025 '!C350+'03-09-2025 '!C238+'04-09-2025 '!C87+'05-09-2025 '!C506+'08-09-2025 '!C227+'09-09-2025 '!C361</f>
        <v>#REF!</v>
      </c>
      <c r="D32" s="384">
        <v>0.0</v>
      </c>
      <c r="E32" s="384">
        <v>0.0</v>
      </c>
      <c r="F32" s="384">
        <v>0.0</v>
      </c>
      <c r="G32" s="218"/>
      <c r="H32" s="386" t="s">
        <v>153</v>
      </c>
      <c r="I32" s="218" t="str">
        <f t="shared" si="2"/>
        <v>#REF!</v>
      </c>
      <c r="J32" s="35"/>
    </row>
    <row r="33" ht="15.0" customHeight="1">
      <c r="A33" s="13" t="s">
        <v>154</v>
      </c>
      <c r="B33" s="384">
        <v>0.0</v>
      </c>
      <c r="C33" s="384" t="str">
        <f>'08-09-2025 '!C226</f>
        <v>#REF!</v>
      </c>
      <c r="D33" s="384">
        <v>0.0</v>
      </c>
      <c r="E33" s="384">
        <v>0.0</v>
      </c>
      <c r="F33" s="384">
        <v>0.0</v>
      </c>
      <c r="G33" s="204"/>
      <c r="H33" s="386" t="s">
        <v>154</v>
      </c>
      <c r="I33" s="218" t="str">
        <f t="shared" si="2"/>
        <v>#REF!</v>
      </c>
      <c r="J33" s="35"/>
    </row>
    <row r="34" ht="15.0" customHeight="1">
      <c r="A34" s="13" t="s">
        <v>517</v>
      </c>
      <c r="B34" s="384">
        <v>0.0</v>
      </c>
      <c r="C34" s="384">
        <v>0.0</v>
      </c>
      <c r="D34" s="384" t="str">
        <f>'03-09-2025 '!D230</f>
        <v>#REF!</v>
      </c>
      <c r="E34" s="384">
        <v>0.0</v>
      </c>
      <c r="F34" s="384">
        <v>0.0</v>
      </c>
      <c r="G34" s="204"/>
      <c r="H34" s="13" t="s">
        <v>517</v>
      </c>
      <c r="I34" s="218" t="str">
        <f t="shared" si="2"/>
        <v>#REF!</v>
      </c>
      <c r="J34" s="35"/>
    </row>
    <row r="35" ht="15.0" customHeight="1">
      <c r="A35" s="63"/>
      <c r="B35" s="384">
        <v>0.0</v>
      </c>
      <c r="C35" s="384">
        <v>0.0</v>
      </c>
      <c r="D35" s="384">
        <v>0.0</v>
      </c>
      <c r="E35" s="384">
        <v>0.0</v>
      </c>
      <c r="F35" s="384">
        <v>0.0</v>
      </c>
      <c r="G35" s="218"/>
      <c r="H35" s="63"/>
      <c r="I35" s="218">
        <f t="shared" si="2"/>
        <v>0</v>
      </c>
      <c r="J35" s="35"/>
    </row>
    <row r="36" ht="15.0" customHeight="1">
      <c r="A36" s="13" t="s">
        <v>163</v>
      </c>
      <c r="B36" s="384">
        <v>0.0</v>
      </c>
      <c r="C36" s="384" t="str">
        <f t="shared" ref="C36:C37" si="4">'01-09-2025 '!C195+'02-09-2025 '!C352+'03-09-2025 '!C240+'04-09-2025 '!C89+'05-09-2025 '!C508+'08-09-2025 '!C229+'09-09-2025 '!C363</f>
        <v>#REF!</v>
      </c>
      <c r="D36" s="384" t="str">
        <f>'02-09-2025 '!D352+'03-09-2025 '!D240+'04-09-2025 '!D89+'05-09-2025 '!D508+'08-09-2025 '!D229+'09-09-2025 '!D363</f>
        <v>#REF!</v>
      </c>
      <c r="E36" s="384">
        <v>0.0</v>
      </c>
      <c r="F36" s="384">
        <v>0.0</v>
      </c>
      <c r="G36" s="218"/>
      <c r="H36" s="386" t="s">
        <v>163</v>
      </c>
      <c r="I36" s="218" t="str">
        <f t="shared" si="2"/>
        <v>#REF!</v>
      </c>
    </row>
    <row r="37" ht="15.0" customHeight="1">
      <c r="A37" s="13" t="s">
        <v>164</v>
      </c>
      <c r="B37" s="384">
        <v>0.0</v>
      </c>
      <c r="C37" s="384" t="str">
        <f t="shared" si="4"/>
        <v>#REF!</v>
      </c>
      <c r="D37" s="384" t="str">
        <f>C37</f>
        <v>#REF!</v>
      </c>
      <c r="E37" s="384">
        <v>0.0</v>
      </c>
      <c r="F37" s="384">
        <v>0.0</v>
      </c>
      <c r="G37" s="204"/>
      <c r="H37" s="13" t="s">
        <v>164</v>
      </c>
      <c r="I37" s="218" t="str">
        <f>C37-D37</f>
        <v>#REF!</v>
      </c>
      <c r="J37" s="35"/>
    </row>
    <row r="38" ht="15.0" customHeight="1">
      <c r="A38" s="13" t="s">
        <v>13</v>
      </c>
      <c r="B38" s="24" t="s">
        <v>13</v>
      </c>
      <c r="C38" s="204" t="s">
        <v>13</v>
      </c>
      <c r="D38" s="217" t="s">
        <v>13</v>
      </c>
      <c r="E38" s="217" t="s">
        <v>13</v>
      </c>
      <c r="F38" s="384" t="s">
        <v>13</v>
      </c>
      <c r="G38" s="218"/>
      <c r="H38" s="63" t="str">
        <f>A38</f>
        <v> </v>
      </c>
      <c r="I38" s="218">
        <f>SUM(B38:E38)</f>
        <v>0</v>
      </c>
    </row>
    <row r="39" ht="15.0" customHeight="1">
      <c r="A39" s="13"/>
      <c r="B39" s="24"/>
      <c r="C39" s="14"/>
      <c r="H39" s="63" t="s">
        <v>13</v>
      </c>
      <c r="I39" s="218"/>
    </row>
    <row r="40" ht="15.0" customHeight="1">
      <c r="A40" s="65" t="s">
        <v>165</v>
      </c>
      <c r="B40" s="381" t="str">
        <f>SUM(B16:B37)</f>
        <v>#REF!</v>
      </c>
      <c r="C40" s="381" t="str">
        <f>C17+C21+C22+C23+C24+C26+C32+C33+C36-C37+C28</f>
        <v>#REF!</v>
      </c>
      <c r="D40" s="381" t="str">
        <f>D18+D19+D30+D34+D36+D37</f>
        <v>#REF!</v>
      </c>
      <c r="E40" s="381" t="s">
        <v>13</v>
      </c>
      <c r="F40" s="382" t="str">
        <f>SUM(F16:F37)</f>
        <v>#REF!</v>
      </c>
      <c r="G40" s="204"/>
      <c r="H40" s="383" t="str">
        <f>A40</f>
        <v>TOTAL SALIDAS</v>
      </c>
      <c r="I40" s="379" t="str">
        <f>SUM(I16:I37)</f>
        <v>#REF!</v>
      </c>
      <c r="J40" s="208" t="str">
        <f>SUM(B40:F40)</f>
        <v>#REF!</v>
      </c>
    </row>
    <row r="41" ht="15.0" customHeight="1">
      <c r="A41" s="13"/>
      <c r="B41" s="24"/>
      <c r="C41" s="14"/>
      <c r="H41" s="63" t="s">
        <v>13</v>
      </c>
      <c r="I41" s="218"/>
    </row>
    <row r="42" ht="15.0" customHeight="1">
      <c r="A42" s="65" t="s">
        <v>166</v>
      </c>
      <c r="B42" s="68" t="str">
        <f t="shared" ref="B42:D42" si="5">B13-B40</f>
        <v>#REF!</v>
      </c>
      <c r="C42" s="69" t="str">
        <f t="shared" si="5"/>
        <v>#REF!</v>
      </c>
      <c r="D42" s="69" t="str">
        <f t="shared" si="5"/>
        <v>#REF!</v>
      </c>
      <c r="E42" s="69" t="s">
        <v>13</v>
      </c>
      <c r="F42" s="387" t="str">
        <f>F13-F40</f>
        <v>#REF!</v>
      </c>
      <c r="G42" s="388"/>
      <c r="H42" s="383" t="str">
        <f>A42</f>
        <v>SALDOS</v>
      </c>
      <c r="I42" s="379" t="str">
        <f>I13-I40</f>
        <v>#REF!</v>
      </c>
      <c r="J42" s="208" t="str">
        <f>SUM(B42:F42)</f>
        <v>#REF!</v>
      </c>
    </row>
    <row r="43" ht="15.75" customHeight="1"/>
    <row r="44" ht="15.75" customHeight="1">
      <c r="A44" s="389">
        <v>45909.0</v>
      </c>
      <c r="B44" s="217" t="str">
        <f t="shared" ref="B44:D44" si="6">'09-09-2025 '!B368</f>
        <v>#REF!</v>
      </c>
      <c r="C44" s="217" t="str">
        <f t="shared" si="6"/>
        <v>#REF!</v>
      </c>
      <c r="D44" s="217" t="str">
        <f t="shared" si="6"/>
        <v>#REF!</v>
      </c>
      <c r="E44" s="217" t="s">
        <v>13</v>
      </c>
      <c r="F44" s="217" t="str">
        <f>'09-09-2025 '!F368</f>
        <v>#REF!</v>
      </c>
      <c r="G44" s="218"/>
      <c r="I44" s="379" t="str">
        <f>SUM(B44:F44)</f>
        <v>#REF!</v>
      </c>
    </row>
    <row r="45" ht="15.75" customHeight="1">
      <c r="B45" s="218"/>
      <c r="C45" s="218" t="str">
        <f t="shared" ref="C45:D45" si="7">C42-C44</f>
        <v>#REF!</v>
      </c>
      <c r="D45" s="218" t="str">
        <f t="shared" si="7"/>
        <v>#REF!</v>
      </c>
      <c r="E45" s="218"/>
      <c r="F45" s="218"/>
      <c r="G45" s="218"/>
      <c r="I45" s="208" t="str">
        <f>I42-I44</f>
        <v>#REF!</v>
      </c>
    </row>
    <row r="46" ht="15.75" customHeight="1">
      <c r="B46" s="217" t="s">
        <v>13</v>
      </c>
      <c r="C46" s="217" t="s">
        <v>13</v>
      </c>
      <c r="D46" s="217" t="s">
        <v>13</v>
      </c>
      <c r="E46" s="217" t="s">
        <v>13</v>
      </c>
      <c r="F46" s="218"/>
      <c r="G46" s="21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3:A4"/>
    <mergeCell ref="A6:F6"/>
    <mergeCell ref="A15:F15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0"/>
    <col customWidth="1" min="3" max="3" width="10.75"/>
    <col customWidth="1" min="4" max="4" width="22.88"/>
    <col customWidth="1" min="5" max="5" width="14.63"/>
    <col customWidth="1" min="6" max="8" width="10.75"/>
  </cols>
  <sheetData>
    <row r="2" ht="15.75" customHeight="1">
      <c r="A2" s="390" t="s">
        <v>518</v>
      </c>
      <c r="B2" s="54"/>
      <c r="D2" s="390" t="s">
        <v>519</v>
      </c>
      <c r="E2" s="54"/>
      <c r="G2" s="390" t="s">
        <v>520</v>
      </c>
      <c r="H2" s="54"/>
    </row>
    <row r="4">
      <c r="A4" s="391" t="str">
        <f>'CAJA MENSUAL'!H16</f>
        <v>ING. MERCADO</v>
      </c>
      <c r="B4" s="392" t="str">
        <f>'CAJA MENSUAL'!I16</f>
        <v>#REF!</v>
      </c>
      <c r="D4" s="393" t="s">
        <v>521</v>
      </c>
      <c r="E4" s="392" t="str">
        <f>'CAJA MENSUAL'!I36+'CAJA MENSUAL'!I11</f>
        <v>#REF!</v>
      </c>
      <c r="G4" s="393" t="s">
        <v>159</v>
      </c>
      <c r="H4" s="394">
        <v>0.0</v>
      </c>
    </row>
    <row r="5">
      <c r="A5" s="395" t="str">
        <f>'CAJA MENSUAL'!H20</f>
        <v>PEAJE</v>
      </c>
      <c r="B5" s="396" t="str">
        <f>'CAJA MENSUAL'!I20</f>
        <v>#REF!</v>
      </c>
      <c r="D5" s="395" t="str">
        <f>'CAJA MENSUAL'!H17</f>
        <v>CARGA / VACIOS</v>
      </c>
      <c r="E5" s="396" t="str">
        <f>'CAJA MENSUAL'!I17</f>
        <v>#REF!</v>
      </c>
      <c r="G5" s="397" t="s">
        <v>160</v>
      </c>
      <c r="H5" s="394">
        <v>0.0</v>
      </c>
    </row>
    <row r="6">
      <c r="A6" s="395" t="s">
        <v>143</v>
      </c>
      <c r="B6" s="398" t="str">
        <f>'CAJA MENSUAL'!I22</f>
        <v>#REF!</v>
      </c>
      <c r="D6" s="395" t="str">
        <f>'CAJA MENSUAL'!H18</f>
        <v>INGRESOS BRUTOS</v>
      </c>
      <c r="E6" s="396" t="str">
        <f>'CAJA MENSUAL'!I18</f>
        <v>#REF!</v>
      </c>
      <c r="G6" s="397" t="s">
        <v>522</v>
      </c>
      <c r="H6" s="394">
        <v>0.0</v>
      </c>
    </row>
    <row r="7">
      <c r="A7" s="395" t="str">
        <f>'CAJA MENSUAL'!H23</f>
        <v>SUELDO LEO</v>
      </c>
      <c r="B7" s="396" t="str">
        <f>'CAJA MENSUAL'!I23</f>
        <v>#REF!</v>
      </c>
      <c r="D7" s="395" t="str">
        <f>'CAJA MENSUAL'!H32</f>
        <v>REMIS</v>
      </c>
      <c r="E7" s="396" t="str">
        <f>'CAJA MENSUAL'!I32</f>
        <v>#REF!</v>
      </c>
      <c r="G7" s="397" t="s">
        <v>523</v>
      </c>
      <c r="H7" s="394">
        <v>0.0</v>
      </c>
    </row>
    <row r="8">
      <c r="A8" s="395" t="s">
        <v>515</v>
      </c>
      <c r="B8" s="396" t="str">
        <f>'CAJA MENSUAL'!I24</f>
        <v>#REF!</v>
      </c>
      <c r="D8" s="395" t="s">
        <v>524</v>
      </c>
      <c r="E8" s="396" t="str">
        <f>'CAJA MENSUAL'!I26</f>
        <v>#REF!</v>
      </c>
      <c r="G8" s="397"/>
      <c r="H8" s="394">
        <v>0.0</v>
      </c>
    </row>
    <row r="9">
      <c r="A9" s="395" t="s">
        <v>516</v>
      </c>
      <c r="B9" s="396" t="str">
        <f>'CAJA MENSUAL'!I25</f>
        <v>#REF!</v>
      </c>
      <c r="D9" s="395" t="s">
        <v>154</v>
      </c>
      <c r="E9" s="396" t="str">
        <f>'CAJA MENSUAL'!I33</f>
        <v>#REF!</v>
      </c>
      <c r="G9" s="397"/>
      <c r="H9" s="394">
        <v>0.0</v>
      </c>
    </row>
    <row r="10">
      <c r="A10" s="395" t="str">
        <f>'CAJA MENSUAL'!H29</f>
        <v>ALQUILER LOCAL</v>
      </c>
      <c r="B10" s="396">
        <f>'CAJA MENSUAL'!I29</f>
        <v>0</v>
      </c>
      <c r="D10" s="397"/>
      <c r="E10" s="396">
        <v>0.0</v>
      </c>
      <c r="G10" s="397"/>
      <c r="H10" s="394">
        <v>0.0</v>
      </c>
    </row>
    <row r="11">
      <c r="A11" s="395" t="str">
        <f>'CAJA MENSUAL'!H28</f>
        <v>RETIRO FEDERICO</v>
      </c>
      <c r="B11" s="396" t="str">
        <f>'CAJA MENSUAL'!I28</f>
        <v>#REF!</v>
      </c>
      <c r="D11" s="397"/>
      <c r="E11" s="396">
        <v>0.0</v>
      </c>
      <c r="G11" s="397"/>
      <c r="H11" s="394">
        <v>0.0</v>
      </c>
    </row>
    <row r="12">
      <c r="A12" s="397" t="s">
        <v>148</v>
      </c>
      <c r="B12" s="396">
        <f>'CAJA MENSUAL'!I27</f>
        <v>0</v>
      </c>
      <c r="D12" s="397"/>
      <c r="E12" s="396">
        <v>0.0</v>
      </c>
      <c r="G12" s="397"/>
      <c r="H12" s="394">
        <v>0.0</v>
      </c>
    </row>
    <row r="13">
      <c r="A13" s="397" t="s">
        <v>151</v>
      </c>
      <c r="B13" s="396" t="str">
        <f>'CAJA MENSUAL'!I30</f>
        <v>#REF!</v>
      </c>
      <c r="D13" s="397"/>
      <c r="E13" s="396">
        <v>0.0</v>
      </c>
      <c r="G13" s="397"/>
      <c r="H13" s="394">
        <v>0.0</v>
      </c>
    </row>
    <row r="14">
      <c r="A14" s="399" t="s">
        <v>13</v>
      </c>
      <c r="B14" s="394">
        <v>0.0</v>
      </c>
      <c r="D14" s="399" t="s">
        <v>13</v>
      </c>
      <c r="E14" s="394">
        <v>0.0</v>
      </c>
      <c r="G14" s="399" t="s">
        <v>13</v>
      </c>
      <c r="H14" s="394">
        <v>0.0</v>
      </c>
    </row>
    <row r="15" ht="15.75" customHeight="1">
      <c r="A15" s="400" t="s">
        <v>13</v>
      </c>
      <c r="B15" s="401">
        <v>0.0</v>
      </c>
      <c r="D15" s="400" t="s">
        <v>13</v>
      </c>
      <c r="E15" s="401">
        <v>0.0</v>
      </c>
      <c r="G15" s="400"/>
      <c r="H15" s="394">
        <v>0.0</v>
      </c>
    </row>
    <row r="16" ht="15.75" customHeight="1">
      <c r="B16" s="402"/>
      <c r="E16" s="402"/>
      <c r="H16" s="402"/>
    </row>
    <row r="17" ht="15.75" customHeight="1">
      <c r="A17" s="403" t="s">
        <v>8</v>
      </c>
      <c r="B17" s="404" t="str">
        <f>SUM(B4:B16)</f>
        <v>#REF!</v>
      </c>
      <c r="D17" s="403" t="s">
        <v>8</v>
      </c>
      <c r="E17" s="404" t="str">
        <f>SUM(E4:E15)</f>
        <v>#REF!</v>
      </c>
      <c r="G17" s="403" t="s">
        <v>8</v>
      </c>
      <c r="H17" s="404">
        <f>SUM(H4:H15)</f>
        <v>0</v>
      </c>
    </row>
    <row r="18" ht="15.75" customHeight="1"/>
    <row r="20" ht="15.75" customHeight="1">
      <c r="D20" s="403" t="s">
        <v>525</v>
      </c>
      <c r="E20" s="404" t="str">
        <f>B17+E17+H17</f>
        <v>#REF!</v>
      </c>
    </row>
    <row r="21" ht="15.75" customHeight="1"/>
    <row r="22" ht="15.75" customHeight="1">
      <c r="D22" s="403" t="s">
        <v>526</v>
      </c>
      <c r="E22" s="405">
        <f>'CUENTAS CORRIENTES'!C44</f>
        <v>17146518.81</v>
      </c>
    </row>
    <row r="23" ht="15.75" customHeight="1">
      <c r="D23" s="14" t="s">
        <v>13</v>
      </c>
      <c r="E23" s="14" t="s">
        <v>13</v>
      </c>
    </row>
    <row r="24" ht="15.75" customHeight="1">
      <c r="D24" s="403" t="s">
        <v>527</v>
      </c>
      <c r="E24" s="406" t="str">
        <f>E22-E20</f>
        <v>#REF!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B2"/>
    <mergeCell ref="D2:E2"/>
    <mergeCell ref="G2:H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14.63"/>
    <col customWidth="1" min="4" max="4" width="12.38"/>
    <col customWidth="1" min="5" max="5" width="10.63"/>
    <col customWidth="1" min="6" max="6" width="13.0"/>
    <col customWidth="1" min="7" max="7" width="13.75"/>
    <col customWidth="1" min="8" max="9" width="10.63"/>
    <col customWidth="1" min="10" max="10" width="13.0"/>
    <col customWidth="1" min="11" max="11" width="15.0"/>
    <col customWidth="1" min="12" max="13" width="10.63"/>
    <col customWidth="1" min="14" max="15" width="14.63"/>
    <col customWidth="1" min="16" max="18" width="10.63"/>
    <col customWidth="1" min="19" max="19" width="12.5"/>
    <col customWidth="1" min="20" max="26" width="10.63"/>
  </cols>
  <sheetData>
    <row r="1">
      <c r="C1" s="218"/>
    </row>
    <row r="2">
      <c r="A2" s="407" t="s">
        <v>528</v>
      </c>
      <c r="B2" s="53"/>
      <c r="C2" s="54"/>
      <c r="E2" s="408" t="s">
        <v>529</v>
      </c>
      <c r="F2" s="53"/>
      <c r="G2" s="54"/>
      <c r="I2" s="408" t="s">
        <v>530</v>
      </c>
      <c r="J2" s="53"/>
      <c r="K2" s="54"/>
      <c r="M2" s="407" t="s">
        <v>531</v>
      </c>
      <c r="N2" s="53"/>
      <c r="O2" s="54"/>
      <c r="Q2" s="409" t="s">
        <v>532</v>
      </c>
      <c r="R2" s="53"/>
      <c r="S2" s="54"/>
      <c r="U2" s="409" t="s">
        <v>533</v>
      </c>
      <c r="V2" s="53"/>
      <c r="W2" s="54"/>
    </row>
    <row r="3">
      <c r="A3" s="410"/>
      <c r="B3" s="411"/>
      <c r="C3" s="412">
        <v>0.0</v>
      </c>
      <c r="E3" s="413"/>
      <c r="F3" s="414" t="s">
        <v>407</v>
      </c>
      <c r="G3" s="412">
        <v>389500.0</v>
      </c>
      <c r="I3" s="410"/>
      <c r="J3" s="415" t="s">
        <v>407</v>
      </c>
      <c r="K3" s="412">
        <v>1014000.0</v>
      </c>
      <c r="M3" s="416"/>
      <c r="N3" s="417"/>
      <c r="O3" s="412">
        <v>1677000.0</v>
      </c>
      <c r="Q3" s="410"/>
      <c r="R3" s="418" t="s">
        <v>407</v>
      </c>
      <c r="S3" s="412">
        <v>122000.0</v>
      </c>
      <c r="U3" s="419">
        <v>45902.0</v>
      </c>
      <c r="V3" s="420"/>
      <c r="W3" s="412">
        <v>155000.0</v>
      </c>
    </row>
    <row r="4">
      <c r="A4" s="419">
        <v>46143.0</v>
      </c>
      <c r="B4" s="421">
        <v>83000.0</v>
      </c>
      <c r="C4" s="422">
        <f>C3+B4</f>
        <v>83000</v>
      </c>
      <c r="E4" s="423">
        <v>45666.0</v>
      </c>
      <c r="F4" s="424">
        <v>118000.0</v>
      </c>
      <c r="G4" s="422">
        <f t="shared" ref="G4:G35" si="1">F4+G3</f>
        <v>507500</v>
      </c>
      <c r="I4" s="419">
        <v>45902.0</v>
      </c>
      <c r="J4" s="424">
        <v>144000.0</v>
      </c>
      <c r="K4" s="425">
        <f t="shared" ref="K4:K35" si="2">J4+K3</f>
        <v>1158000</v>
      </c>
      <c r="M4" s="419">
        <v>45901.0</v>
      </c>
      <c r="N4" s="217">
        <v>389000.0</v>
      </c>
      <c r="O4" s="422">
        <f t="shared" ref="O4:O35" si="3">N4+O3</f>
        <v>2066000</v>
      </c>
      <c r="Q4" s="419">
        <v>45901.0</v>
      </c>
      <c r="R4" s="424">
        <v>176500.0</v>
      </c>
      <c r="S4" s="422">
        <f t="shared" ref="S4:S35" si="4">R4+S3</f>
        <v>298500</v>
      </c>
      <c r="U4" s="426" t="s">
        <v>534</v>
      </c>
      <c r="V4" s="427">
        <v>-155000.0</v>
      </c>
      <c r="W4" s="422">
        <f t="shared" ref="W4:W35" si="5">V4+W3</f>
        <v>0</v>
      </c>
    </row>
    <row r="5">
      <c r="A5" s="419">
        <v>45902.0</v>
      </c>
      <c r="B5" s="421">
        <v>285400.0</v>
      </c>
      <c r="C5" s="422">
        <f t="shared" ref="C5:C35" si="6">B5+C4</f>
        <v>368400</v>
      </c>
      <c r="E5" s="423">
        <v>45697.0</v>
      </c>
      <c r="F5" s="424">
        <v>96500.0</v>
      </c>
      <c r="G5" s="422">
        <f t="shared" si="1"/>
        <v>604000</v>
      </c>
      <c r="I5" s="419">
        <v>45903.0</v>
      </c>
      <c r="J5" s="424">
        <v>80000.0</v>
      </c>
      <c r="K5" s="425">
        <f t="shared" si="2"/>
        <v>1238000</v>
      </c>
      <c r="M5" s="419">
        <v>45902.0</v>
      </c>
      <c r="N5" s="217">
        <v>108000.0</v>
      </c>
      <c r="O5" s="422">
        <f t="shared" si="3"/>
        <v>2174000</v>
      </c>
      <c r="Q5" s="419">
        <v>45902.0</v>
      </c>
      <c r="R5" s="424">
        <v>105000.0</v>
      </c>
      <c r="S5" s="422">
        <f t="shared" si="4"/>
        <v>403500</v>
      </c>
      <c r="U5" s="419">
        <v>45905.0</v>
      </c>
      <c r="V5" s="428">
        <v>100000.0</v>
      </c>
      <c r="W5" s="422">
        <f t="shared" si="5"/>
        <v>100000</v>
      </c>
    </row>
    <row r="6">
      <c r="A6" s="419">
        <v>45903.0</v>
      </c>
      <c r="B6" s="424">
        <v>566400.0</v>
      </c>
      <c r="C6" s="422">
        <f t="shared" si="6"/>
        <v>934800</v>
      </c>
      <c r="E6" s="426" t="s">
        <v>534</v>
      </c>
      <c r="F6" s="429">
        <v>-300000.0</v>
      </c>
      <c r="G6" s="422">
        <f t="shared" si="1"/>
        <v>304000</v>
      </c>
      <c r="I6" s="426" t="s">
        <v>534</v>
      </c>
      <c r="J6" s="429">
        <v>-641500.0</v>
      </c>
      <c r="K6" s="425">
        <f t="shared" si="2"/>
        <v>596500</v>
      </c>
      <c r="M6" s="419">
        <v>45903.0</v>
      </c>
      <c r="N6" s="217">
        <v>344000.0</v>
      </c>
      <c r="O6" s="422">
        <f t="shared" si="3"/>
        <v>2518000</v>
      </c>
      <c r="Q6" s="426" t="s">
        <v>534</v>
      </c>
      <c r="R6" s="430">
        <v>-127000.0</v>
      </c>
      <c r="S6" s="422">
        <f t="shared" si="4"/>
        <v>276500</v>
      </c>
      <c r="U6" s="419">
        <v>45908.0</v>
      </c>
      <c r="V6" s="431">
        <v>150000.0</v>
      </c>
      <c r="W6" s="422">
        <f t="shared" si="5"/>
        <v>250000</v>
      </c>
    </row>
    <row r="7">
      <c r="A7" s="426" t="s">
        <v>535</v>
      </c>
      <c r="B7" s="429">
        <v>-2000000.0</v>
      </c>
      <c r="C7" s="422">
        <f t="shared" si="6"/>
        <v>-1065200</v>
      </c>
      <c r="E7" s="432" t="s">
        <v>536</v>
      </c>
      <c r="F7" s="430">
        <v>-125000.0</v>
      </c>
      <c r="G7" s="422">
        <f t="shared" si="1"/>
        <v>179000</v>
      </c>
      <c r="H7" s="33"/>
      <c r="I7" s="419">
        <v>45902.0</v>
      </c>
      <c r="J7" s="424"/>
      <c r="K7" s="425">
        <f t="shared" si="2"/>
        <v>596500</v>
      </c>
      <c r="M7" s="419">
        <v>45904.0</v>
      </c>
      <c r="N7" s="217">
        <v>350000.0</v>
      </c>
      <c r="O7" s="422">
        <f t="shared" si="3"/>
        <v>2868000</v>
      </c>
      <c r="Q7" s="426" t="s">
        <v>536</v>
      </c>
      <c r="R7" s="429">
        <v>-100000.0</v>
      </c>
      <c r="S7" s="422">
        <f t="shared" si="4"/>
        <v>176500</v>
      </c>
      <c r="U7" s="413" t="s">
        <v>534</v>
      </c>
      <c r="V7" s="428">
        <v>-100000.0</v>
      </c>
      <c r="W7" s="422">
        <f t="shared" si="5"/>
        <v>150000</v>
      </c>
    </row>
    <row r="8">
      <c r="A8" s="426" t="s">
        <v>536</v>
      </c>
      <c r="B8" s="429">
        <v>-394000.0</v>
      </c>
      <c r="C8" s="422">
        <f t="shared" si="6"/>
        <v>-1459200</v>
      </c>
      <c r="E8" s="419">
        <v>45903.0</v>
      </c>
      <c r="F8" s="424">
        <v>50500.0</v>
      </c>
      <c r="G8" s="422">
        <f t="shared" si="1"/>
        <v>229500</v>
      </c>
      <c r="I8" s="433"/>
      <c r="J8" s="424"/>
      <c r="K8" s="425">
        <f t="shared" si="2"/>
        <v>596500</v>
      </c>
      <c r="M8" s="426" t="s">
        <v>535</v>
      </c>
      <c r="N8" s="434">
        <v>-1633410.3</v>
      </c>
      <c r="O8" s="422">
        <f t="shared" si="3"/>
        <v>1234589.7</v>
      </c>
      <c r="Q8" s="419">
        <v>45903.0</v>
      </c>
      <c r="R8" s="435">
        <v>32000.0</v>
      </c>
      <c r="S8" s="422">
        <f t="shared" si="4"/>
        <v>208500</v>
      </c>
      <c r="U8" s="436">
        <v>45912.0</v>
      </c>
      <c r="V8" s="431">
        <v>-100000.0</v>
      </c>
      <c r="W8" s="422">
        <f t="shared" si="5"/>
        <v>50000</v>
      </c>
    </row>
    <row r="9">
      <c r="A9" s="437">
        <v>45904.0</v>
      </c>
      <c r="B9" s="438">
        <v>166000.0</v>
      </c>
      <c r="C9" s="439">
        <f t="shared" si="6"/>
        <v>-1293200</v>
      </c>
      <c r="D9" s="440">
        <f>B9-24000</f>
        <v>142000</v>
      </c>
      <c r="E9" s="419">
        <v>45904.0</v>
      </c>
      <c r="F9" s="424">
        <v>29500.0</v>
      </c>
      <c r="G9" s="422">
        <f t="shared" si="1"/>
        <v>259000</v>
      </c>
      <c r="I9" s="441"/>
      <c r="J9" s="430"/>
      <c r="K9" s="425">
        <f t="shared" si="2"/>
        <v>596500</v>
      </c>
      <c r="M9" s="419">
        <v>45905.0</v>
      </c>
      <c r="N9" s="217">
        <v>421000.0</v>
      </c>
      <c r="O9" s="422">
        <f t="shared" si="3"/>
        <v>1655589.7</v>
      </c>
      <c r="Q9" s="419">
        <v>45905.0</v>
      </c>
      <c r="R9" s="424">
        <v>199000.0</v>
      </c>
      <c r="S9" s="422">
        <f t="shared" si="4"/>
        <v>407500</v>
      </c>
      <c r="U9" s="426" t="s">
        <v>536</v>
      </c>
      <c r="V9" s="427">
        <v>-40000.0</v>
      </c>
      <c r="W9" s="422">
        <f t="shared" si="5"/>
        <v>10000</v>
      </c>
    </row>
    <row r="10">
      <c r="A10" s="432" t="s">
        <v>537</v>
      </c>
      <c r="B10" s="430">
        <v>-22000.0</v>
      </c>
      <c r="C10" s="422">
        <f t="shared" si="6"/>
        <v>-1315200</v>
      </c>
      <c r="E10" s="419">
        <v>45905.0</v>
      </c>
      <c r="F10" s="424">
        <v>184000.0</v>
      </c>
      <c r="G10" s="422">
        <f t="shared" si="1"/>
        <v>443000</v>
      </c>
      <c r="I10" s="433"/>
      <c r="J10" s="424"/>
      <c r="K10" s="425">
        <f t="shared" si="2"/>
        <v>596500</v>
      </c>
      <c r="M10" s="419">
        <v>45878.0</v>
      </c>
      <c r="N10" s="217">
        <v>646000.0</v>
      </c>
      <c r="O10" s="422">
        <f t="shared" si="3"/>
        <v>2301589.7</v>
      </c>
      <c r="Q10" s="419">
        <v>45908.0</v>
      </c>
      <c r="R10" s="424">
        <v>156000.0</v>
      </c>
      <c r="S10" s="422">
        <f t="shared" si="4"/>
        <v>563500</v>
      </c>
      <c r="U10" s="426" t="s">
        <v>538</v>
      </c>
      <c r="V10" s="427">
        <v>-15000.0</v>
      </c>
      <c r="W10" s="422">
        <f t="shared" si="5"/>
        <v>-5000</v>
      </c>
    </row>
    <row r="11">
      <c r="A11" s="419">
        <v>45905.0</v>
      </c>
      <c r="B11" s="421">
        <v>487000.0</v>
      </c>
      <c r="C11" s="422">
        <f t="shared" si="6"/>
        <v>-828200</v>
      </c>
      <c r="E11" s="442">
        <v>45878.0</v>
      </c>
      <c r="F11" s="435">
        <v>103000.0</v>
      </c>
      <c r="G11" s="422">
        <f t="shared" si="1"/>
        <v>546000</v>
      </c>
      <c r="I11" s="433"/>
      <c r="J11" s="424"/>
      <c r="K11" s="425">
        <f t="shared" si="2"/>
        <v>596500</v>
      </c>
      <c r="M11" s="419">
        <v>45909.0</v>
      </c>
      <c r="N11" s="217">
        <v>371000.0</v>
      </c>
      <c r="O11" s="422">
        <f t="shared" si="3"/>
        <v>2672589.7</v>
      </c>
      <c r="Q11" s="419">
        <v>45909.0</v>
      </c>
      <c r="R11" s="424">
        <v>293000.0</v>
      </c>
      <c r="S11" s="422">
        <f t="shared" si="4"/>
        <v>856500</v>
      </c>
      <c r="U11" s="419"/>
      <c r="V11" s="427"/>
      <c r="W11" s="422">
        <f t="shared" si="5"/>
        <v>-5000</v>
      </c>
    </row>
    <row r="12">
      <c r="A12" s="419">
        <v>45908.0</v>
      </c>
      <c r="B12" s="421">
        <v>744800.0</v>
      </c>
      <c r="C12" s="422">
        <f t="shared" si="6"/>
        <v>-83400</v>
      </c>
      <c r="E12" s="419">
        <v>45909.0</v>
      </c>
      <c r="F12" s="424">
        <v>99000.0</v>
      </c>
      <c r="G12" s="422">
        <f t="shared" si="1"/>
        <v>645000</v>
      </c>
      <c r="I12" s="443"/>
      <c r="J12" s="430"/>
      <c r="K12" s="425">
        <f t="shared" si="2"/>
        <v>596500</v>
      </c>
      <c r="M12" s="419">
        <v>45910.0</v>
      </c>
      <c r="N12" s="217">
        <v>32000.0</v>
      </c>
      <c r="O12" s="422">
        <f t="shared" si="3"/>
        <v>2704589.7</v>
      </c>
      <c r="Q12" s="426" t="s">
        <v>534</v>
      </c>
      <c r="R12" s="429">
        <v>-250000.0</v>
      </c>
      <c r="S12" s="422">
        <f t="shared" si="4"/>
        <v>606500</v>
      </c>
      <c r="U12" s="419"/>
      <c r="V12" s="428"/>
      <c r="W12" s="422">
        <f t="shared" si="5"/>
        <v>-5000</v>
      </c>
    </row>
    <row r="13">
      <c r="A13" s="419">
        <v>45909.0</v>
      </c>
      <c r="B13" s="421">
        <v>91000.0</v>
      </c>
      <c r="C13" s="422">
        <f t="shared" si="6"/>
        <v>7600</v>
      </c>
      <c r="E13" s="419">
        <v>45910.0</v>
      </c>
      <c r="F13" s="424">
        <v>38000.0</v>
      </c>
      <c r="G13" s="422">
        <f t="shared" si="1"/>
        <v>683000</v>
      </c>
      <c r="I13" s="441"/>
      <c r="J13" s="430"/>
      <c r="K13" s="425">
        <f t="shared" si="2"/>
        <v>596500</v>
      </c>
      <c r="M13" s="426" t="s">
        <v>535</v>
      </c>
      <c r="N13" s="434">
        <v>-1735256.38</v>
      </c>
      <c r="O13" s="422">
        <f t="shared" si="3"/>
        <v>969333.32</v>
      </c>
      <c r="Q13" s="419">
        <v>45912.0</v>
      </c>
      <c r="R13" s="424">
        <v>155000.0</v>
      </c>
      <c r="S13" s="422">
        <f t="shared" si="4"/>
        <v>761500</v>
      </c>
      <c r="U13" s="444"/>
      <c r="V13" s="428"/>
      <c r="W13" s="422">
        <f t="shared" si="5"/>
        <v>-5000</v>
      </c>
    </row>
    <row r="14">
      <c r="A14" s="413" t="s">
        <v>537</v>
      </c>
      <c r="B14" s="429">
        <v>-62000.0</v>
      </c>
      <c r="C14" s="422">
        <f t="shared" si="6"/>
        <v>-54400</v>
      </c>
      <c r="E14" s="419">
        <v>45912.0</v>
      </c>
      <c r="F14" s="435">
        <v>53000.0</v>
      </c>
      <c r="G14" s="422">
        <f t="shared" si="1"/>
        <v>736000</v>
      </c>
      <c r="I14" s="433"/>
      <c r="J14" s="424"/>
      <c r="K14" s="425">
        <f t="shared" si="2"/>
        <v>596500</v>
      </c>
      <c r="M14" s="419">
        <v>45912.0</v>
      </c>
      <c r="N14" s="445">
        <v>120000.0</v>
      </c>
      <c r="O14" s="422">
        <f t="shared" si="3"/>
        <v>1089333.32</v>
      </c>
      <c r="Q14" s="426" t="s">
        <v>536</v>
      </c>
      <c r="R14" s="429">
        <v>-104000.0</v>
      </c>
      <c r="S14" s="422">
        <f t="shared" si="4"/>
        <v>657500</v>
      </c>
      <c r="U14" s="446"/>
      <c r="V14" s="447"/>
      <c r="W14" s="422">
        <f t="shared" si="5"/>
        <v>-5000</v>
      </c>
    </row>
    <row r="15">
      <c r="A15" s="419">
        <v>45910.0</v>
      </c>
      <c r="B15" s="421">
        <v>210000.0</v>
      </c>
      <c r="C15" s="422">
        <f t="shared" si="6"/>
        <v>155600</v>
      </c>
      <c r="E15" s="426" t="s">
        <v>539</v>
      </c>
      <c r="F15" s="429">
        <v>-190000.0</v>
      </c>
      <c r="G15" s="422">
        <f t="shared" si="1"/>
        <v>546000</v>
      </c>
      <c r="I15" s="433"/>
      <c r="J15" s="424"/>
      <c r="K15" s="425">
        <f t="shared" si="2"/>
        <v>596500</v>
      </c>
      <c r="M15" s="419">
        <v>45901.0</v>
      </c>
      <c r="N15" s="218"/>
      <c r="O15" s="422">
        <f t="shared" si="3"/>
        <v>1089333.32</v>
      </c>
      <c r="Q15" s="419"/>
      <c r="R15" s="448"/>
      <c r="S15" s="422">
        <f t="shared" si="4"/>
        <v>657500</v>
      </c>
      <c r="U15" s="449"/>
      <c r="V15" s="450"/>
      <c r="W15" s="422">
        <f t="shared" si="5"/>
        <v>-5000</v>
      </c>
    </row>
    <row r="16">
      <c r="A16" s="426" t="s">
        <v>535</v>
      </c>
      <c r="B16" s="429">
        <v>-2574080.7</v>
      </c>
      <c r="C16" s="422">
        <f t="shared" si="6"/>
        <v>-2418480.7</v>
      </c>
      <c r="E16" s="426" t="s">
        <v>534</v>
      </c>
      <c r="F16" s="430">
        <v>-250000.0</v>
      </c>
      <c r="G16" s="422">
        <f t="shared" si="1"/>
        <v>296000</v>
      </c>
      <c r="I16" s="441"/>
      <c r="J16" s="430"/>
      <c r="K16" s="425">
        <f t="shared" si="2"/>
        <v>596500</v>
      </c>
      <c r="M16" s="419">
        <v>45901.0</v>
      </c>
      <c r="N16" s="218"/>
      <c r="O16" s="422">
        <f t="shared" si="3"/>
        <v>1089333.32</v>
      </c>
      <c r="Q16" s="451"/>
      <c r="R16" s="448"/>
      <c r="S16" s="422">
        <f t="shared" si="4"/>
        <v>657500</v>
      </c>
      <c r="U16" s="449"/>
      <c r="V16" s="450"/>
      <c r="W16" s="422">
        <f t="shared" si="5"/>
        <v>-5000</v>
      </c>
    </row>
    <row r="17">
      <c r="A17" s="419">
        <v>45912.0</v>
      </c>
      <c r="B17" s="421">
        <v>433000.0</v>
      </c>
      <c r="C17" s="422">
        <f t="shared" si="6"/>
        <v>-1985480.7</v>
      </c>
      <c r="E17" s="452">
        <v>45915.0</v>
      </c>
      <c r="F17" s="217"/>
      <c r="G17" s="422">
        <f t="shared" si="1"/>
        <v>296000</v>
      </c>
      <c r="I17" s="452"/>
      <c r="J17" s="217"/>
      <c r="K17" s="425">
        <f t="shared" si="2"/>
        <v>596500</v>
      </c>
      <c r="M17" s="419">
        <v>45901.0</v>
      </c>
      <c r="N17" s="35"/>
      <c r="O17" s="422">
        <f t="shared" si="3"/>
        <v>1089333.32</v>
      </c>
      <c r="Q17" s="453"/>
      <c r="R17" s="448"/>
      <c r="S17" s="422">
        <f t="shared" si="4"/>
        <v>657500</v>
      </c>
      <c r="U17" s="454"/>
      <c r="V17" s="450"/>
      <c r="W17" s="422">
        <f t="shared" si="5"/>
        <v>-5000</v>
      </c>
    </row>
    <row r="18">
      <c r="A18" s="419"/>
      <c r="B18" s="421">
        <v>0.0</v>
      </c>
      <c r="C18" s="422">
        <f t="shared" si="6"/>
        <v>-1985480.7</v>
      </c>
      <c r="E18" s="441"/>
      <c r="F18" s="455"/>
      <c r="G18" s="422">
        <f t="shared" si="1"/>
        <v>296000</v>
      </c>
      <c r="I18" s="441"/>
      <c r="J18" s="455"/>
      <c r="K18" s="425">
        <f t="shared" si="2"/>
        <v>596500</v>
      </c>
      <c r="M18" s="419">
        <v>45901.0</v>
      </c>
      <c r="N18" s="35"/>
      <c r="O18" s="422">
        <f t="shared" si="3"/>
        <v>1089333.32</v>
      </c>
      <c r="Q18" s="454"/>
      <c r="R18" s="35"/>
      <c r="S18" s="422">
        <f t="shared" si="4"/>
        <v>657500</v>
      </c>
      <c r="U18" s="454"/>
      <c r="V18" s="450"/>
      <c r="W18" s="422">
        <f t="shared" si="5"/>
        <v>-5000</v>
      </c>
    </row>
    <row r="19">
      <c r="A19" s="419"/>
      <c r="B19" s="456"/>
      <c r="C19" s="422">
        <f t="shared" si="6"/>
        <v>-1985480.7</v>
      </c>
      <c r="E19" s="443"/>
      <c r="F19" s="455"/>
      <c r="G19" s="422">
        <f t="shared" si="1"/>
        <v>296000</v>
      </c>
      <c r="I19" s="433"/>
      <c r="J19" s="445"/>
      <c r="K19" s="425">
        <f t="shared" si="2"/>
        <v>596500</v>
      </c>
      <c r="M19" s="419">
        <v>45901.0</v>
      </c>
      <c r="N19" s="35"/>
      <c r="O19" s="422">
        <f t="shared" si="3"/>
        <v>1089333.32</v>
      </c>
      <c r="Q19" s="454"/>
      <c r="R19" s="35"/>
      <c r="S19" s="422">
        <f t="shared" si="4"/>
        <v>657500</v>
      </c>
      <c r="U19" s="454"/>
      <c r="V19" s="450"/>
      <c r="W19" s="422">
        <f t="shared" si="5"/>
        <v>-5000</v>
      </c>
    </row>
    <row r="20">
      <c r="A20" s="419"/>
      <c r="B20" s="457"/>
      <c r="C20" s="422">
        <f t="shared" si="6"/>
        <v>-1985480.7</v>
      </c>
      <c r="E20" s="443"/>
      <c r="F20" s="455"/>
      <c r="G20" s="422">
        <f t="shared" si="1"/>
        <v>296000</v>
      </c>
      <c r="I20" s="441"/>
      <c r="J20" s="434"/>
      <c r="K20" s="425">
        <f t="shared" si="2"/>
        <v>596500</v>
      </c>
      <c r="M20" s="419">
        <v>45901.0</v>
      </c>
      <c r="N20" s="35"/>
      <c r="O20" s="422">
        <f t="shared" si="3"/>
        <v>1089333.32</v>
      </c>
      <c r="Q20" s="454"/>
      <c r="R20" s="35"/>
      <c r="S20" s="422">
        <f t="shared" si="4"/>
        <v>657500</v>
      </c>
      <c r="U20" s="454"/>
      <c r="V20" s="35"/>
      <c r="W20" s="422">
        <f t="shared" si="5"/>
        <v>-5000</v>
      </c>
    </row>
    <row r="21" ht="15.75" customHeight="1">
      <c r="A21" s="419"/>
      <c r="B21" s="457"/>
      <c r="C21" s="422">
        <f t="shared" si="6"/>
        <v>-1985480.7</v>
      </c>
      <c r="E21" s="433"/>
      <c r="F21" s="445"/>
      <c r="G21" s="422">
        <f t="shared" si="1"/>
        <v>296000</v>
      </c>
      <c r="I21" s="452"/>
      <c r="J21" s="217"/>
      <c r="K21" s="425">
        <f t="shared" si="2"/>
        <v>596500</v>
      </c>
      <c r="M21" s="454"/>
      <c r="N21" s="35"/>
      <c r="O21" s="422">
        <f t="shared" si="3"/>
        <v>1089333.32</v>
      </c>
      <c r="Q21" s="454"/>
      <c r="R21" s="35"/>
      <c r="S21" s="422">
        <f t="shared" si="4"/>
        <v>657500</v>
      </c>
      <c r="U21" s="454"/>
      <c r="V21" s="35"/>
      <c r="W21" s="422">
        <f t="shared" si="5"/>
        <v>-5000</v>
      </c>
    </row>
    <row r="22" ht="15.75" customHeight="1">
      <c r="A22" s="419"/>
      <c r="B22" s="457"/>
      <c r="C22" s="422">
        <f t="shared" si="6"/>
        <v>-1985480.7</v>
      </c>
      <c r="E22" s="452"/>
      <c r="F22" s="217"/>
      <c r="G22" s="422">
        <f t="shared" si="1"/>
        <v>296000</v>
      </c>
      <c r="I22" s="33"/>
      <c r="J22" s="33"/>
      <c r="K22" s="425">
        <f t="shared" si="2"/>
        <v>596500</v>
      </c>
      <c r="M22" s="454"/>
      <c r="N22" s="35"/>
      <c r="O22" s="422">
        <f t="shared" si="3"/>
        <v>1089333.32</v>
      </c>
      <c r="Q22" s="454"/>
      <c r="R22" s="35"/>
      <c r="S22" s="422">
        <f t="shared" si="4"/>
        <v>657500</v>
      </c>
      <c r="U22" s="454"/>
      <c r="V22" s="35"/>
      <c r="W22" s="422">
        <f t="shared" si="5"/>
        <v>-5000</v>
      </c>
    </row>
    <row r="23" ht="15.75" customHeight="1">
      <c r="A23" s="419"/>
      <c r="B23" s="457"/>
      <c r="C23" s="422">
        <f t="shared" si="6"/>
        <v>-1985480.7</v>
      </c>
      <c r="E23" s="458"/>
      <c r="F23" s="455"/>
      <c r="G23" s="422">
        <f t="shared" si="1"/>
        <v>296000</v>
      </c>
      <c r="I23" s="459"/>
      <c r="J23" s="460"/>
      <c r="K23" s="425">
        <f t="shared" si="2"/>
        <v>596500</v>
      </c>
      <c r="M23" s="454"/>
      <c r="N23" s="35"/>
      <c r="O23" s="422">
        <f t="shared" si="3"/>
        <v>1089333.32</v>
      </c>
      <c r="Q23" s="454"/>
      <c r="R23" s="35"/>
      <c r="S23" s="422">
        <f t="shared" si="4"/>
        <v>657500</v>
      </c>
      <c r="U23" s="454"/>
      <c r="V23" s="35"/>
      <c r="W23" s="422">
        <f t="shared" si="5"/>
        <v>-5000</v>
      </c>
    </row>
    <row r="24" ht="15.75" customHeight="1">
      <c r="A24" s="419"/>
      <c r="B24" s="457"/>
      <c r="C24" s="422">
        <f t="shared" si="6"/>
        <v>-1985480.7</v>
      </c>
      <c r="E24" s="452"/>
      <c r="F24" s="217"/>
      <c r="G24" s="422">
        <f t="shared" si="1"/>
        <v>296000</v>
      </c>
      <c r="I24" s="461"/>
      <c r="J24" s="64"/>
      <c r="K24" s="425">
        <f t="shared" si="2"/>
        <v>596500</v>
      </c>
      <c r="M24" s="454"/>
      <c r="N24" s="35"/>
      <c r="O24" s="422">
        <f t="shared" si="3"/>
        <v>1089333.32</v>
      </c>
      <c r="Q24" s="454"/>
      <c r="R24" s="35"/>
      <c r="S24" s="422">
        <f t="shared" si="4"/>
        <v>657500</v>
      </c>
      <c r="U24" s="454"/>
      <c r="V24" s="35"/>
      <c r="W24" s="422">
        <f t="shared" si="5"/>
        <v>-5000</v>
      </c>
    </row>
    <row r="25" ht="15.75" customHeight="1">
      <c r="A25" s="419"/>
      <c r="B25" s="457"/>
      <c r="C25" s="422">
        <f t="shared" si="6"/>
        <v>-1985480.7</v>
      </c>
      <c r="E25" s="443"/>
      <c r="F25" s="462"/>
      <c r="G25" s="422">
        <f t="shared" si="1"/>
        <v>296000</v>
      </c>
      <c r="I25" s="444"/>
      <c r="J25" s="64"/>
      <c r="K25" s="425">
        <f t="shared" si="2"/>
        <v>596500</v>
      </c>
      <c r="M25" s="454"/>
      <c r="N25" s="35"/>
      <c r="O25" s="422">
        <f t="shared" si="3"/>
        <v>1089333.32</v>
      </c>
      <c r="Q25" s="454"/>
      <c r="R25" s="35"/>
      <c r="S25" s="422">
        <f t="shared" si="4"/>
        <v>657500</v>
      </c>
      <c r="U25" s="454"/>
      <c r="V25" s="35"/>
      <c r="W25" s="422">
        <f t="shared" si="5"/>
        <v>-5000</v>
      </c>
    </row>
    <row r="26" ht="15.75" customHeight="1">
      <c r="A26" s="419"/>
      <c r="B26" s="463"/>
      <c r="C26" s="422">
        <f t="shared" si="6"/>
        <v>-1985480.7</v>
      </c>
      <c r="E26" s="433"/>
      <c r="F26" s="33"/>
      <c r="G26" s="422">
        <f t="shared" si="1"/>
        <v>296000</v>
      </c>
      <c r="I26" s="444"/>
      <c r="J26" s="64"/>
      <c r="K26" s="425">
        <f t="shared" si="2"/>
        <v>596500</v>
      </c>
      <c r="M26" s="454"/>
      <c r="N26" s="35"/>
      <c r="O26" s="422">
        <f t="shared" si="3"/>
        <v>1089333.32</v>
      </c>
      <c r="Q26" s="454"/>
      <c r="R26" s="35"/>
      <c r="S26" s="422">
        <f t="shared" si="4"/>
        <v>657500</v>
      </c>
      <c r="U26" s="454"/>
      <c r="V26" s="35"/>
      <c r="W26" s="422">
        <f t="shared" si="5"/>
        <v>-5000</v>
      </c>
    </row>
    <row r="27" ht="15.75" customHeight="1">
      <c r="A27" s="454"/>
      <c r="B27" s="457"/>
      <c r="C27" s="422">
        <f t="shared" si="6"/>
        <v>-1985480.7</v>
      </c>
      <c r="E27" s="444"/>
      <c r="F27" s="64"/>
      <c r="G27" s="422">
        <f t="shared" si="1"/>
        <v>296000</v>
      </c>
      <c r="I27" s="444"/>
      <c r="J27" s="64"/>
      <c r="K27" s="425">
        <f t="shared" si="2"/>
        <v>596500</v>
      </c>
      <c r="M27" s="454"/>
      <c r="N27" s="35"/>
      <c r="O27" s="422">
        <f t="shared" si="3"/>
        <v>1089333.32</v>
      </c>
      <c r="Q27" s="454"/>
      <c r="R27" s="35"/>
      <c r="S27" s="422">
        <f t="shared" si="4"/>
        <v>657500</v>
      </c>
      <c r="U27" s="454"/>
      <c r="V27" s="35"/>
      <c r="W27" s="422">
        <f t="shared" si="5"/>
        <v>-5000</v>
      </c>
    </row>
    <row r="28" ht="15.75" customHeight="1">
      <c r="A28" s="454"/>
      <c r="B28" s="457"/>
      <c r="C28" s="422">
        <f t="shared" si="6"/>
        <v>-1985480.7</v>
      </c>
      <c r="E28" s="444"/>
      <c r="F28" s="64"/>
      <c r="G28" s="422">
        <f t="shared" si="1"/>
        <v>296000</v>
      </c>
      <c r="I28" s="454"/>
      <c r="J28" s="35"/>
      <c r="K28" s="425">
        <f t="shared" si="2"/>
        <v>596500</v>
      </c>
      <c r="M28" s="454"/>
      <c r="N28" s="35"/>
      <c r="O28" s="422">
        <f t="shared" si="3"/>
        <v>1089333.32</v>
      </c>
      <c r="Q28" s="454"/>
      <c r="R28" s="35"/>
      <c r="S28" s="422">
        <f t="shared" si="4"/>
        <v>657500</v>
      </c>
      <c r="U28" s="454"/>
      <c r="V28" s="35"/>
      <c r="W28" s="422">
        <f t="shared" si="5"/>
        <v>-5000</v>
      </c>
    </row>
    <row r="29" ht="15.75" customHeight="1">
      <c r="A29" s="454"/>
      <c r="B29" s="457"/>
      <c r="C29" s="422">
        <f t="shared" si="6"/>
        <v>-1985480.7</v>
      </c>
      <c r="E29" s="443"/>
      <c r="F29" s="462"/>
      <c r="G29" s="422">
        <f t="shared" si="1"/>
        <v>296000</v>
      </c>
      <c r="I29" s="454"/>
      <c r="J29" s="35"/>
      <c r="K29" s="425">
        <f t="shared" si="2"/>
        <v>596500</v>
      </c>
      <c r="M29" s="454"/>
      <c r="N29" s="35"/>
      <c r="O29" s="422">
        <f t="shared" si="3"/>
        <v>1089333.32</v>
      </c>
      <c r="Q29" s="454"/>
      <c r="R29" s="35"/>
      <c r="S29" s="422">
        <f t="shared" si="4"/>
        <v>657500</v>
      </c>
      <c r="U29" s="454"/>
      <c r="V29" s="35"/>
      <c r="W29" s="422">
        <f t="shared" si="5"/>
        <v>-5000</v>
      </c>
    </row>
    <row r="30" ht="15.75" customHeight="1">
      <c r="A30" s="454"/>
      <c r="B30" s="457"/>
      <c r="C30" s="422">
        <f t="shared" si="6"/>
        <v>-1985480.7</v>
      </c>
      <c r="E30" s="444"/>
      <c r="F30" s="35"/>
      <c r="G30" s="422">
        <f t="shared" si="1"/>
        <v>296000</v>
      </c>
      <c r="I30" s="454"/>
      <c r="J30" s="35"/>
      <c r="K30" s="425">
        <f t="shared" si="2"/>
        <v>596500</v>
      </c>
      <c r="M30" s="454"/>
      <c r="N30" s="35"/>
      <c r="O30" s="422">
        <f t="shared" si="3"/>
        <v>1089333.32</v>
      </c>
      <c r="Q30" s="454"/>
      <c r="R30" s="35"/>
      <c r="S30" s="422">
        <f t="shared" si="4"/>
        <v>657500</v>
      </c>
      <c r="U30" s="454"/>
      <c r="V30" s="35"/>
      <c r="W30" s="422">
        <f t="shared" si="5"/>
        <v>-5000</v>
      </c>
    </row>
    <row r="31" ht="15.75" customHeight="1">
      <c r="A31" s="454"/>
      <c r="B31" s="457"/>
      <c r="C31" s="422">
        <f t="shared" si="6"/>
        <v>-1985480.7</v>
      </c>
      <c r="E31" s="444"/>
      <c r="F31" s="64"/>
      <c r="G31" s="422">
        <f t="shared" si="1"/>
        <v>296000</v>
      </c>
      <c r="I31" s="454"/>
      <c r="J31" s="35"/>
      <c r="K31" s="425">
        <f t="shared" si="2"/>
        <v>596500</v>
      </c>
      <c r="M31" s="454"/>
      <c r="N31" s="35"/>
      <c r="O31" s="422">
        <f t="shared" si="3"/>
        <v>1089333.32</v>
      </c>
      <c r="Q31" s="454"/>
      <c r="R31" s="35"/>
      <c r="S31" s="422">
        <f t="shared" si="4"/>
        <v>657500</v>
      </c>
      <c r="U31" s="454"/>
      <c r="V31" s="35"/>
      <c r="W31" s="422">
        <f t="shared" si="5"/>
        <v>-5000</v>
      </c>
    </row>
    <row r="32" ht="15.75" customHeight="1">
      <c r="A32" s="454"/>
      <c r="B32" s="457"/>
      <c r="C32" s="422">
        <f t="shared" si="6"/>
        <v>-1985480.7</v>
      </c>
      <c r="E32" s="455"/>
      <c r="F32" s="455"/>
      <c r="G32" s="422">
        <f t="shared" si="1"/>
        <v>296000</v>
      </c>
      <c r="I32" s="454"/>
      <c r="J32" s="35"/>
      <c r="K32" s="425">
        <f t="shared" si="2"/>
        <v>596500</v>
      </c>
      <c r="M32" s="454"/>
      <c r="N32" s="35"/>
      <c r="O32" s="422">
        <f t="shared" si="3"/>
        <v>1089333.32</v>
      </c>
      <c r="Q32" s="454"/>
      <c r="R32" s="35"/>
      <c r="S32" s="422">
        <f t="shared" si="4"/>
        <v>657500</v>
      </c>
      <c r="U32" s="454"/>
      <c r="V32" s="35"/>
      <c r="W32" s="422">
        <f t="shared" si="5"/>
        <v>-5000</v>
      </c>
    </row>
    <row r="33" ht="15.75" customHeight="1">
      <c r="A33" s="454"/>
      <c r="B33" s="457"/>
      <c r="C33" s="422">
        <f t="shared" si="6"/>
        <v>-1985480.7</v>
      </c>
      <c r="E33" s="443"/>
      <c r="F33" s="462"/>
      <c r="G33" s="422">
        <f t="shared" si="1"/>
        <v>296000</v>
      </c>
      <c r="I33" s="454"/>
      <c r="J33" s="35"/>
      <c r="K33" s="425">
        <f t="shared" si="2"/>
        <v>596500</v>
      </c>
      <c r="M33" s="454"/>
      <c r="N33" s="35"/>
      <c r="O33" s="422">
        <f t="shared" si="3"/>
        <v>1089333.32</v>
      </c>
      <c r="Q33" s="454"/>
      <c r="R33" s="35"/>
      <c r="S33" s="422">
        <f t="shared" si="4"/>
        <v>657500</v>
      </c>
      <c r="U33" s="454"/>
      <c r="V33" s="35"/>
      <c r="W33" s="422">
        <f t="shared" si="5"/>
        <v>-5000</v>
      </c>
    </row>
    <row r="34" ht="15.75" customHeight="1">
      <c r="A34" s="454"/>
      <c r="B34" s="457"/>
      <c r="C34" s="422">
        <f t="shared" si="6"/>
        <v>-1985480.7</v>
      </c>
      <c r="E34" s="444"/>
      <c r="F34" s="64"/>
      <c r="G34" s="422">
        <f t="shared" si="1"/>
        <v>296000</v>
      </c>
      <c r="I34" s="454"/>
      <c r="J34" s="35"/>
      <c r="K34" s="425">
        <f t="shared" si="2"/>
        <v>596500</v>
      </c>
      <c r="M34" s="454"/>
      <c r="N34" s="35"/>
      <c r="O34" s="422">
        <f t="shared" si="3"/>
        <v>1089333.32</v>
      </c>
      <c r="Q34" s="454"/>
      <c r="R34" s="35"/>
      <c r="S34" s="422">
        <f t="shared" si="4"/>
        <v>657500</v>
      </c>
      <c r="U34" s="454"/>
      <c r="V34" s="35"/>
      <c r="W34" s="422">
        <f t="shared" si="5"/>
        <v>-5000</v>
      </c>
    </row>
    <row r="35" ht="15.75" customHeight="1">
      <c r="A35" s="454"/>
      <c r="B35" s="457"/>
      <c r="C35" s="422">
        <f t="shared" si="6"/>
        <v>-1985480.7</v>
      </c>
      <c r="E35" s="444"/>
      <c r="F35" s="64"/>
      <c r="G35" s="422">
        <f t="shared" si="1"/>
        <v>296000</v>
      </c>
      <c r="I35" s="454"/>
      <c r="J35" s="35"/>
      <c r="K35" s="425">
        <f t="shared" si="2"/>
        <v>596500</v>
      </c>
      <c r="M35" s="454"/>
      <c r="N35" s="35"/>
      <c r="O35" s="422">
        <f t="shared" si="3"/>
        <v>1089333.32</v>
      </c>
      <c r="Q35" s="454"/>
      <c r="R35" s="35"/>
      <c r="S35" s="422">
        <f t="shared" si="4"/>
        <v>657500</v>
      </c>
      <c r="U35" s="454"/>
      <c r="V35" s="35"/>
      <c r="W35" s="422">
        <f t="shared" si="5"/>
        <v>-5000</v>
      </c>
    </row>
    <row r="36" ht="15.75" customHeight="1">
      <c r="A36" s="454"/>
      <c r="B36" s="35"/>
      <c r="C36" s="422"/>
      <c r="E36" s="444"/>
      <c r="F36" s="64"/>
      <c r="G36" s="422"/>
      <c r="I36" s="454"/>
      <c r="J36" s="35"/>
      <c r="K36" s="422"/>
      <c r="M36" s="454"/>
      <c r="N36" s="35"/>
      <c r="O36" s="422"/>
      <c r="Q36" s="454"/>
      <c r="R36" s="35"/>
      <c r="S36" s="422"/>
      <c r="U36" s="454"/>
      <c r="V36" s="35"/>
      <c r="W36" s="422"/>
    </row>
    <row r="37" ht="15.75" customHeight="1">
      <c r="A37" s="454"/>
      <c r="B37" s="35"/>
      <c r="C37" s="422"/>
      <c r="E37" s="443"/>
      <c r="F37" s="462"/>
      <c r="G37" s="422"/>
      <c r="I37" s="454"/>
      <c r="J37" s="35"/>
      <c r="K37" s="422"/>
      <c r="M37" s="454"/>
      <c r="N37" s="35"/>
      <c r="O37" s="422"/>
      <c r="Q37" s="454"/>
      <c r="R37" s="35"/>
      <c r="S37" s="422"/>
      <c r="U37" s="454"/>
      <c r="V37" s="35"/>
      <c r="W37" s="422"/>
    </row>
    <row r="38" ht="15.75" customHeight="1">
      <c r="A38" s="454"/>
      <c r="B38" s="35"/>
      <c r="C38" s="422">
        <f>C35</f>
        <v>-1985480.7</v>
      </c>
      <c r="E38" s="454"/>
      <c r="F38" s="35"/>
      <c r="G38" s="422">
        <f>G35</f>
        <v>296000</v>
      </c>
      <c r="I38" s="454"/>
      <c r="J38" s="35"/>
      <c r="K38" s="422">
        <f>K35</f>
        <v>596500</v>
      </c>
      <c r="M38" s="454"/>
      <c r="N38" s="35"/>
      <c r="O38" s="464">
        <f>O35</f>
        <v>1089333.32</v>
      </c>
      <c r="Q38" s="454"/>
      <c r="R38" s="35"/>
      <c r="S38" s="422">
        <f>S35</f>
        <v>657500</v>
      </c>
      <c r="U38" s="454"/>
      <c r="V38" s="35"/>
      <c r="W38" s="422">
        <f>W35</f>
        <v>-5000</v>
      </c>
    </row>
    <row r="39" ht="15.75" customHeight="1">
      <c r="A39" s="454"/>
      <c r="B39" s="35"/>
      <c r="C39" s="422"/>
      <c r="E39" s="454"/>
      <c r="F39" s="35"/>
      <c r="G39" s="422"/>
      <c r="I39" s="454"/>
      <c r="J39" s="35"/>
      <c r="K39" s="422"/>
      <c r="M39" s="454"/>
      <c r="N39" s="35"/>
      <c r="O39" s="464"/>
      <c r="Q39" s="454"/>
      <c r="R39" s="35"/>
      <c r="S39" s="422"/>
      <c r="U39" s="454"/>
      <c r="V39" s="35"/>
      <c r="W39" s="422"/>
    </row>
    <row r="40" ht="15.75" customHeight="1">
      <c r="A40" s="465"/>
      <c r="B40" s="466"/>
      <c r="C40" s="467"/>
      <c r="E40" s="465"/>
      <c r="F40" s="466"/>
      <c r="G40" s="467"/>
      <c r="I40" s="465"/>
      <c r="J40" s="466"/>
      <c r="K40" s="467"/>
      <c r="M40" s="465"/>
      <c r="N40" s="466"/>
      <c r="O40" s="467"/>
      <c r="Q40" s="465"/>
      <c r="R40" s="466"/>
      <c r="S40" s="467"/>
      <c r="U40" s="465"/>
      <c r="V40" s="466"/>
      <c r="W40" s="467"/>
    </row>
    <row r="41" ht="15.75" customHeight="1">
      <c r="C41" s="218"/>
    </row>
    <row r="42" ht="15.75" customHeight="1">
      <c r="C42" s="217" t="s">
        <v>13</v>
      </c>
      <c r="G42" s="33" t="s">
        <v>13</v>
      </c>
    </row>
    <row r="43" ht="15.75" customHeight="1">
      <c r="A43" s="468" t="s">
        <v>540</v>
      </c>
      <c r="C43" s="217">
        <f>C38+G38+K38+O38+S38+W38</f>
        <v>648852.62</v>
      </c>
    </row>
    <row r="44" ht="15.75" customHeight="1">
      <c r="C44" s="218"/>
    </row>
    <row r="45" ht="15.75" customHeight="1">
      <c r="C45" s="218"/>
    </row>
    <row r="46" ht="15.75" customHeight="1">
      <c r="C46" s="218"/>
    </row>
    <row r="47" ht="15.75" customHeight="1">
      <c r="C47" s="218"/>
    </row>
    <row r="48" ht="15.75" customHeight="1">
      <c r="C48" s="218"/>
    </row>
    <row r="49" ht="15.75" customHeight="1">
      <c r="C49" s="218"/>
    </row>
    <row r="50" ht="15.75" customHeight="1">
      <c r="C50" s="218"/>
    </row>
    <row r="51" ht="15.75" customHeight="1">
      <c r="C51" s="218"/>
    </row>
    <row r="52" ht="15.75" customHeight="1">
      <c r="C52" s="218"/>
    </row>
    <row r="53" ht="15.75" customHeight="1">
      <c r="C53" s="218"/>
    </row>
    <row r="54" ht="15.75" customHeight="1">
      <c r="C54" s="218"/>
    </row>
    <row r="55" ht="15.75" customHeight="1">
      <c r="C55" s="218"/>
    </row>
    <row r="56" ht="15.75" customHeight="1">
      <c r="C56" s="218"/>
    </row>
    <row r="57" ht="15.75" customHeight="1">
      <c r="C57" s="218"/>
    </row>
    <row r="58" ht="15.75" customHeight="1">
      <c r="C58" s="218"/>
    </row>
    <row r="59" ht="15.75" customHeight="1">
      <c r="C59" s="218"/>
    </row>
    <row r="60" ht="15.75" customHeight="1">
      <c r="C60" s="218"/>
    </row>
    <row r="61" ht="15.75" customHeight="1">
      <c r="C61" s="218"/>
    </row>
    <row r="62" ht="15.75" customHeight="1">
      <c r="C62" s="218"/>
    </row>
    <row r="63" ht="15.75" customHeight="1">
      <c r="C63" s="218"/>
    </row>
    <row r="64" ht="15.75" customHeight="1">
      <c r="C64" s="218"/>
    </row>
    <row r="65" ht="15.75" customHeight="1">
      <c r="C65" s="218"/>
    </row>
    <row r="66" ht="15.75" customHeight="1">
      <c r="C66" s="218"/>
    </row>
    <row r="67" ht="15.75" customHeight="1">
      <c r="C67" s="218"/>
    </row>
    <row r="68" ht="15.75" customHeight="1">
      <c r="C68" s="218"/>
    </row>
    <row r="69" ht="15.75" customHeight="1">
      <c r="C69" s="218"/>
    </row>
    <row r="70" ht="15.75" customHeight="1">
      <c r="C70" s="218"/>
    </row>
    <row r="71" ht="15.75" customHeight="1">
      <c r="C71" s="218"/>
    </row>
    <row r="72" ht="15.75" customHeight="1">
      <c r="C72" s="218"/>
    </row>
    <row r="73" ht="15.75" customHeight="1">
      <c r="C73" s="218"/>
    </row>
    <row r="74" ht="15.75" customHeight="1">
      <c r="C74" s="218"/>
    </row>
    <row r="75" ht="15.75" customHeight="1">
      <c r="C75" s="218"/>
    </row>
    <row r="76" ht="15.75" customHeight="1">
      <c r="C76" s="218"/>
    </row>
    <row r="77" ht="15.75" customHeight="1">
      <c r="C77" s="218"/>
    </row>
    <row r="78" ht="15.75" customHeight="1">
      <c r="C78" s="218"/>
    </row>
    <row r="79" ht="15.75" customHeight="1">
      <c r="C79" s="218"/>
    </row>
    <row r="80" ht="15.75" customHeight="1">
      <c r="C80" s="218"/>
    </row>
    <row r="81" ht="15.75" customHeight="1">
      <c r="C81" s="218"/>
    </row>
    <row r="82" ht="15.75" customHeight="1">
      <c r="C82" s="218"/>
    </row>
    <row r="83" ht="15.75" customHeight="1">
      <c r="C83" s="218"/>
    </row>
    <row r="84" ht="15.75" customHeight="1">
      <c r="C84" s="218"/>
    </row>
    <row r="85" ht="15.75" customHeight="1">
      <c r="C85" s="218"/>
    </row>
    <row r="86" ht="15.75" customHeight="1">
      <c r="C86" s="218"/>
    </row>
    <row r="87" ht="15.75" customHeight="1">
      <c r="C87" s="218"/>
    </row>
    <row r="88" ht="15.75" customHeight="1">
      <c r="C88" s="218"/>
    </row>
    <row r="89" ht="15.75" customHeight="1">
      <c r="C89" s="218"/>
    </row>
    <row r="90" ht="15.75" customHeight="1">
      <c r="C90" s="218"/>
    </row>
    <row r="91" ht="15.75" customHeight="1">
      <c r="C91" s="218"/>
    </row>
    <row r="92" ht="15.75" customHeight="1">
      <c r="C92" s="218"/>
    </row>
    <row r="93" ht="15.75" customHeight="1">
      <c r="C93" s="218"/>
    </row>
    <row r="94" ht="15.75" customHeight="1">
      <c r="C94" s="218"/>
    </row>
    <row r="95" ht="15.75" customHeight="1">
      <c r="C95" s="218"/>
    </row>
    <row r="96" ht="15.75" customHeight="1">
      <c r="C96" s="218"/>
    </row>
    <row r="97" ht="15.75" customHeight="1">
      <c r="C97" s="218"/>
    </row>
    <row r="98" ht="15.75" customHeight="1">
      <c r="C98" s="218"/>
    </row>
    <row r="99" ht="15.75" customHeight="1">
      <c r="C99" s="218"/>
    </row>
    <row r="100" ht="15.75" customHeight="1">
      <c r="C100" s="218"/>
    </row>
    <row r="101" ht="15.75" customHeight="1">
      <c r="C101" s="218"/>
    </row>
    <row r="102" ht="15.75" customHeight="1">
      <c r="C102" s="218"/>
    </row>
    <row r="103" ht="15.75" customHeight="1">
      <c r="C103" s="218"/>
    </row>
    <row r="104" ht="15.75" customHeight="1">
      <c r="C104" s="218"/>
    </row>
    <row r="105" ht="15.75" customHeight="1">
      <c r="C105" s="218"/>
    </row>
    <row r="106" ht="15.75" customHeight="1">
      <c r="C106" s="218"/>
    </row>
    <row r="107" ht="15.75" customHeight="1">
      <c r="C107" s="218"/>
    </row>
    <row r="108" ht="15.75" customHeight="1">
      <c r="C108" s="218"/>
    </row>
    <row r="109" ht="15.75" customHeight="1">
      <c r="C109" s="218"/>
    </row>
    <row r="110" ht="15.75" customHeight="1">
      <c r="C110" s="218"/>
    </row>
    <row r="111" ht="15.75" customHeight="1">
      <c r="C111" s="218"/>
    </row>
    <row r="112" ht="15.75" customHeight="1">
      <c r="C112" s="218"/>
    </row>
    <row r="113" ht="15.75" customHeight="1">
      <c r="C113" s="218"/>
    </row>
    <row r="114" ht="15.75" customHeight="1">
      <c r="C114" s="218"/>
    </row>
    <row r="115" ht="15.75" customHeight="1">
      <c r="C115" s="218"/>
    </row>
    <row r="116" ht="15.75" customHeight="1">
      <c r="C116" s="218"/>
    </row>
    <row r="117" ht="15.75" customHeight="1">
      <c r="C117" s="218"/>
    </row>
    <row r="118" ht="15.75" customHeight="1">
      <c r="C118" s="218"/>
    </row>
    <row r="119" ht="15.75" customHeight="1">
      <c r="C119" s="218"/>
    </row>
    <row r="120" ht="15.75" customHeight="1">
      <c r="C120" s="218"/>
    </row>
    <row r="121" ht="15.75" customHeight="1">
      <c r="C121" s="218"/>
    </row>
    <row r="122" ht="15.75" customHeight="1">
      <c r="C122" s="218"/>
    </row>
    <row r="123" ht="15.75" customHeight="1">
      <c r="C123" s="218"/>
    </row>
    <row r="124" ht="15.75" customHeight="1">
      <c r="C124" s="218"/>
    </row>
    <row r="125" ht="15.75" customHeight="1">
      <c r="C125" s="218"/>
    </row>
    <row r="126" ht="15.75" customHeight="1">
      <c r="C126" s="218"/>
    </row>
    <row r="127" ht="15.75" customHeight="1">
      <c r="C127" s="218"/>
    </row>
    <row r="128" ht="15.75" customHeight="1">
      <c r="C128" s="218"/>
    </row>
    <row r="129" ht="15.75" customHeight="1">
      <c r="C129" s="218"/>
    </row>
    <row r="130" ht="15.75" customHeight="1">
      <c r="C130" s="218"/>
    </row>
    <row r="131" ht="15.75" customHeight="1">
      <c r="C131" s="218"/>
    </row>
    <row r="132" ht="15.75" customHeight="1">
      <c r="C132" s="218"/>
    </row>
    <row r="133" ht="15.75" customHeight="1">
      <c r="C133" s="218"/>
    </row>
    <row r="134" ht="15.75" customHeight="1">
      <c r="C134" s="218"/>
    </row>
    <row r="135" ht="15.75" customHeight="1">
      <c r="C135" s="218"/>
    </row>
    <row r="136" ht="15.75" customHeight="1">
      <c r="C136" s="218"/>
    </row>
    <row r="137" ht="15.75" customHeight="1">
      <c r="C137" s="218"/>
    </row>
    <row r="138" ht="15.75" customHeight="1">
      <c r="C138" s="218"/>
    </row>
    <row r="139" ht="15.75" customHeight="1">
      <c r="C139" s="218"/>
    </row>
    <row r="140" ht="15.75" customHeight="1">
      <c r="C140" s="218"/>
    </row>
    <row r="141" ht="15.75" customHeight="1">
      <c r="C141" s="218"/>
    </row>
    <row r="142" ht="15.75" customHeight="1">
      <c r="C142" s="218"/>
    </row>
    <row r="143" ht="15.75" customHeight="1">
      <c r="C143" s="218"/>
    </row>
    <row r="144" ht="15.75" customHeight="1">
      <c r="C144" s="218"/>
    </row>
    <row r="145" ht="15.75" customHeight="1">
      <c r="C145" s="218"/>
    </row>
    <row r="146" ht="15.75" customHeight="1">
      <c r="C146" s="218"/>
    </row>
    <row r="147" ht="15.75" customHeight="1">
      <c r="C147" s="218"/>
    </row>
    <row r="148" ht="15.75" customHeight="1">
      <c r="C148" s="218"/>
    </row>
    <row r="149" ht="15.75" customHeight="1">
      <c r="C149" s="218"/>
    </row>
    <row r="150" ht="15.75" customHeight="1">
      <c r="C150" s="218"/>
    </row>
    <row r="151" ht="15.75" customHeight="1">
      <c r="C151" s="218"/>
    </row>
    <row r="152" ht="15.75" customHeight="1">
      <c r="C152" s="218"/>
    </row>
    <row r="153" ht="15.75" customHeight="1">
      <c r="C153" s="218"/>
    </row>
    <row r="154" ht="15.75" customHeight="1">
      <c r="C154" s="218"/>
    </row>
    <row r="155" ht="15.75" customHeight="1">
      <c r="C155" s="218"/>
    </row>
    <row r="156" ht="15.75" customHeight="1">
      <c r="C156" s="218"/>
    </row>
    <row r="157" ht="15.75" customHeight="1">
      <c r="C157" s="218"/>
    </row>
    <row r="158" ht="15.75" customHeight="1">
      <c r="C158" s="218"/>
    </row>
    <row r="159" ht="15.75" customHeight="1">
      <c r="C159" s="218"/>
    </row>
    <row r="160" ht="15.75" customHeight="1">
      <c r="C160" s="218"/>
    </row>
    <row r="161" ht="15.75" customHeight="1">
      <c r="C161" s="218"/>
    </row>
    <row r="162" ht="15.75" customHeight="1">
      <c r="C162" s="218"/>
    </row>
    <row r="163" ht="15.75" customHeight="1">
      <c r="C163" s="218"/>
    </row>
    <row r="164" ht="15.75" customHeight="1">
      <c r="C164" s="218"/>
    </row>
    <row r="165" ht="15.75" customHeight="1">
      <c r="C165" s="218"/>
    </row>
    <row r="166" ht="15.75" customHeight="1">
      <c r="C166" s="218"/>
    </row>
    <row r="167" ht="15.75" customHeight="1">
      <c r="C167" s="218"/>
    </row>
    <row r="168" ht="15.75" customHeight="1">
      <c r="C168" s="218"/>
    </row>
    <row r="169" ht="15.75" customHeight="1">
      <c r="C169" s="218"/>
    </row>
    <row r="170" ht="15.75" customHeight="1">
      <c r="C170" s="218"/>
    </row>
    <row r="171" ht="15.75" customHeight="1">
      <c r="C171" s="218"/>
    </row>
    <row r="172" ht="15.75" customHeight="1">
      <c r="C172" s="218"/>
    </row>
    <row r="173" ht="15.75" customHeight="1">
      <c r="C173" s="218"/>
    </row>
    <row r="174" ht="15.75" customHeight="1">
      <c r="C174" s="218"/>
    </row>
    <row r="175" ht="15.75" customHeight="1">
      <c r="C175" s="218"/>
    </row>
    <row r="176" ht="15.75" customHeight="1">
      <c r="C176" s="218"/>
    </row>
    <row r="177" ht="15.75" customHeight="1">
      <c r="C177" s="218"/>
    </row>
    <row r="178" ht="15.75" customHeight="1">
      <c r="C178" s="218"/>
    </row>
    <row r="179" ht="15.75" customHeight="1">
      <c r="C179" s="218"/>
    </row>
    <row r="180" ht="15.75" customHeight="1">
      <c r="C180" s="218"/>
    </row>
    <row r="181" ht="15.75" customHeight="1">
      <c r="C181" s="218"/>
    </row>
    <row r="182" ht="15.75" customHeight="1">
      <c r="C182" s="218"/>
    </row>
    <row r="183" ht="15.75" customHeight="1">
      <c r="C183" s="218"/>
    </row>
    <row r="184" ht="15.75" customHeight="1">
      <c r="C184" s="218"/>
    </row>
    <row r="185" ht="15.75" customHeight="1">
      <c r="C185" s="218"/>
    </row>
    <row r="186" ht="15.75" customHeight="1">
      <c r="C186" s="218"/>
    </row>
    <row r="187" ht="15.75" customHeight="1">
      <c r="C187" s="218"/>
    </row>
    <row r="188" ht="15.75" customHeight="1">
      <c r="C188" s="218"/>
    </row>
    <row r="189" ht="15.75" customHeight="1">
      <c r="C189" s="218"/>
    </row>
    <row r="190" ht="15.75" customHeight="1">
      <c r="C190" s="218"/>
    </row>
    <row r="191" ht="15.75" customHeight="1">
      <c r="C191" s="218"/>
    </row>
    <row r="192" ht="15.75" customHeight="1">
      <c r="C192" s="218"/>
    </row>
    <row r="193" ht="15.75" customHeight="1">
      <c r="C193" s="218"/>
    </row>
    <row r="194" ht="15.75" customHeight="1">
      <c r="C194" s="218"/>
    </row>
    <row r="195" ht="15.75" customHeight="1">
      <c r="C195" s="218"/>
    </row>
    <row r="196" ht="15.75" customHeight="1">
      <c r="C196" s="218"/>
    </row>
    <row r="197" ht="15.75" customHeight="1">
      <c r="C197" s="218"/>
    </row>
    <row r="198" ht="15.75" customHeight="1">
      <c r="C198" s="218"/>
    </row>
    <row r="199" ht="15.75" customHeight="1">
      <c r="C199" s="218"/>
    </row>
    <row r="200" ht="15.75" customHeight="1">
      <c r="C200" s="218"/>
    </row>
    <row r="201" ht="15.75" customHeight="1">
      <c r="C201" s="218"/>
    </row>
    <row r="202" ht="15.75" customHeight="1">
      <c r="C202" s="218"/>
    </row>
    <row r="203" ht="15.75" customHeight="1">
      <c r="C203" s="218"/>
    </row>
    <row r="204" ht="15.75" customHeight="1">
      <c r="C204" s="218"/>
    </row>
    <row r="205" ht="15.75" customHeight="1">
      <c r="C205" s="218"/>
    </row>
    <row r="206" ht="15.75" customHeight="1">
      <c r="C206" s="218"/>
    </row>
    <row r="207" ht="15.75" customHeight="1">
      <c r="C207" s="218"/>
    </row>
    <row r="208" ht="15.75" customHeight="1">
      <c r="C208" s="218"/>
    </row>
    <row r="209" ht="15.75" customHeight="1">
      <c r="C209" s="218"/>
    </row>
    <row r="210" ht="15.75" customHeight="1">
      <c r="C210" s="218"/>
    </row>
    <row r="211" ht="15.75" customHeight="1">
      <c r="C211" s="218"/>
    </row>
    <row r="212" ht="15.75" customHeight="1">
      <c r="C212" s="218"/>
    </row>
    <row r="213" ht="15.75" customHeight="1">
      <c r="C213" s="218"/>
    </row>
    <row r="214" ht="15.75" customHeight="1">
      <c r="C214" s="218"/>
    </row>
    <row r="215" ht="15.75" customHeight="1">
      <c r="C215" s="218"/>
    </row>
    <row r="216" ht="15.75" customHeight="1">
      <c r="C216" s="218"/>
    </row>
    <row r="217" ht="15.75" customHeight="1">
      <c r="C217" s="218"/>
    </row>
    <row r="218" ht="15.75" customHeight="1">
      <c r="C218" s="218"/>
    </row>
    <row r="219" ht="15.75" customHeight="1">
      <c r="C219" s="218"/>
    </row>
    <row r="220" ht="15.75" customHeight="1">
      <c r="C220" s="218"/>
    </row>
    <row r="221" ht="15.75" customHeight="1">
      <c r="C221" s="218"/>
    </row>
    <row r="222" ht="15.75" customHeight="1">
      <c r="C222" s="218"/>
    </row>
    <row r="223" ht="15.75" customHeight="1">
      <c r="C223" s="218"/>
    </row>
    <row r="224" ht="15.75" customHeight="1">
      <c r="C224" s="218"/>
    </row>
    <row r="225" ht="15.75" customHeight="1">
      <c r="C225" s="218"/>
    </row>
    <row r="226" ht="15.75" customHeight="1">
      <c r="C226" s="218"/>
    </row>
    <row r="227" ht="15.75" customHeight="1">
      <c r="C227" s="218"/>
    </row>
    <row r="228" ht="15.75" customHeight="1">
      <c r="C228" s="218"/>
    </row>
    <row r="229" ht="15.75" customHeight="1">
      <c r="C229" s="218"/>
    </row>
    <row r="230" ht="15.75" customHeight="1">
      <c r="C230" s="218"/>
    </row>
    <row r="231" ht="15.75" customHeight="1">
      <c r="C231" s="218"/>
    </row>
    <row r="232" ht="15.75" customHeight="1">
      <c r="C232" s="218"/>
    </row>
    <row r="233" ht="15.75" customHeight="1">
      <c r="C233" s="218"/>
    </row>
    <row r="234" ht="15.75" customHeight="1">
      <c r="C234" s="218"/>
    </row>
    <row r="235" ht="15.75" customHeight="1">
      <c r="C235" s="218"/>
    </row>
    <row r="236" ht="15.75" customHeight="1">
      <c r="C236" s="218"/>
    </row>
    <row r="237" ht="15.75" customHeight="1">
      <c r="C237" s="218"/>
    </row>
    <row r="238" ht="15.75" customHeight="1">
      <c r="C238" s="218"/>
    </row>
    <row r="239" ht="15.75" customHeight="1">
      <c r="C239" s="218"/>
    </row>
    <row r="240" ht="15.75" customHeight="1">
      <c r="C240" s="218"/>
    </row>
    <row r="241" ht="15.75" customHeight="1">
      <c r="C241" s="218"/>
    </row>
    <row r="242" ht="15.75" customHeight="1">
      <c r="C242" s="218"/>
    </row>
    <row r="243" ht="15.75" customHeight="1">
      <c r="C243" s="218"/>
    </row>
    <row r="244" ht="15.75" customHeight="1">
      <c r="C244" s="218"/>
    </row>
    <row r="245" ht="15.75" customHeight="1">
      <c r="C245" s="218"/>
    </row>
    <row r="246" ht="15.75" customHeight="1">
      <c r="C246" s="218"/>
    </row>
    <row r="247" ht="15.75" customHeight="1">
      <c r="C247" s="218"/>
    </row>
    <row r="248" ht="15.75" customHeight="1">
      <c r="C248" s="218"/>
    </row>
    <row r="249" ht="15.75" customHeight="1">
      <c r="C249" s="218"/>
    </row>
    <row r="250" ht="15.75" customHeight="1">
      <c r="C250" s="218"/>
    </row>
    <row r="251" ht="15.75" customHeight="1">
      <c r="C251" s="218"/>
    </row>
    <row r="252" ht="15.75" customHeight="1">
      <c r="C252" s="218"/>
    </row>
    <row r="253" ht="15.75" customHeight="1">
      <c r="C253" s="218"/>
    </row>
    <row r="254" ht="15.75" customHeight="1">
      <c r="C254" s="218"/>
    </row>
    <row r="255" ht="15.75" customHeight="1">
      <c r="C255" s="218"/>
    </row>
    <row r="256" ht="15.75" customHeight="1">
      <c r="C256" s="218"/>
    </row>
    <row r="257" ht="15.75" customHeight="1">
      <c r="C257" s="218"/>
    </row>
    <row r="258" ht="15.75" customHeight="1">
      <c r="C258" s="218"/>
    </row>
    <row r="259" ht="15.75" customHeight="1">
      <c r="C259" s="218"/>
    </row>
    <row r="260" ht="15.75" customHeight="1">
      <c r="C260" s="218"/>
    </row>
    <row r="261" ht="15.75" customHeight="1">
      <c r="C261" s="218"/>
    </row>
    <row r="262" ht="15.75" customHeight="1">
      <c r="C262" s="218"/>
    </row>
    <row r="263" ht="15.75" customHeight="1">
      <c r="C263" s="218"/>
    </row>
    <row r="264" ht="15.75" customHeight="1">
      <c r="C264" s="218"/>
    </row>
    <row r="265" ht="15.75" customHeight="1">
      <c r="C265" s="218"/>
    </row>
    <row r="266" ht="15.75" customHeight="1">
      <c r="C266" s="218"/>
    </row>
    <row r="267" ht="15.75" customHeight="1">
      <c r="C267" s="218"/>
    </row>
    <row r="268" ht="15.75" customHeight="1">
      <c r="C268" s="218"/>
    </row>
    <row r="269" ht="15.75" customHeight="1">
      <c r="C269" s="218"/>
    </row>
    <row r="270" ht="15.75" customHeight="1">
      <c r="C270" s="218"/>
    </row>
    <row r="271" ht="15.75" customHeight="1">
      <c r="C271" s="218"/>
    </row>
    <row r="272" ht="15.75" customHeight="1">
      <c r="C272" s="218"/>
    </row>
    <row r="273" ht="15.75" customHeight="1">
      <c r="C273" s="218"/>
    </row>
    <row r="274" ht="15.75" customHeight="1">
      <c r="C274" s="218"/>
    </row>
    <row r="275" ht="15.75" customHeight="1">
      <c r="C275" s="218"/>
    </row>
    <row r="276" ht="15.75" customHeight="1">
      <c r="C276" s="218"/>
    </row>
    <row r="277" ht="15.75" customHeight="1">
      <c r="C277" s="218"/>
    </row>
    <row r="278" ht="15.75" customHeight="1">
      <c r="C278" s="218"/>
    </row>
    <row r="279" ht="15.75" customHeight="1">
      <c r="C279" s="218"/>
    </row>
    <row r="280" ht="15.75" customHeight="1">
      <c r="C280" s="218"/>
    </row>
    <row r="281" ht="15.75" customHeight="1">
      <c r="C281" s="218"/>
    </row>
    <row r="282" ht="15.75" customHeight="1">
      <c r="C282" s="218"/>
    </row>
    <row r="283" ht="15.75" customHeight="1">
      <c r="C283" s="218"/>
    </row>
    <row r="284" ht="15.75" customHeight="1">
      <c r="C284" s="218"/>
    </row>
    <row r="285" ht="15.75" customHeight="1">
      <c r="C285" s="218"/>
    </row>
    <row r="286" ht="15.75" customHeight="1">
      <c r="C286" s="218"/>
    </row>
    <row r="287" ht="15.75" customHeight="1">
      <c r="C287" s="218"/>
    </row>
    <row r="288" ht="15.75" customHeight="1">
      <c r="C288" s="218"/>
    </row>
    <row r="289" ht="15.75" customHeight="1">
      <c r="C289" s="218"/>
    </row>
    <row r="290" ht="15.75" customHeight="1">
      <c r="C290" s="218"/>
    </row>
    <row r="291" ht="15.75" customHeight="1">
      <c r="C291" s="218"/>
    </row>
    <row r="292" ht="15.75" customHeight="1">
      <c r="C292" s="218"/>
    </row>
    <row r="293" ht="15.75" customHeight="1">
      <c r="C293" s="218"/>
    </row>
    <row r="294" ht="15.75" customHeight="1">
      <c r="C294" s="218"/>
    </row>
    <row r="295" ht="15.75" customHeight="1">
      <c r="C295" s="218"/>
    </row>
    <row r="296" ht="15.75" customHeight="1">
      <c r="C296" s="218"/>
    </row>
    <row r="297" ht="15.75" customHeight="1">
      <c r="C297" s="218"/>
    </row>
    <row r="298" ht="15.75" customHeight="1">
      <c r="C298" s="218"/>
    </row>
    <row r="299" ht="15.75" customHeight="1">
      <c r="C299" s="218"/>
    </row>
    <row r="300" ht="15.75" customHeight="1">
      <c r="C300" s="218"/>
    </row>
    <row r="301" ht="15.75" customHeight="1">
      <c r="C301" s="218"/>
    </row>
    <row r="302" ht="15.75" customHeight="1">
      <c r="C302" s="218"/>
    </row>
    <row r="303" ht="15.75" customHeight="1">
      <c r="C303" s="218"/>
    </row>
    <row r="304" ht="15.75" customHeight="1">
      <c r="C304" s="218"/>
    </row>
    <row r="305" ht="15.75" customHeight="1">
      <c r="C305" s="218"/>
    </row>
    <row r="306" ht="15.75" customHeight="1">
      <c r="C306" s="218"/>
    </row>
    <row r="307" ht="15.75" customHeight="1">
      <c r="C307" s="218"/>
    </row>
    <row r="308" ht="15.75" customHeight="1">
      <c r="C308" s="218"/>
    </row>
    <row r="309" ht="15.75" customHeight="1">
      <c r="C309" s="218"/>
    </row>
    <row r="310" ht="15.75" customHeight="1">
      <c r="C310" s="218"/>
    </row>
    <row r="311" ht="15.75" customHeight="1">
      <c r="C311" s="218"/>
    </row>
    <row r="312" ht="15.75" customHeight="1">
      <c r="C312" s="218"/>
    </row>
    <row r="313" ht="15.75" customHeight="1">
      <c r="C313" s="218"/>
    </row>
    <row r="314" ht="15.75" customHeight="1">
      <c r="C314" s="218"/>
    </row>
    <row r="315" ht="15.75" customHeight="1">
      <c r="C315" s="218"/>
    </row>
    <row r="316" ht="15.75" customHeight="1">
      <c r="C316" s="218"/>
    </row>
    <row r="317" ht="15.75" customHeight="1">
      <c r="C317" s="218"/>
    </row>
    <row r="318" ht="15.75" customHeight="1">
      <c r="C318" s="218"/>
    </row>
    <row r="319" ht="15.75" customHeight="1">
      <c r="C319" s="218"/>
    </row>
    <row r="320" ht="15.75" customHeight="1">
      <c r="C320" s="218"/>
    </row>
    <row r="321" ht="15.75" customHeight="1">
      <c r="C321" s="218"/>
    </row>
    <row r="322" ht="15.75" customHeight="1">
      <c r="C322" s="218"/>
    </row>
    <row r="323" ht="15.75" customHeight="1">
      <c r="C323" s="218"/>
    </row>
    <row r="324" ht="15.75" customHeight="1">
      <c r="C324" s="218"/>
    </row>
    <row r="325" ht="15.75" customHeight="1">
      <c r="C325" s="218"/>
    </row>
    <row r="326" ht="15.75" customHeight="1">
      <c r="C326" s="218"/>
    </row>
    <row r="327" ht="15.75" customHeight="1">
      <c r="C327" s="218"/>
    </row>
    <row r="328" ht="15.75" customHeight="1">
      <c r="C328" s="218"/>
    </row>
    <row r="329" ht="15.75" customHeight="1">
      <c r="C329" s="218"/>
    </row>
    <row r="330" ht="15.75" customHeight="1">
      <c r="C330" s="218"/>
    </row>
    <row r="331" ht="15.75" customHeight="1">
      <c r="C331" s="218"/>
    </row>
    <row r="332" ht="15.75" customHeight="1">
      <c r="C332" s="218"/>
    </row>
    <row r="333" ht="15.75" customHeight="1">
      <c r="C333" s="218"/>
    </row>
    <row r="334" ht="15.75" customHeight="1">
      <c r="C334" s="218"/>
    </row>
    <row r="335" ht="15.75" customHeight="1">
      <c r="C335" s="218"/>
    </row>
    <row r="336" ht="15.75" customHeight="1">
      <c r="C336" s="218"/>
    </row>
    <row r="337" ht="15.75" customHeight="1">
      <c r="C337" s="218"/>
    </row>
    <row r="338" ht="15.75" customHeight="1">
      <c r="C338" s="218"/>
    </row>
    <row r="339" ht="15.75" customHeight="1">
      <c r="C339" s="218"/>
    </row>
    <row r="340" ht="15.75" customHeight="1">
      <c r="C340" s="218"/>
    </row>
    <row r="341" ht="15.75" customHeight="1">
      <c r="C341" s="218"/>
    </row>
    <row r="342" ht="15.75" customHeight="1">
      <c r="C342" s="218"/>
    </row>
    <row r="343" ht="15.75" customHeight="1">
      <c r="C343" s="218"/>
    </row>
    <row r="344" ht="15.75" customHeight="1">
      <c r="C344" s="218"/>
    </row>
    <row r="345" ht="15.75" customHeight="1">
      <c r="C345" s="218"/>
    </row>
    <row r="346" ht="15.75" customHeight="1">
      <c r="C346" s="218"/>
    </row>
    <row r="347" ht="15.75" customHeight="1">
      <c r="C347" s="218"/>
    </row>
    <row r="348" ht="15.75" customHeight="1">
      <c r="C348" s="218"/>
    </row>
    <row r="349" ht="15.75" customHeight="1">
      <c r="C349" s="218"/>
    </row>
    <row r="350" ht="15.75" customHeight="1">
      <c r="C350" s="218"/>
    </row>
    <row r="351" ht="15.75" customHeight="1">
      <c r="C351" s="218"/>
    </row>
    <row r="352" ht="15.75" customHeight="1">
      <c r="C352" s="218"/>
    </row>
    <row r="353" ht="15.75" customHeight="1">
      <c r="C353" s="218"/>
    </row>
    <row r="354" ht="15.75" customHeight="1">
      <c r="C354" s="218"/>
    </row>
    <row r="355" ht="15.75" customHeight="1">
      <c r="C355" s="218"/>
    </row>
    <row r="356" ht="15.75" customHeight="1">
      <c r="C356" s="218"/>
    </row>
    <row r="357" ht="15.75" customHeight="1">
      <c r="C357" s="218"/>
    </row>
    <row r="358" ht="15.75" customHeight="1">
      <c r="C358" s="218"/>
    </row>
    <row r="359" ht="15.75" customHeight="1">
      <c r="C359" s="218"/>
    </row>
    <row r="360" ht="15.75" customHeight="1">
      <c r="C360" s="218"/>
    </row>
    <row r="361" ht="15.75" customHeight="1">
      <c r="C361" s="218"/>
    </row>
    <row r="362" ht="15.75" customHeight="1">
      <c r="C362" s="218"/>
    </row>
    <row r="363" ht="15.75" customHeight="1">
      <c r="C363" s="218"/>
    </row>
    <row r="364" ht="15.75" customHeight="1">
      <c r="C364" s="218"/>
    </row>
    <row r="365" ht="15.75" customHeight="1">
      <c r="C365" s="218"/>
    </row>
    <row r="366" ht="15.75" customHeight="1">
      <c r="C366" s="218"/>
    </row>
    <row r="367" ht="15.75" customHeight="1">
      <c r="C367" s="218"/>
    </row>
    <row r="368" ht="15.75" customHeight="1">
      <c r="C368" s="218"/>
    </row>
    <row r="369" ht="15.75" customHeight="1">
      <c r="C369" s="218"/>
    </row>
    <row r="370" ht="15.75" customHeight="1">
      <c r="C370" s="218"/>
    </row>
    <row r="371" ht="15.75" customHeight="1">
      <c r="C371" s="218"/>
    </row>
    <row r="372" ht="15.75" customHeight="1">
      <c r="C372" s="218"/>
    </row>
    <row r="373" ht="15.75" customHeight="1">
      <c r="C373" s="218"/>
    </row>
    <row r="374" ht="15.75" customHeight="1">
      <c r="C374" s="218"/>
    </row>
    <row r="375" ht="15.75" customHeight="1">
      <c r="C375" s="218"/>
    </row>
    <row r="376" ht="15.75" customHeight="1">
      <c r="C376" s="218"/>
    </row>
    <row r="377" ht="15.75" customHeight="1">
      <c r="C377" s="218"/>
    </row>
    <row r="378" ht="15.75" customHeight="1">
      <c r="C378" s="218"/>
    </row>
    <row r="379" ht="15.75" customHeight="1">
      <c r="C379" s="218"/>
    </row>
    <row r="380" ht="15.75" customHeight="1">
      <c r="C380" s="218"/>
    </row>
    <row r="381" ht="15.75" customHeight="1">
      <c r="C381" s="218"/>
    </row>
    <row r="382" ht="15.75" customHeight="1">
      <c r="C382" s="218"/>
    </row>
    <row r="383" ht="15.75" customHeight="1">
      <c r="C383" s="218"/>
    </row>
    <row r="384" ht="15.75" customHeight="1">
      <c r="C384" s="218"/>
    </row>
    <row r="385" ht="15.75" customHeight="1">
      <c r="C385" s="218"/>
    </row>
    <row r="386" ht="15.75" customHeight="1">
      <c r="C386" s="218"/>
    </row>
    <row r="387" ht="15.75" customHeight="1">
      <c r="C387" s="218"/>
    </row>
    <row r="388" ht="15.75" customHeight="1">
      <c r="C388" s="218"/>
    </row>
    <row r="389" ht="15.75" customHeight="1">
      <c r="C389" s="218"/>
    </row>
    <row r="390" ht="15.75" customHeight="1">
      <c r="C390" s="218"/>
    </row>
    <row r="391" ht="15.75" customHeight="1">
      <c r="C391" s="218"/>
    </row>
    <row r="392" ht="15.75" customHeight="1">
      <c r="C392" s="218"/>
    </row>
    <row r="393" ht="15.75" customHeight="1">
      <c r="C393" s="218"/>
    </row>
    <row r="394" ht="15.75" customHeight="1">
      <c r="C394" s="218"/>
    </row>
    <row r="395" ht="15.75" customHeight="1">
      <c r="C395" s="218"/>
    </row>
    <row r="396" ht="15.75" customHeight="1">
      <c r="C396" s="218"/>
    </row>
    <row r="397" ht="15.75" customHeight="1">
      <c r="C397" s="218"/>
    </row>
    <row r="398" ht="15.75" customHeight="1">
      <c r="C398" s="218"/>
    </row>
    <row r="399" ht="15.75" customHeight="1">
      <c r="C399" s="218"/>
    </row>
    <row r="400" ht="15.75" customHeight="1">
      <c r="C400" s="218"/>
    </row>
    <row r="401" ht="15.75" customHeight="1">
      <c r="C401" s="218"/>
    </row>
    <row r="402" ht="15.75" customHeight="1">
      <c r="C402" s="218"/>
    </row>
    <row r="403" ht="15.75" customHeight="1">
      <c r="C403" s="218"/>
    </row>
    <row r="404" ht="15.75" customHeight="1">
      <c r="C404" s="218"/>
    </row>
    <row r="405" ht="15.75" customHeight="1">
      <c r="C405" s="218"/>
    </row>
    <row r="406" ht="15.75" customHeight="1">
      <c r="C406" s="218"/>
    </row>
    <row r="407" ht="15.75" customHeight="1">
      <c r="C407" s="218"/>
    </row>
    <row r="408" ht="15.75" customHeight="1">
      <c r="C408" s="218"/>
    </row>
    <row r="409" ht="15.75" customHeight="1">
      <c r="C409" s="218"/>
    </row>
    <row r="410" ht="15.75" customHeight="1">
      <c r="C410" s="218"/>
    </row>
    <row r="411" ht="15.75" customHeight="1">
      <c r="C411" s="218"/>
    </row>
    <row r="412" ht="15.75" customHeight="1">
      <c r="C412" s="218"/>
    </row>
    <row r="413" ht="15.75" customHeight="1">
      <c r="C413" s="218"/>
    </row>
    <row r="414" ht="15.75" customHeight="1">
      <c r="C414" s="218"/>
    </row>
    <row r="415" ht="15.75" customHeight="1">
      <c r="C415" s="218"/>
    </row>
    <row r="416" ht="15.75" customHeight="1">
      <c r="C416" s="218"/>
    </row>
    <row r="417" ht="15.75" customHeight="1">
      <c r="C417" s="218"/>
    </row>
    <row r="418" ht="15.75" customHeight="1">
      <c r="C418" s="218"/>
    </row>
    <row r="419" ht="15.75" customHeight="1">
      <c r="C419" s="218"/>
    </row>
    <row r="420" ht="15.75" customHeight="1">
      <c r="C420" s="218"/>
    </row>
    <row r="421" ht="15.75" customHeight="1">
      <c r="C421" s="218"/>
    </row>
    <row r="422" ht="15.75" customHeight="1">
      <c r="C422" s="218"/>
    </row>
    <row r="423" ht="15.75" customHeight="1">
      <c r="C423" s="218"/>
    </row>
    <row r="424" ht="15.75" customHeight="1">
      <c r="C424" s="218"/>
    </row>
    <row r="425" ht="15.75" customHeight="1">
      <c r="C425" s="218"/>
    </row>
    <row r="426" ht="15.75" customHeight="1">
      <c r="C426" s="218"/>
    </row>
    <row r="427" ht="15.75" customHeight="1">
      <c r="C427" s="218"/>
    </row>
    <row r="428" ht="15.75" customHeight="1">
      <c r="C428" s="218"/>
    </row>
    <row r="429" ht="15.75" customHeight="1">
      <c r="C429" s="218"/>
    </row>
    <row r="430" ht="15.75" customHeight="1">
      <c r="C430" s="218"/>
    </row>
    <row r="431" ht="15.75" customHeight="1">
      <c r="C431" s="218"/>
    </row>
    <row r="432" ht="15.75" customHeight="1">
      <c r="C432" s="218"/>
    </row>
    <row r="433" ht="15.75" customHeight="1">
      <c r="C433" s="218"/>
    </row>
    <row r="434" ht="15.75" customHeight="1">
      <c r="C434" s="218"/>
    </row>
    <row r="435" ht="15.75" customHeight="1">
      <c r="C435" s="218"/>
    </row>
    <row r="436" ht="15.75" customHeight="1">
      <c r="C436" s="218"/>
    </row>
    <row r="437" ht="15.75" customHeight="1">
      <c r="C437" s="218"/>
    </row>
    <row r="438" ht="15.75" customHeight="1">
      <c r="C438" s="218"/>
    </row>
    <row r="439" ht="15.75" customHeight="1">
      <c r="C439" s="218"/>
    </row>
    <row r="440" ht="15.75" customHeight="1">
      <c r="C440" s="218"/>
    </row>
    <row r="441" ht="15.75" customHeight="1">
      <c r="C441" s="218"/>
    </row>
    <row r="442" ht="15.75" customHeight="1">
      <c r="C442" s="218"/>
    </row>
    <row r="443" ht="15.75" customHeight="1">
      <c r="C443" s="218"/>
    </row>
    <row r="444" ht="15.75" customHeight="1">
      <c r="C444" s="218"/>
    </row>
    <row r="445" ht="15.75" customHeight="1">
      <c r="C445" s="218"/>
    </row>
    <row r="446" ht="15.75" customHeight="1">
      <c r="C446" s="218"/>
    </row>
    <row r="447" ht="15.75" customHeight="1">
      <c r="C447" s="218"/>
    </row>
    <row r="448" ht="15.75" customHeight="1">
      <c r="C448" s="218"/>
    </row>
    <row r="449" ht="15.75" customHeight="1">
      <c r="C449" s="218"/>
    </row>
    <row r="450" ht="15.75" customHeight="1">
      <c r="C450" s="218"/>
    </row>
    <row r="451" ht="15.75" customHeight="1">
      <c r="C451" s="218"/>
    </row>
    <row r="452" ht="15.75" customHeight="1">
      <c r="C452" s="218"/>
    </row>
    <row r="453" ht="15.75" customHeight="1">
      <c r="C453" s="218"/>
    </row>
    <row r="454" ht="15.75" customHeight="1">
      <c r="C454" s="218"/>
    </row>
    <row r="455" ht="15.75" customHeight="1">
      <c r="C455" s="218"/>
    </row>
    <row r="456" ht="15.75" customHeight="1">
      <c r="C456" s="218"/>
    </row>
    <row r="457" ht="15.75" customHeight="1">
      <c r="C457" s="218"/>
    </row>
    <row r="458" ht="15.75" customHeight="1">
      <c r="C458" s="218"/>
    </row>
    <row r="459" ht="15.75" customHeight="1">
      <c r="C459" s="218"/>
    </row>
    <row r="460" ht="15.75" customHeight="1">
      <c r="C460" s="218"/>
    </row>
    <row r="461" ht="15.75" customHeight="1">
      <c r="C461" s="218"/>
    </row>
    <row r="462" ht="15.75" customHeight="1">
      <c r="C462" s="218"/>
    </row>
    <row r="463" ht="15.75" customHeight="1">
      <c r="C463" s="218"/>
    </row>
    <row r="464" ht="15.75" customHeight="1">
      <c r="C464" s="218"/>
    </row>
    <row r="465" ht="15.75" customHeight="1">
      <c r="C465" s="218"/>
    </row>
    <row r="466" ht="15.75" customHeight="1">
      <c r="C466" s="218"/>
    </row>
    <row r="467" ht="15.75" customHeight="1">
      <c r="C467" s="218"/>
    </row>
    <row r="468" ht="15.75" customHeight="1">
      <c r="C468" s="218"/>
    </row>
    <row r="469" ht="15.75" customHeight="1">
      <c r="C469" s="218"/>
    </row>
    <row r="470" ht="15.75" customHeight="1">
      <c r="C470" s="218"/>
    </row>
    <row r="471" ht="15.75" customHeight="1">
      <c r="C471" s="218"/>
    </row>
    <row r="472" ht="15.75" customHeight="1">
      <c r="C472" s="218"/>
    </row>
    <row r="473" ht="15.75" customHeight="1">
      <c r="C473" s="218"/>
    </row>
    <row r="474" ht="15.75" customHeight="1">
      <c r="C474" s="218"/>
    </row>
    <row r="475" ht="15.75" customHeight="1">
      <c r="C475" s="218"/>
    </row>
    <row r="476" ht="15.75" customHeight="1">
      <c r="C476" s="218"/>
    </row>
    <row r="477" ht="15.75" customHeight="1">
      <c r="C477" s="218"/>
    </row>
    <row r="478" ht="15.75" customHeight="1">
      <c r="C478" s="218"/>
    </row>
    <row r="479" ht="15.75" customHeight="1">
      <c r="C479" s="218"/>
    </row>
    <row r="480" ht="15.75" customHeight="1">
      <c r="C480" s="218"/>
    </row>
    <row r="481" ht="15.75" customHeight="1">
      <c r="C481" s="218"/>
    </row>
    <row r="482" ht="15.75" customHeight="1">
      <c r="C482" s="218"/>
    </row>
    <row r="483" ht="15.75" customHeight="1">
      <c r="C483" s="218"/>
    </row>
    <row r="484" ht="15.75" customHeight="1">
      <c r="C484" s="218"/>
    </row>
    <row r="485" ht="15.75" customHeight="1">
      <c r="C485" s="218"/>
    </row>
    <row r="486" ht="15.75" customHeight="1">
      <c r="C486" s="218"/>
    </row>
    <row r="487" ht="15.75" customHeight="1">
      <c r="C487" s="218"/>
    </row>
    <row r="488" ht="15.75" customHeight="1">
      <c r="C488" s="218"/>
    </row>
    <row r="489" ht="15.75" customHeight="1">
      <c r="C489" s="218"/>
    </row>
    <row r="490" ht="15.75" customHeight="1">
      <c r="C490" s="218"/>
    </row>
    <row r="491" ht="15.75" customHeight="1">
      <c r="C491" s="218"/>
    </row>
    <row r="492" ht="15.75" customHeight="1">
      <c r="C492" s="218"/>
    </row>
    <row r="493" ht="15.75" customHeight="1">
      <c r="C493" s="218"/>
    </row>
    <row r="494" ht="15.75" customHeight="1">
      <c r="C494" s="218"/>
    </row>
    <row r="495" ht="15.75" customHeight="1">
      <c r="C495" s="218"/>
    </row>
    <row r="496" ht="15.75" customHeight="1">
      <c r="C496" s="218"/>
    </row>
    <row r="497" ht="15.75" customHeight="1">
      <c r="C497" s="218"/>
    </row>
    <row r="498" ht="15.75" customHeight="1">
      <c r="C498" s="218"/>
    </row>
    <row r="499" ht="15.75" customHeight="1">
      <c r="C499" s="218"/>
    </row>
    <row r="500" ht="15.75" customHeight="1">
      <c r="C500" s="218"/>
    </row>
    <row r="501" ht="15.75" customHeight="1">
      <c r="C501" s="218"/>
    </row>
    <row r="502" ht="15.75" customHeight="1">
      <c r="C502" s="218"/>
    </row>
    <row r="503" ht="15.75" customHeight="1">
      <c r="C503" s="218"/>
    </row>
    <row r="504" ht="15.75" customHeight="1">
      <c r="C504" s="218"/>
    </row>
    <row r="505" ht="15.75" customHeight="1">
      <c r="C505" s="218"/>
    </row>
    <row r="506" ht="15.75" customHeight="1">
      <c r="C506" s="218"/>
    </row>
    <row r="507" ht="15.75" customHeight="1">
      <c r="C507" s="218"/>
    </row>
    <row r="508" ht="15.75" customHeight="1">
      <c r="C508" s="218"/>
    </row>
    <row r="509" ht="15.75" customHeight="1">
      <c r="C509" s="218"/>
    </row>
    <row r="510" ht="15.75" customHeight="1">
      <c r="C510" s="218"/>
    </row>
    <row r="511" ht="15.75" customHeight="1">
      <c r="C511" s="218"/>
    </row>
    <row r="512" ht="15.75" customHeight="1">
      <c r="C512" s="218"/>
    </row>
    <row r="513" ht="15.75" customHeight="1">
      <c r="C513" s="218"/>
    </row>
    <row r="514" ht="15.75" customHeight="1">
      <c r="C514" s="218"/>
    </row>
    <row r="515" ht="15.75" customHeight="1">
      <c r="C515" s="218"/>
    </row>
    <row r="516" ht="15.75" customHeight="1">
      <c r="C516" s="218"/>
    </row>
    <row r="517" ht="15.75" customHeight="1">
      <c r="C517" s="218"/>
    </row>
    <row r="518" ht="15.75" customHeight="1">
      <c r="C518" s="218"/>
    </row>
    <row r="519" ht="15.75" customHeight="1">
      <c r="C519" s="218"/>
    </row>
    <row r="520" ht="15.75" customHeight="1">
      <c r="C520" s="218"/>
    </row>
    <row r="521" ht="15.75" customHeight="1">
      <c r="C521" s="218"/>
    </row>
    <row r="522" ht="15.75" customHeight="1">
      <c r="C522" s="218"/>
    </row>
    <row r="523" ht="15.75" customHeight="1">
      <c r="C523" s="218"/>
    </row>
    <row r="524" ht="15.75" customHeight="1">
      <c r="C524" s="218"/>
    </row>
    <row r="525" ht="15.75" customHeight="1">
      <c r="C525" s="218"/>
    </row>
    <row r="526" ht="15.75" customHeight="1">
      <c r="C526" s="218"/>
    </row>
    <row r="527" ht="15.75" customHeight="1">
      <c r="C527" s="218"/>
    </row>
    <row r="528" ht="15.75" customHeight="1">
      <c r="C528" s="218"/>
    </row>
    <row r="529" ht="15.75" customHeight="1">
      <c r="C529" s="218"/>
    </row>
    <row r="530" ht="15.75" customHeight="1">
      <c r="C530" s="218"/>
    </row>
    <row r="531" ht="15.75" customHeight="1">
      <c r="C531" s="218"/>
    </row>
    <row r="532" ht="15.75" customHeight="1">
      <c r="C532" s="218"/>
    </row>
    <row r="533" ht="15.75" customHeight="1">
      <c r="C533" s="218"/>
    </row>
    <row r="534" ht="15.75" customHeight="1">
      <c r="C534" s="218"/>
    </row>
    <row r="535" ht="15.75" customHeight="1">
      <c r="C535" s="218"/>
    </row>
    <row r="536" ht="15.75" customHeight="1">
      <c r="C536" s="218"/>
    </row>
    <row r="537" ht="15.75" customHeight="1">
      <c r="C537" s="218"/>
    </row>
    <row r="538" ht="15.75" customHeight="1">
      <c r="C538" s="218"/>
    </row>
    <row r="539" ht="15.75" customHeight="1">
      <c r="C539" s="218"/>
    </row>
    <row r="540" ht="15.75" customHeight="1">
      <c r="C540" s="218"/>
    </row>
    <row r="541" ht="15.75" customHeight="1">
      <c r="C541" s="218"/>
    </row>
    <row r="542" ht="15.75" customHeight="1">
      <c r="C542" s="218"/>
    </row>
    <row r="543" ht="15.75" customHeight="1">
      <c r="C543" s="218"/>
    </row>
    <row r="544" ht="15.75" customHeight="1">
      <c r="C544" s="218"/>
    </row>
    <row r="545" ht="15.75" customHeight="1">
      <c r="C545" s="218"/>
    </row>
    <row r="546" ht="15.75" customHeight="1">
      <c r="C546" s="218"/>
    </row>
    <row r="547" ht="15.75" customHeight="1">
      <c r="C547" s="218"/>
    </row>
    <row r="548" ht="15.75" customHeight="1">
      <c r="C548" s="218"/>
    </row>
    <row r="549" ht="15.75" customHeight="1">
      <c r="C549" s="218"/>
    </row>
    <row r="550" ht="15.75" customHeight="1">
      <c r="C550" s="218"/>
    </row>
    <row r="551" ht="15.75" customHeight="1">
      <c r="C551" s="218"/>
    </row>
    <row r="552" ht="15.75" customHeight="1">
      <c r="C552" s="218"/>
    </row>
    <row r="553" ht="15.75" customHeight="1">
      <c r="C553" s="218"/>
    </row>
    <row r="554" ht="15.75" customHeight="1">
      <c r="C554" s="218"/>
    </row>
    <row r="555" ht="15.75" customHeight="1">
      <c r="C555" s="218"/>
    </row>
    <row r="556" ht="15.75" customHeight="1">
      <c r="C556" s="218"/>
    </row>
    <row r="557" ht="15.75" customHeight="1">
      <c r="C557" s="218"/>
    </row>
    <row r="558" ht="15.75" customHeight="1">
      <c r="C558" s="218"/>
    </row>
    <row r="559" ht="15.75" customHeight="1">
      <c r="C559" s="218"/>
    </row>
    <row r="560" ht="15.75" customHeight="1">
      <c r="C560" s="218"/>
    </row>
    <row r="561" ht="15.75" customHeight="1">
      <c r="C561" s="218"/>
    </row>
    <row r="562" ht="15.75" customHeight="1">
      <c r="C562" s="218"/>
    </row>
    <row r="563" ht="15.75" customHeight="1">
      <c r="C563" s="218"/>
    </row>
    <row r="564" ht="15.75" customHeight="1">
      <c r="C564" s="218"/>
    </row>
    <row r="565" ht="15.75" customHeight="1">
      <c r="C565" s="218"/>
    </row>
    <row r="566" ht="15.75" customHeight="1">
      <c r="C566" s="218"/>
    </row>
    <row r="567" ht="15.75" customHeight="1">
      <c r="C567" s="218"/>
    </row>
    <row r="568" ht="15.75" customHeight="1">
      <c r="C568" s="218"/>
    </row>
    <row r="569" ht="15.75" customHeight="1">
      <c r="C569" s="218"/>
    </row>
    <row r="570" ht="15.75" customHeight="1">
      <c r="C570" s="218"/>
    </row>
    <row r="571" ht="15.75" customHeight="1">
      <c r="C571" s="218"/>
    </row>
    <row r="572" ht="15.75" customHeight="1">
      <c r="C572" s="218"/>
    </row>
    <row r="573" ht="15.75" customHeight="1">
      <c r="C573" s="218"/>
    </row>
    <row r="574" ht="15.75" customHeight="1">
      <c r="C574" s="218"/>
    </row>
    <row r="575" ht="15.75" customHeight="1">
      <c r="C575" s="218"/>
    </row>
    <row r="576" ht="15.75" customHeight="1">
      <c r="C576" s="218"/>
    </row>
    <row r="577" ht="15.75" customHeight="1">
      <c r="C577" s="218"/>
    </row>
    <row r="578" ht="15.75" customHeight="1">
      <c r="C578" s="218"/>
    </row>
    <row r="579" ht="15.75" customHeight="1">
      <c r="C579" s="218"/>
    </row>
    <row r="580" ht="15.75" customHeight="1">
      <c r="C580" s="218"/>
    </row>
    <row r="581" ht="15.75" customHeight="1">
      <c r="C581" s="218"/>
    </row>
    <row r="582" ht="15.75" customHeight="1">
      <c r="C582" s="218"/>
    </row>
    <row r="583" ht="15.75" customHeight="1">
      <c r="C583" s="218"/>
    </row>
    <row r="584" ht="15.75" customHeight="1">
      <c r="C584" s="218"/>
    </row>
    <row r="585" ht="15.75" customHeight="1">
      <c r="C585" s="218"/>
    </row>
    <row r="586" ht="15.75" customHeight="1">
      <c r="C586" s="218"/>
    </row>
    <row r="587" ht="15.75" customHeight="1">
      <c r="C587" s="218"/>
    </row>
    <row r="588" ht="15.75" customHeight="1">
      <c r="C588" s="218"/>
    </row>
    <row r="589" ht="15.75" customHeight="1">
      <c r="C589" s="218"/>
    </row>
    <row r="590" ht="15.75" customHeight="1">
      <c r="C590" s="218"/>
    </row>
    <row r="591" ht="15.75" customHeight="1">
      <c r="C591" s="218"/>
    </row>
    <row r="592" ht="15.75" customHeight="1">
      <c r="C592" s="218"/>
    </row>
    <row r="593" ht="15.75" customHeight="1">
      <c r="C593" s="218"/>
    </row>
    <row r="594" ht="15.75" customHeight="1">
      <c r="C594" s="218"/>
    </row>
    <row r="595" ht="15.75" customHeight="1">
      <c r="C595" s="218"/>
    </row>
    <row r="596" ht="15.75" customHeight="1">
      <c r="C596" s="218"/>
    </row>
    <row r="597" ht="15.75" customHeight="1">
      <c r="C597" s="218"/>
    </row>
    <row r="598" ht="15.75" customHeight="1">
      <c r="C598" s="218"/>
    </row>
    <row r="599" ht="15.75" customHeight="1">
      <c r="C599" s="218"/>
    </row>
    <row r="600" ht="15.75" customHeight="1">
      <c r="C600" s="218"/>
    </row>
    <row r="601" ht="15.75" customHeight="1">
      <c r="C601" s="218"/>
    </row>
    <row r="602" ht="15.75" customHeight="1">
      <c r="C602" s="218"/>
    </row>
    <row r="603" ht="15.75" customHeight="1">
      <c r="C603" s="218"/>
    </row>
    <row r="604" ht="15.75" customHeight="1">
      <c r="C604" s="218"/>
    </row>
    <row r="605" ht="15.75" customHeight="1">
      <c r="C605" s="218"/>
    </row>
    <row r="606" ht="15.75" customHeight="1">
      <c r="C606" s="218"/>
    </row>
    <row r="607" ht="15.75" customHeight="1">
      <c r="C607" s="218"/>
    </row>
    <row r="608" ht="15.75" customHeight="1">
      <c r="C608" s="218"/>
    </row>
    <row r="609" ht="15.75" customHeight="1">
      <c r="C609" s="218"/>
    </row>
    <row r="610" ht="15.75" customHeight="1">
      <c r="C610" s="218"/>
    </row>
    <row r="611" ht="15.75" customHeight="1">
      <c r="C611" s="218"/>
    </row>
    <row r="612" ht="15.75" customHeight="1">
      <c r="C612" s="218"/>
    </row>
    <row r="613" ht="15.75" customHeight="1">
      <c r="C613" s="218"/>
    </row>
    <row r="614" ht="15.75" customHeight="1">
      <c r="C614" s="218"/>
    </row>
    <row r="615" ht="15.75" customHeight="1">
      <c r="C615" s="218"/>
    </row>
    <row r="616" ht="15.75" customHeight="1">
      <c r="C616" s="218"/>
    </row>
    <row r="617" ht="15.75" customHeight="1">
      <c r="C617" s="218"/>
    </row>
    <row r="618" ht="15.75" customHeight="1">
      <c r="C618" s="218"/>
    </row>
    <row r="619" ht="15.75" customHeight="1">
      <c r="C619" s="218"/>
    </row>
    <row r="620" ht="15.75" customHeight="1">
      <c r="C620" s="218"/>
    </row>
    <row r="621" ht="15.75" customHeight="1">
      <c r="C621" s="218"/>
    </row>
    <row r="622" ht="15.75" customHeight="1">
      <c r="C622" s="218"/>
    </row>
    <row r="623" ht="15.75" customHeight="1">
      <c r="C623" s="218"/>
    </row>
    <row r="624" ht="15.75" customHeight="1">
      <c r="C624" s="218"/>
    </row>
    <row r="625" ht="15.75" customHeight="1">
      <c r="C625" s="218"/>
    </row>
    <row r="626" ht="15.75" customHeight="1">
      <c r="C626" s="218"/>
    </row>
    <row r="627" ht="15.75" customHeight="1">
      <c r="C627" s="218"/>
    </row>
    <row r="628" ht="15.75" customHeight="1">
      <c r="C628" s="218"/>
    </row>
    <row r="629" ht="15.75" customHeight="1">
      <c r="C629" s="218"/>
    </row>
    <row r="630" ht="15.75" customHeight="1">
      <c r="C630" s="218"/>
    </row>
    <row r="631" ht="15.75" customHeight="1">
      <c r="C631" s="218"/>
    </row>
    <row r="632" ht="15.75" customHeight="1">
      <c r="C632" s="218"/>
    </row>
    <row r="633" ht="15.75" customHeight="1">
      <c r="C633" s="218"/>
    </row>
    <row r="634" ht="15.75" customHeight="1">
      <c r="C634" s="218"/>
    </row>
    <row r="635" ht="15.75" customHeight="1">
      <c r="C635" s="218"/>
    </row>
    <row r="636" ht="15.75" customHeight="1">
      <c r="C636" s="218"/>
    </row>
    <row r="637" ht="15.75" customHeight="1">
      <c r="C637" s="218"/>
    </row>
    <row r="638" ht="15.75" customHeight="1">
      <c r="C638" s="218"/>
    </row>
    <row r="639" ht="15.75" customHeight="1">
      <c r="C639" s="218"/>
    </row>
    <row r="640" ht="15.75" customHeight="1">
      <c r="C640" s="218"/>
    </row>
    <row r="641" ht="15.75" customHeight="1">
      <c r="C641" s="218"/>
    </row>
    <row r="642" ht="15.75" customHeight="1">
      <c r="C642" s="218"/>
    </row>
    <row r="643" ht="15.75" customHeight="1">
      <c r="C643" s="218"/>
    </row>
    <row r="644" ht="15.75" customHeight="1">
      <c r="C644" s="218"/>
    </row>
    <row r="645" ht="15.75" customHeight="1">
      <c r="C645" s="218"/>
    </row>
    <row r="646" ht="15.75" customHeight="1">
      <c r="C646" s="218"/>
    </row>
    <row r="647" ht="15.75" customHeight="1">
      <c r="C647" s="218"/>
    </row>
    <row r="648" ht="15.75" customHeight="1">
      <c r="C648" s="218"/>
    </row>
    <row r="649" ht="15.75" customHeight="1">
      <c r="C649" s="218"/>
    </row>
    <row r="650" ht="15.75" customHeight="1">
      <c r="C650" s="218"/>
    </row>
    <row r="651" ht="15.75" customHeight="1">
      <c r="C651" s="218"/>
    </row>
    <row r="652" ht="15.75" customHeight="1">
      <c r="C652" s="218"/>
    </row>
    <row r="653" ht="15.75" customHeight="1">
      <c r="C653" s="218"/>
    </row>
    <row r="654" ht="15.75" customHeight="1">
      <c r="C654" s="218"/>
    </row>
    <row r="655" ht="15.75" customHeight="1">
      <c r="C655" s="218"/>
    </row>
    <row r="656" ht="15.75" customHeight="1">
      <c r="C656" s="218"/>
    </row>
    <row r="657" ht="15.75" customHeight="1">
      <c r="C657" s="218"/>
    </row>
    <row r="658" ht="15.75" customHeight="1">
      <c r="C658" s="218"/>
    </row>
    <row r="659" ht="15.75" customHeight="1">
      <c r="C659" s="218"/>
    </row>
    <row r="660" ht="15.75" customHeight="1">
      <c r="C660" s="218"/>
    </row>
    <row r="661" ht="15.75" customHeight="1">
      <c r="C661" s="218"/>
    </row>
    <row r="662" ht="15.75" customHeight="1">
      <c r="C662" s="218"/>
    </row>
    <row r="663" ht="15.75" customHeight="1">
      <c r="C663" s="218"/>
    </row>
    <row r="664" ht="15.75" customHeight="1">
      <c r="C664" s="218"/>
    </row>
    <row r="665" ht="15.75" customHeight="1">
      <c r="C665" s="218"/>
    </row>
    <row r="666" ht="15.75" customHeight="1">
      <c r="C666" s="218"/>
    </row>
    <row r="667" ht="15.75" customHeight="1">
      <c r="C667" s="218"/>
    </row>
    <row r="668" ht="15.75" customHeight="1">
      <c r="C668" s="218"/>
    </row>
    <row r="669" ht="15.75" customHeight="1">
      <c r="C669" s="218"/>
    </row>
    <row r="670" ht="15.75" customHeight="1">
      <c r="C670" s="218"/>
    </row>
    <row r="671" ht="15.75" customHeight="1">
      <c r="C671" s="218"/>
    </row>
    <row r="672" ht="15.75" customHeight="1">
      <c r="C672" s="218"/>
    </row>
    <row r="673" ht="15.75" customHeight="1">
      <c r="C673" s="218"/>
    </row>
    <row r="674" ht="15.75" customHeight="1">
      <c r="C674" s="218"/>
    </row>
    <row r="675" ht="15.75" customHeight="1">
      <c r="C675" s="218"/>
    </row>
    <row r="676" ht="15.75" customHeight="1">
      <c r="C676" s="218"/>
    </row>
    <row r="677" ht="15.75" customHeight="1">
      <c r="C677" s="218"/>
    </row>
    <row r="678" ht="15.75" customHeight="1">
      <c r="C678" s="218"/>
    </row>
    <row r="679" ht="15.75" customHeight="1">
      <c r="C679" s="218"/>
    </row>
    <row r="680" ht="15.75" customHeight="1">
      <c r="C680" s="218"/>
    </row>
    <row r="681" ht="15.75" customHeight="1">
      <c r="C681" s="218"/>
    </row>
    <row r="682" ht="15.75" customHeight="1">
      <c r="C682" s="218"/>
    </row>
    <row r="683" ht="15.75" customHeight="1">
      <c r="C683" s="218"/>
    </row>
    <row r="684" ht="15.75" customHeight="1">
      <c r="C684" s="218"/>
    </row>
    <row r="685" ht="15.75" customHeight="1">
      <c r="C685" s="218"/>
    </row>
    <row r="686" ht="15.75" customHeight="1">
      <c r="C686" s="218"/>
    </row>
    <row r="687" ht="15.75" customHeight="1">
      <c r="C687" s="218"/>
    </row>
    <row r="688" ht="15.75" customHeight="1">
      <c r="C688" s="218"/>
    </row>
    <row r="689" ht="15.75" customHeight="1">
      <c r="C689" s="218"/>
    </row>
    <row r="690" ht="15.75" customHeight="1">
      <c r="C690" s="218"/>
    </row>
    <row r="691" ht="15.75" customHeight="1">
      <c r="C691" s="218"/>
    </row>
    <row r="692" ht="15.75" customHeight="1">
      <c r="C692" s="218"/>
    </row>
    <row r="693" ht="15.75" customHeight="1">
      <c r="C693" s="218"/>
    </row>
    <row r="694" ht="15.75" customHeight="1">
      <c r="C694" s="218"/>
    </row>
    <row r="695" ht="15.75" customHeight="1">
      <c r="C695" s="218"/>
    </row>
    <row r="696" ht="15.75" customHeight="1">
      <c r="C696" s="218"/>
    </row>
    <row r="697" ht="15.75" customHeight="1">
      <c r="C697" s="218"/>
    </row>
    <row r="698" ht="15.75" customHeight="1">
      <c r="C698" s="218"/>
    </row>
    <row r="699" ht="15.75" customHeight="1">
      <c r="C699" s="218"/>
    </row>
    <row r="700" ht="15.75" customHeight="1">
      <c r="C700" s="218"/>
    </row>
    <row r="701" ht="15.75" customHeight="1">
      <c r="C701" s="218"/>
    </row>
    <row r="702" ht="15.75" customHeight="1">
      <c r="C702" s="218"/>
    </row>
    <row r="703" ht="15.75" customHeight="1">
      <c r="C703" s="218"/>
    </row>
    <row r="704" ht="15.75" customHeight="1">
      <c r="C704" s="218"/>
    </row>
    <row r="705" ht="15.75" customHeight="1">
      <c r="C705" s="218"/>
    </row>
    <row r="706" ht="15.75" customHeight="1">
      <c r="C706" s="218"/>
    </row>
    <row r="707" ht="15.75" customHeight="1">
      <c r="C707" s="218"/>
    </row>
    <row r="708" ht="15.75" customHeight="1">
      <c r="C708" s="218"/>
    </row>
    <row r="709" ht="15.75" customHeight="1">
      <c r="C709" s="218"/>
    </row>
    <row r="710" ht="15.75" customHeight="1">
      <c r="C710" s="218"/>
    </row>
    <row r="711" ht="15.75" customHeight="1">
      <c r="C711" s="218"/>
    </row>
    <row r="712" ht="15.75" customHeight="1">
      <c r="C712" s="218"/>
    </row>
    <row r="713" ht="15.75" customHeight="1">
      <c r="C713" s="218"/>
    </row>
    <row r="714" ht="15.75" customHeight="1">
      <c r="C714" s="218"/>
    </row>
    <row r="715" ht="15.75" customHeight="1">
      <c r="C715" s="218"/>
    </row>
    <row r="716" ht="15.75" customHeight="1">
      <c r="C716" s="218"/>
    </row>
    <row r="717" ht="15.75" customHeight="1">
      <c r="C717" s="218"/>
    </row>
    <row r="718" ht="15.75" customHeight="1">
      <c r="C718" s="218"/>
    </row>
    <row r="719" ht="15.75" customHeight="1">
      <c r="C719" s="218"/>
    </row>
    <row r="720" ht="15.75" customHeight="1">
      <c r="C720" s="218"/>
    </row>
    <row r="721" ht="15.75" customHeight="1">
      <c r="C721" s="218"/>
    </row>
    <row r="722" ht="15.75" customHeight="1">
      <c r="C722" s="218"/>
    </row>
    <row r="723" ht="15.75" customHeight="1">
      <c r="C723" s="218"/>
    </row>
    <row r="724" ht="15.75" customHeight="1">
      <c r="C724" s="218"/>
    </row>
    <row r="725" ht="15.75" customHeight="1">
      <c r="C725" s="218"/>
    </row>
    <row r="726" ht="15.75" customHeight="1">
      <c r="C726" s="218"/>
    </row>
    <row r="727" ht="15.75" customHeight="1">
      <c r="C727" s="218"/>
    </row>
    <row r="728" ht="15.75" customHeight="1">
      <c r="C728" s="218"/>
    </row>
    <row r="729" ht="15.75" customHeight="1">
      <c r="C729" s="218"/>
    </row>
    <row r="730" ht="15.75" customHeight="1">
      <c r="C730" s="218"/>
    </row>
    <row r="731" ht="15.75" customHeight="1">
      <c r="C731" s="218"/>
    </row>
    <row r="732" ht="15.75" customHeight="1">
      <c r="C732" s="218"/>
    </row>
    <row r="733" ht="15.75" customHeight="1">
      <c r="C733" s="218"/>
    </row>
    <row r="734" ht="15.75" customHeight="1">
      <c r="C734" s="218"/>
    </row>
    <row r="735" ht="15.75" customHeight="1">
      <c r="C735" s="218"/>
    </row>
    <row r="736" ht="15.75" customHeight="1">
      <c r="C736" s="218"/>
    </row>
    <row r="737" ht="15.75" customHeight="1">
      <c r="C737" s="218"/>
    </row>
    <row r="738" ht="15.75" customHeight="1">
      <c r="C738" s="218"/>
    </row>
    <row r="739" ht="15.75" customHeight="1">
      <c r="C739" s="218"/>
    </row>
    <row r="740" ht="15.75" customHeight="1">
      <c r="C740" s="218"/>
    </row>
    <row r="741" ht="15.75" customHeight="1">
      <c r="C741" s="218"/>
    </row>
    <row r="742" ht="15.75" customHeight="1">
      <c r="C742" s="218"/>
    </row>
    <row r="743" ht="15.75" customHeight="1">
      <c r="C743" s="218"/>
    </row>
    <row r="744" ht="15.75" customHeight="1">
      <c r="C744" s="218"/>
    </row>
    <row r="745" ht="15.75" customHeight="1">
      <c r="C745" s="218"/>
    </row>
    <row r="746" ht="15.75" customHeight="1">
      <c r="C746" s="218"/>
    </row>
    <row r="747" ht="15.75" customHeight="1">
      <c r="C747" s="218"/>
    </row>
    <row r="748" ht="15.75" customHeight="1">
      <c r="C748" s="218"/>
    </row>
    <row r="749" ht="15.75" customHeight="1">
      <c r="C749" s="218"/>
    </row>
    <row r="750" ht="15.75" customHeight="1">
      <c r="C750" s="218"/>
    </row>
    <row r="751" ht="15.75" customHeight="1">
      <c r="C751" s="218"/>
    </row>
    <row r="752" ht="15.75" customHeight="1">
      <c r="C752" s="218"/>
    </row>
    <row r="753" ht="15.75" customHeight="1">
      <c r="C753" s="218"/>
    </row>
    <row r="754" ht="15.75" customHeight="1">
      <c r="C754" s="218"/>
    </row>
    <row r="755" ht="15.75" customHeight="1">
      <c r="C755" s="218"/>
    </row>
    <row r="756" ht="15.75" customHeight="1">
      <c r="C756" s="218"/>
    </row>
    <row r="757" ht="15.75" customHeight="1">
      <c r="C757" s="218"/>
    </row>
    <row r="758" ht="15.75" customHeight="1">
      <c r="C758" s="218"/>
    </row>
    <row r="759" ht="15.75" customHeight="1">
      <c r="C759" s="218"/>
    </row>
    <row r="760" ht="15.75" customHeight="1">
      <c r="C760" s="218"/>
    </row>
    <row r="761" ht="15.75" customHeight="1">
      <c r="C761" s="218"/>
    </row>
    <row r="762" ht="15.75" customHeight="1">
      <c r="C762" s="218"/>
    </row>
    <row r="763" ht="15.75" customHeight="1">
      <c r="C763" s="218"/>
    </row>
    <row r="764" ht="15.75" customHeight="1">
      <c r="C764" s="218"/>
    </row>
    <row r="765" ht="15.75" customHeight="1">
      <c r="C765" s="218"/>
    </row>
    <row r="766" ht="15.75" customHeight="1">
      <c r="C766" s="218"/>
    </row>
    <row r="767" ht="15.75" customHeight="1">
      <c r="C767" s="218"/>
    </row>
    <row r="768" ht="15.75" customHeight="1">
      <c r="C768" s="218"/>
    </row>
    <row r="769" ht="15.75" customHeight="1">
      <c r="C769" s="218"/>
    </row>
    <row r="770" ht="15.75" customHeight="1">
      <c r="C770" s="218"/>
    </row>
    <row r="771" ht="15.75" customHeight="1">
      <c r="C771" s="218"/>
    </row>
    <row r="772" ht="15.75" customHeight="1">
      <c r="C772" s="218"/>
    </row>
    <row r="773" ht="15.75" customHeight="1">
      <c r="C773" s="218"/>
    </row>
    <row r="774" ht="15.75" customHeight="1">
      <c r="C774" s="218"/>
    </row>
    <row r="775" ht="15.75" customHeight="1">
      <c r="C775" s="218"/>
    </row>
    <row r="776" ht="15.75" customHeight="1">
      <c r="C776" s="218"/>
    </row>
    <row r="777" ht="15.75" customHeight="1">
      <c r="C777" s="218"/>
    </row>
    <row r="778" ht="15.75" customHeight="1">
      <c r="C778" s="218"/>
    </row>
    <row r="779" ht="15.75" customHeight="1">
      <c r="C779" s="218"/>
    </row>
    <row r="780" ht="15.75" customHeight="1">
      <c r="C780" s="218"/>
    </row>
    <row r="781" ht="15.75" customHeight="1">
      <c r="C781" s="218"/>
    </row>
    <row r="782" ht="15.75" customHeight="1">
      <c r="C782" s="218"/>
    </row>
    <row r="783" ht="15.75" customHeight="1">
      <c r="C783" s="218"/>
    </row>
    <row r="784" ht="15.75" customHeight="1">
      <c r="C784" s="218"/>
    </row>
    <row r="785" ht="15.75" customHeight="1">
      <c r="C785" s="218"/>
    </row>
    <row r="786" ht="15.75" customHeight="1">
      <c r="C786" s="218"/>
    </row>
    <row r="787" ht="15.75" customHeight="1">
      <c r="C787" s="218"/>
    </row>
    <row r="788" ht="15.75" customHeight="1">
      <c r="C788" s="218"/>
    </row>
    <row r="789" ht="15.75" customHeight="1">
      <c r="C789" s="218"/>
    </row>
    <row r="790" ht="15.75" customHeight="1">
      <c r="C790" s="218"/>
    </row>
    <row r="791" ht="15.75" customHeight="1">
      <c r="C791" s="218"/>
    </row>
    <row r="792" ht="15.75" customHeight="1">
      <c r="C792" s="218"/>
    </row>
    <row r="793" ht="15.75" customHeight="1">
      <c r="C793" s="218"/>
    </row>
    <row r="794" ht="15.75" customHeight="1">
      <c r="C794" s="218"/>
    </row>
    <row r="795" ht="15.75" customHeight="1">
      <c r="C795" s="218"/>
    </row>
    <row r="796" ht="15.75" customHeight="1">
      <c r="C796" s="218"/>
    </row>
    <row r="797" ht="15.75" customHeight="1">
      <c r="C797" s="218"/>
    </row>
    <row r="798" ht="15.75" customHeight="1">
      <c r="C798" s="218"/>
    </row>
    <row r="799" ht="15.75" customHeight="1">
      <c r="C799" s="218"/>
    </row>
    <row r="800" ht="15.75" customHeight="1">
      <c r="C800" s="218"/>
    </row>
    <row r="801" ht="15.75" customHeight="1">
      <c r="C801" s="218"/>
    </row>
    <row r="802" ht="15.75" customHeight="1">
      <c r="C802" s="218"/>
    </row>
    <row r="803" ht="15.75" customHeight="1">
      <c r="C803" s="218"/>
    </row>
    <row r="804" ht="15.75" customHeight="1">
      <c r="C804" s="218"/>
    </row>
    <row r="805" ht="15.75" customHeight="1">
      <c r="C805" s="218"/>
    </row>
    <row r="806" ht="15.75" customHeight="1">
      <c r="C806" s="218"/>
    </row>
    <row r="807" ht="15.75" customHeight="1">
      <c r="C807" s="218"/>
    </row>
    <row r="808" ht="15.75" customHeight="1">
      <c r="C808" s="218"/>
    </row>
    <row r="809" ht="15.75" customHeight="1">
      <c r="C809" s="218"/>
    </row>
    <row r="810" ht="15.75" customHeight="1">
      <c r="C810" s="218"/>
    </row>
    <row r="811" ht="15.75" customHeight="1">
      <c r="C811" s="218"/>
    </row>
    <row r="812" ht="15.75" customHeight="1">
      <c r="C812" s="218"/>
    </row>
    <row r="813" ht="15.75" customHeight="1">
      <c r="C813" s="218"/>
    </row>
    <row r="814" ht="15.75" customHeight="1">
      <c r="C814" s="218"/>
    </row>
    <row r="815" ht="15.75" customHeight="1">
      <c r="C815" s="218"/>
    </row>
    <row r="816" ht="15.75" customHeight="1">
      <c r="C816" s="218"/>
    </row>
    <row r="817" ht="15.75" customHeight="1">
      <c r="C817" s="218"/>
    </row>
    <row r="818" ht="15.75" customHeight="1">
      <c r="C818" s="218"/>
    </row>
    <row r="819" ht="15.75" customHeight="1">
      <c r="C819" s="218"/>
    </row>
    <row r="820" ht="15.75" customHeight="1">
      <c r="C820" s="218"/>
    </row>
    <row r="821" ht="15.75" customHeight="1">
      <c r="C821" s="218"/>
    </row>
    <row r="822" ht="15.75" customHeight="1">
      <c r="C822" s="218"/>
    </row>
    <row r="823" ht="15.75" customHeight="1">
      <c r="C823" s="218"/>
    </row>
    <row r="824" ht="15.75" customHeight="1">
      <c r="C824" s="218"/>
    </row>
    <row r="825" ht="15.75" customHeight="1">
      <c r="C825" s="218"/>
    </row>
    <row r="826" ht="15.75" customHeight="1">
      <c r="C826" s="218"/>
    </row>
    <row r="827" ht="15.75" customHeight="1">
      <c r="C827" s="218"/>
    </row>
    <row r="828" ht="15.75" customHeight="1">
      <c r="C828" s="218"/>
    </row>
    <row r="829" ht="15.75" customHeight="1">
      <c r="C829" s="218"/>
    </row>
    <row r="830" ht="15.75" customHeight="1">
      <c r="C830" s="218"/>
    </row>
    <row r="831" ht="15.75" customHeight="1">
      <c r="C831" s="218"/>
    </row>
    <row r="832" ht="15.75" customHeight="1">
      <c r="C832" s="218"/>
    </row>
    <row r="833" ht="15.75" customHeight="1">
      <c r="C833" s="218"/>
    </row>
    <row r="834" ht="15.75" customHeight="1">
      <c r="C834" s="218"/>
    </row>
    <row r="835" ht="15.75" customHeight="1">
      <c r="C835" s="218"/>
    </row>
    <row r="836" ht="15.75" customHeight="1">
      <c r="C836" s="218"/>
    </row>
    <row r="837" ht="15.75" customHeight="1">
      <c r="C837" s="218"/>
    </row>
    <row r="838" ht="15.75" customHeight="1">
      <c r="C838" s="218"/>
    </row>
    <row r="839" ht="15.75" customHeight="1">
      <c r="C839" s="218"/>
    </row>
    <row r="840" ht="15.75" customHeight="1">
      <c r="C840" s="218"/>
    </row>
    <row r="841" ht="15.75" customHeight="1">
      <c r="C841" s="218"/>
    </row>
    <row r="842" ht="15.75" customHeight="1">
      <c r="C842" s="218"/>
    </row>
    <row r="843" ht="15.75" customHeight="1">
      <c r="C843" s="218"/>
    </row>
    <row r="844" ht="15.75" customHeight="1">
      <c r="C844" s="218"/>
    </row>
    <row r="845" ht="15.75" customHeight="1">
      <c r="C845" s="218"/>
    </row>
    <row r="846" ht="15.75" customHeight="1">
      <c r="C846" s="218"/>
    </row>
    <row r="847" ht="15.75" customHeight="1">
      <c r="C847" s="218"/>
    </row>
    <row r="848" ht="15.75" customHeight="1">
      <c r="C848" s="218"/>
    </row>
    <row r="849" ht="15.75" customHeight="1">
      <c r="C849" s="218"/>
    </row>
    <row r="850" ht="15.75" customHeight="1">
      <c r="C850" s="218"/>
    </row>
    <row r="851" ht="15.75" customHeight="1">
      <c r="C851" s="218"/>
    </row>
    <row r="852" ht="15.75" customHeight="1">
      <c r="C852" s="218"/>
    </row>
    <row r="853" ht="15.75" customHeight="1">
      <c r="C853" s="218"/>
    </row>
    <row r="854" ht="15.75" customHeight="1">
      <c r="C854" s="218"/>
    </row>
    <row r="855" ht="15.75" customHeight="1">
      <c r="C855" s="218"/>
    </row>
    <row r="856" ht="15.75" customHeight="1">
      <c r="C856" s="218"/>
    </row>
    <row r="857" ht="15.75" customHeight="1">
      <c r="C857" s="218"/>
    </row>
    <row r="858" ht="15.75" customHeight="1">
      <c r="C858" s="218"/>
    </row>
    <row r="859" ht="15.75" customHeight="1">
      <c r="C859" s="218"/>
    </row>
    <row r="860" ht="15.75" customHeight="1">
      <c r="C860" s="218"/>
    </row>
    <row r="861" ht="15.75" customHeight="1">
      <c r="C861" s="218"/>
    </row>
    <row r="862" ht="15.75" customHeight="1">
      <c r="C862" s="218"/>
    </row>
    <row r="863" ht="15.75" customHeight="1">
      <c r="C863" s="218"/>
    </row>
    <row r="864" ht="15.75" customHeight="1">
      <c r="C864" s="218"/>
    </row>
    <row r="865" ht="15.75" customHeight="1">
      <c r="C865" s="218"/>
    </row>
    <row r="866" ht="15.75" customHeight="1">
      <c r="C866" s="218"/>
    </row>
    <row r="867" ht="15.75" customHeight="1">
      <c r="C867" s="218"/>
    </row>
    <row r="868" ht="15.75" customHeight="1">
      <c r="C868" s="218"/>
    </row>
    <row r="869" ht="15.75" customHeight="1">
      <c r="C869" s="218"/>
    </row>
    <row r="870" ht="15.75" customHeight="1">
      <c r="C870" s="218"/>
    </row>
    <row r="871" ht="15.75" customHeight="1">
      <c r="C871" s="218"/>
    </row>
    <row r="872" ht="15.75" customHeight="1">
      <c r="C872" s="218"/>
    </row>
    <row r="873" ht="15.75" customHeight="1">
      <c r="C873" s="218"/>
    </row>
    <row r="874" ht="15.75" customHeight="1">
      <c r="C874" s="218"/>
    </row>
    <row r="875" ht="15.75" customHeight="1">
      <c r="C875" s="218"/>
    </row>
    <row r="876" ht="15.75" customHeight="1">
      <c r="C876" s="218"/>
    </row>
    <row r="877" ht="15.75" customHeight="1">
      <c r="C877" s="218"/>
    </row>
    <row r="878" ht="15.75" customHeight="1">
      <c r="C878" s="218"/>
    </row>
    <row r="879" ht="15.75" customHeight="1">
      <c r="C879" s="218"/>
    </row>
    <row r="880" ht="15.75" customHeight="1">
      <c r="C880" s="218"/>
    </row>
    <row r="881" ht="15.75" customHeight="1">
      <c r="C881" s="218"/>
    </row>
    <row r="882" ht="15.75" customHeight="1">
      <c r="C882" s="218"/>
    </row>
    <row r="883" ht="15.75" customHeight="1">
      <c r="C883" s="218"/>
    </row>
    <row r="884" ht="15.75" customHeight="1">
      <c r="C884" s="218"/>
    </row>
    <row r="885" ht="15.75" customHeight="1">
      <c r="C885" s="218"/>
    </row>
    <row r="886" ht="15.75" customHeight="1">
      <c r="C886" s="218"/>
    </row>
    <row r="887" ht="15.75" customHeight="1">
      <c r="C887" s="218"/>
    </row>
    <row r="888" ht="15.75" customHeight="1">
      <c r="C888" s="218"/>
    </row>
    <row r="889" ht="15.75" customHeight="1">
      <c r="C889" s="218"/>
    </row>
    <row r="890" ht="15.75" customHeight="1">
      <c r="C890" s="218"/>
    </row>
    <row r="891" ht="15.75" customHeight="1">
      <c r="C891" s="218"/>
    </row>
    <row r="892" ht="15.75" customHeight="1">
      <c r="C892" s="218"/>
    </row>
    <row r="893" ht="15.75" customHeight="1">
      <c r="C893" s="218"/>
    </row>
    <row r="894" ht="15.75" customHeight="1">
      <c r="C894" s="218"/>
    </row>
    <row r="895" ht="15.75" customHeight="1">
      <c r="C895" s="218"/>
    </row>
    <row r="896" ht="15.75" customHeight="1">
      <c r="C896" s="218"/>
    </row>
    <row r="897" ht="15.75" customHeight="1">
      <c r="C897" s="218"/>
    </row>
    <row r="898" ht="15.75" customHeight="1">
      <c r="C898" s="218"/>
    </row>
    <row r="899" ht="15.75" customHeight="1">
      <c r="C899" s="218"/>
    </row>
    <row r="900" ht="15.75" customHeight="1">
      <c r="C900" s="218"/>
    </row>
    <row r="901" ht="15.75" customHeight="1">
      <c r="C901" s="218"/>
    </row>
    <row r="902" ht="15.75" customHeight="1">
      <c r="C902" s="218"/>
    </row>
    <row r="903" ht="15.75" customHeight="1">
      <c r="C903" s="218"/>
    </row>
    <row r="904" ht="15.75" customHeight="1">
      <c r="C904" s="218"/>
    </row>
    <row r="905" ht="15.75" customHeight="1">
      <c r="C905" s="218"/>
    </row>
    <row r="906" ht="15.75" customHeight="1">
      <c r="C906" s="218"/>
    </row>
    <row r="907" ht="15.75" customHeight="1">
      <c r="C907" s="218"/>
    </row>
    <row r="908" ht="15.75" customHeight="1">
      <c r="C908" s="218"/>
    </row>
    <row r="909" ht="15.75" customHeight="1">
      <c r="C909" s="218"/>
    </row>
    <row r="910" ht="15.75" customHeight="1">
      <c r="C910" s="218"/>
    </row>
    <row r="911" ht="15.75" customHeight="1">
      <c r="C911" s="218"/>
    </row>
    <row r="912" ht="15.75" customHeight="1">
      <c r="C912" s="218"/>
    </row>
    <row r="913" ht="15.75" customHeight="1">
      <c r="C913" s="218"/>
    </row>
    <row r="914" ht="15.75" customHeight="1">
      <c r="C914" s="218"/>
    </row>
    <row r="915" ht="15.75" customHeight="1">
      <c r="C915" s="218"/>
    </row>
    <row r="916" ht="15.75" customHeight="1">
      <c r="C916" s="218"/>
    </row>
    <row r="917" ht="15.75" customHeight="1">
      <c r="C917" s="218"/>
    </row>
    <row r="918" ht="15.75" customHeight="1">
      <c r="C918" s="218"/>
    </row>
    <row r="919" ht="15.75" customHeight="1">
      <c r="C919" s="218"/>
    </row>
    <row r="920" ht="15.75" customHeight="1">
      <c r="C920" s="218"/>
    </row>
    <row r="921" ht="15.75" customHeight="1">
      <c r="C921" s="218"/>
    </row>
    <row r="922" ht="15.75" customHeight="1">
      <c r="C922" s="218"/>
    </row>
    <row r="923" ht="15.75" customHeight="1">
      <c r="C923" s="218"/>
    </row>
    <row r="924" ht="15.75" customHeight="1">
      <c r="C924" s="218"/>
    </row>
    <row r="925" ht="15.75" customHeight="1">
      <c r="C925" s="218"/>
    </row>
    <row r="926" ht="15.75" customHeight="1">
      <c r="C926" s="218"/>
    </row>
    <row r="927" ht="15.75" customHeight="1">
      <c r="C927" s="218"/>
    </row>
    <row r="928" ht="15.75" customHeight="1">
      <c r="C928" s="218"/>
    </row>
    <row r="929" ht="15.75" customHeight="1">
      <c r="C929" s="218"/>
    </row>
    <row r="930" ht="15.75" customHeight="1">
      <c r="C930" s="218"/>
    </row>
    <row r="931" ht="15.75" customHeight="1">
      <c r="C931" s="218"/>
    </row>
    <row r="932" ht="15.75" customHeight="1">
      <c r="C932" s="218"/>
    </row>
    <row r="933" ht="15.75" customHeight="1">
      <c r="C933" s="218"/>
    </row>
    <row r="934" ht="15.75" customHeight="1">
      <c r="C934" s="218"/>
    </row>
    <row r="935" ht="15.75" customHeight="1">
      <c r="C935" s="218"/>
    </row>
    <row r="936" ht="15.75" customHeight="1">
      <c r="C936" s="218"/>
    </row>
    <row r="937" ht="15.75" customHeight="1">
      <c r="C937" s="218"/>
    </row>
    <row r="938" ht="15.75" customHeight="1">
      <c r="C938" s="218"/>
    </row>
    <row r="939" ht="15.75" customHeight="1">
      <c r="C939" s="218"/>
    </row>
    <row r="940" ht="15.75" customHeight="1">
      <c r="C940" s="218"/>
    </row>
    <row r="941" ht="15.75" customHeight="1">
      <c r="C941" s="218"/>
    </row>
    <row r="942" ht="15.75" customHeight="1">
      <c r="C942" s="218"/>
    </row>
    <row r="943" ht="15.75" customHeight="1">
      <c r="C943" s="218"/>
    </row>
    <row r="944" ht="15.75" customHeight="1">
      <c r="C944" s="218"/>
    </row>
    <row r="945" ht="15.75" customHeight="1">
      <c r="C945" s="218"/>
    </row>
    <row r="946" ht="15.75" customHeight="1">
      <c r="C946" s="218"/>
    </row>
    <row r="947" ht="15.75" customHeight="1">
      <c r="C947" s="218"/>
    </row>
    <row r="948" ht="15.75" customHeight="1">
      <c r="C948" s="218"/>
    </row>
    <row r="949" ht="15.75" customHeight="1">
      <c r="C949" s="218"/>
    </row>
    <row r="950" ht="15.75" customHeight="1">
      <c r="C950" s="218"/>
    </row>
    <row r="951" ht="15.75" customHeight="1">
      <c r="C951" s="218"/>
    </row>
    <row r="952" ht="15.75" customHeight="1">
      <c r="C952" s="218"/>
    </row>
    <row r="953" ht="15.75" customHeight="1">
      <c r="C953" s="218"/>
    </row>
    <row r="954" ht="15.75" customHeight="1">
      <c r="C954" s="218"/>
    </row>
    <row r="955" ht="15.75" customHeight="1">
      <c r="C955" s="218"/>
    </row>
    <row r="956" ht="15.75" customHeight="1">
      <c r="C956" s="218"/>
    </row>
    <row r="957" ht="15.75" customHeight="1">
      <c r="C957" s="218"/>
    </row>
    <row r="958" ht="15.75" customHeight="1">
      <c r="C958" s="218"/>
    </row>
    <row r="959" ht="15.75" customHeight="1">
      <c r="C959" s="218"/>
    </row>
    <row r="960" ht="15.75" customHeight="1">
      <c r="C960" s="218"/>
    </row>
    <row r="961" ht="15.75" customHeight="1">
      <c r="C961" s="218"/>
    </row>
    <row r="962" ht="15.75" customHeight="1">
      <c r="C962" s="218"/>
    </row>
    <row r="963" ht="15.75" customHeight="1">
      <c r="C963" s="218"/>
    </row>
    <row r="964" ht="15.75" customHeight="1">
      <c r="C964" s="218"/>
    </row>
    <row r="965" ht="15.75" customHeight="1">
      <c r="C965" s="218"/>
    </row>
    <row r="966" ht="15.75" customHeight="1">
      <c r="C966" s="218"/>
    </row>
    <row r="967" ht="15.75" customHeight="1">
      <c r="C967" s="218"/>
    </row>
    <row r="968" ht="15.75" customHeight="1">
      <c r="C968" s="218"/>
    </row>
    <row r="969" ht="15.75" customHeight="1">
      <c r="C969" s="218"/>
    </row>
    <row r="970" ht="15.75" customHeight="1">
      <c r="C970" s="218"/>
    </row>
    <row r="971" ht="15.75" customHeight="1">
      <c r="C971" s="218"/>
    </row>
    <row r="972" ht="15.75" customHeight="1">
      <c r="C972" s="218"/>
    </row>
    <row r="973" ht="15.75" customHeight="1">
      <c r="C973" s="218"/>
    </row>
    <row r="974" ht="15.75" customHeight="1">
      <c r="C974" s="218"/>
    </row>
    <row r="975" ht="15.75" customHeight="1">
      <c r="C975" s="218"/>
    </row>
    <row r="976" ht="15.75" customHeight="1">
      <c r="C976" s="218"/>
    </row>
    <row r="977" ht="15.75" customHeight="1">
      <c r="C977" s="218"/>
    </row>
    <row r="978" ht="15.75" customHeight="1">
      <c r="C978" s="218"/>
    </row>
    <row r="979" ht="15.75" customHeight="1">
      <c r="C979" s="218"/>
    </row>
    <row r="980" ht="15.75" customHeight="1">
      <c r="C980" s="218"/>
    </row>
    <row r="981" ht="15.75" customHeight="1">
      <c r="C981" s="218"/>
    </row>
    <row r="982" ht="15.75" customHeight="1">
      <c r="C982" s="218"/>
    </row>
    <row r="983" ht="15.75" customHeight="1">
      <c r="C983" s="218"/>
    </row>
    <row r="984" ht="15.75" customHeight="1">
      <c r="C984" s="218"/>
    </row>
    <row r="985" ht="15.75" customHeight="1">
      <c r="C985" s="218"/>
    </row>
    <row r="986" ht="15.75" customHeight="1">
      <c r="C986" s="218"/>
    </row>
    <row r="987" ht="15.75" customHeight="1">
      <c r="C987" s="218"/>
    </row>
    <row r="988" ht="15.75" customHeight="1">
      <c r="C988" s="218"/>
    </row>
    <row r="989" ht="15.75" customHeight="1">
      <c r="C989" s="218"/>
    </row>
    <row r="990" ht="15.75" customHeight="1">
      <c r="C990" s="218"/>
    </row>
    <row r="991" ht="15.75" customHeight="1">
      <c r="C991" s="218"/>
    </row>
    <row r="992" ht="15.75" customHeight="1">
      <c r="C992" s="218"/>
    </row>
    <row r="993" ht="15.75" customHeight="1">
      <c r="C993" s="218"/>
    </row>
    <row r="994" ht="15.75" customHeight="1">
      <c r="C994" s="218"/>
    </row>
    <row r="995" ht="15.75" customHeight="1">
      <c r="C995" s="218"/>
    </row>
    <row r="996" ht="15.75" customHeight="1">
      <c r="C996" s="218"/>
    </row>
    <row r="997" ht="15.75" customHeight="1">
      <c r="C997" s="218"/>
    </row>
    <row r="998" ht="15.75" customHeight="1">
      <c r="C998" s="218"/>
    </row>
    <row r="999" ht="15.75" customHeight="1">
      <c r="C999" s="218"/>
    </row>
    <row r="1000" ht="15.75" customHeight="1">
      <c r="C1000" s="218"/>
    </row>
    <row r="1001" ht="15.75" customHeight="1">
      <c r="C1001" s="218"/>
    </row>
    <row r="1002" ht="15.75" customHeight="1">
      <c r="C1002" s="218"/>
    </row>
    <row r="1003" ht="15.75" customHeight="1">
      <c r="C1003" s="218"/>
    </row>
    <row r="1004" ht="15.75" customHeight="1">
      <c r="C1004" s="218"/>
    </row>
    <row r="1005" ht="15.75" customHeight="1">
      <c r="C1005" s="218"/>
    </row>
    <row r="1006" ht="15.75" customHeight="1">
      <c r="C1006" s="218"/>
    </row>
    <row r="1007" ht="15.75" customHeight="1">
      <c r="C1007" s="218"/>
    </row>
    <row r="1008" ht="15.75" customHeight="1">
      <c r="C1008" s="218"/>
    </row>
    <row r="1009" ht="15.75" customHeight="1">
      <c r="C1009" s="218"/>
    </row>
    <row r="1010" ht="15.75" customHeight="1">
      <c r="C1010" s="218"/>
    </row>
    <row r="1011" ht="15.75" customHeight="1">
      <c r="C1011" s="218"/>
    </row>
    <row r="1012" ht="15.75" customHeight="1">
      <c r="C1012" s="218"/>
    </row>
    <row r="1013" ht="15.75" customHeight="1">
      <c r="C1013" s="218"/>
    </row>
    <row r="1014" ht="15.75" customHeight="1">
      <c r="C1014" s="218"/>
    </row>
    <row r="1015" ht="15.75" customHeight="1">
      <c r="C1015" s="218"/>
    </row>
    <row r="1016" ht="15.75" customHeight="1">
      <c r="C1016" s="218"/>
    </row>
    <row r="1017" ht="15.75" customHeight="1">
      <c r="C1017" s="218"/>
    </row>
  </sheetData>
  <mergeCells count="7">
    <mergeCell ref="A2:C2"/>
    <mergeCell ref="E2:G2"/>
    <mergeCell ref="I2:K2"/>
    <mergeCell ref="M2:O2"/>
    <mergeCell ref="Q2:S2"/>
    <mergeCell ref="U2:W2"/>
    <mergeCell ref="A43:B43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" width="19.88"/>
    <col customWidth="1" min="3" max="3" width="15.75"/>
    <col customWidth="1" min="4" max="4" width="26.63"/>
    <col customWidth="1" min="5" max="5" width="15.88"/>
    <col customWidth="1" min="6" max="7" width="14.0"/>
    <col customWidth="1" min="8" max="8" width="11.38"/>
    <col customWidth="1" min="9" max="9" width="15.0"/>
    <col customWidth="1" min="10" max="26" width="10.75"/>
  </cols>
  <sheetData>
    <row r="1" ht="23.25" customHeight="1">
      <c r="A1" s="14"/>
      <c r="B1" s="469" t="s">
        <v>541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542</v>
      </c>
      <c r="B4" s="12" t="str">
        <f>'CAJA MENSUAL'!B42</f>
        <v>#REF!</v>
      </c>
      <c r="C4" s="14"/>
      <c r="D4" s="14" t="s">
        <v>150</v>
      </c>
      <c r="E4" s="12">
        <v>0.0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543</v>
      </c>
      <c r="B5" s="12" t="str">
        <f>'CAJA MENSUAL'!C42</f>
        <v>#REF!</v>
      </c>
      <c r="C5" s="14"/>
      <c r="D5" s="14" t="s">
        <v>544</v>
      </c>
      <c r="E5" s="12">
        <v>0.0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 t="s">
        <v>545</v>
      </c>
      <c r="B6" s="12" t="str">
        <f>'CAJA MENSUAL'!D42</f>
        <v>#REF!</v>
      </c>
      <c r="C6" s="14"/>
      <c r="D6" s="14" t="s">
        <v>546</v>
      </c>
      <c r="E6" s="12">
        <f>FIADO!C43</f>
        <v>648852.62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470" t="s">
        <v>547</v>
      </c>
      <c r="B7" s="12">
        <v>0.0</v>
      </c>
      <c r="C7" s="14"/>
      <c r="D7" s="14" t="s">
        <v>548</v>
      </c>
      <c r="E7" s="12">
        <v>0.0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549</v>
      </c>
      <c r="B8" s="12">
        <f>'CUENTAS CORRIENTES'!F40</f>
        <v>49886512.25</v>
      </c>
      <c r="C8" s="14"/>
      <c r="D8" s="14" t="s">
        <v>550</v>
      </c>
      <c r="E8" s="12">
        <v>0.0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551</v>
      </c>
      <c r="B9" s="12" t="str">
        <f>'CAJA MENSUAL'!F42</f>
        <v>#REF!</v>
      </c>
      <c r="C9" s="14"/>
      <c r="D9" s="14" t="s">
        <v>151</v>
      </c>
      <c r="E9" s="12">
        <v>0.0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 t="s">
        <v>552</v>
      </c>
      <c r="B10" s="12">
        <v>0.0</v>
      </c>
      <c r="C10" s="14"/>
      <c r="D10" s="14" t="s">
        <v>135</v>
      </c>
      <c r="E10" s="12">
        <v>0.0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553</v>
      </c>
      <c r="B11" s="14"/>
      <c r="C11" s="14"/>
      <c r="D11" s="14" t="s">
        <v>554</v>
      </c>
      <c r="E11" s="12">
        <f>'INVERSION '!C8</f>
        <v>332461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2"/>
      <c r="C12" s="14"/>
      <c r="D12" s="14" t="s">
        <v>555</v>
      </c>
      <c r="E12" s="204">
        <v>1697521.0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2"/>
      <c r="C13" s="14"/>
      <c r="D13" s="14" t="s">
        <v>556</v>
      </c>
      <c r="E13" s="12">
        <v>824471.0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2"/>
      <c r="C14" s="14"/>
      <c r="D14" s="14"/>
      <c r="E14" s="20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2"/>
      <c r="C15" s="14"/>
      <c r="D15" s="14" t="s">
        <v>557</v>
      </c>
      <c r="E15" s="204">
        <v>0.0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2"/>
      <c r="C16" s="14"/>
      <c r="D16" s="14"/>
      <c r="E16" s="204">
        <v>0.0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2" t="s">
        <v>13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69" t="s">
        <v>8</v>
      </c>
      <c r="B18" s="168" t="str">
        <f>SUM(B4:B17)</f>
        <v>#REF!</v>
      </c>
      <c r="C18" s="14"/>
      <c r="D18" s="169" t="s">
        <v>8</v>
      </c>
      <c r="E18" s="168">
        <f>SUM(E4:E17)</f>
        <v>3503305.62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471" t="s">
        <v>527</v>
      </c>
      <c r="C21" s="472" t="str">
        <f>B18-E18</f>
        <v>#REF!</v>
      </c>
      <c r="D21" s="14"/>
      <c r="E21" s="12" t="s">
        <v>13</v>
      </c>
      <c r="F21" s="473"/>
      <c r="G21" s="12"/>
      <c r="H21" s="14"/>
      <c r="I21" s="1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2"/>
      <c r="F22" s="12"/>
      <c r="G22" s="12"/>
      <c r="H22" s="14"/>
      <c r="I22" s="1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2"/>
      <c r="F23" s="12"/>
      <c r="G23" s="14"/>
      <c r="H23" s="14"/>
      <c r="I23" s="12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474" t="s">
        <v>13</v>
      </c>
      <c r="C24" s="12" t="s">
        <v>13</v>
      </c>
      <c r="D24" s="14"/>
      <c r="E24" s="12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474" t="s">
        <v>558</v>
      </c>
      <c r="B25" s="474" t="s">
        <v>13</v>
      </c>
      <c r="C25" s="14"/>
      <c r="D25" s="14"/>
      <c r="E25" s="12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474"/>
      <c r="B26" s="474"/>
      <c r="C26" s="14"/>
      <c r="D26" s="14"/>
      <c r="E26" s="12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474" t="s">
        <v>559</v>
      </c>
      <c r="B27" s="475">
        <v>2000.0</v>
      </c>
      <c r="C27" s="14"/>
      <c r="D27" s="14"/>
      <c r="E27" s="12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474" t="s">
        <v>560</v>
      </c>
      <c r="B28" s="475">
        <f>2200*4</f>
        <v>8800</v>
      </c>
      <c r="C28" s="14"/>
      <c r="D28" s="14"/>
      <c r="E28" s="1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474" t="s">
        <v>561</v>
      </c>
      <c r="B29" s="475">
        <f>6000</f>
        <v>6000</v>
      </c>
      <c r="C29" s="14"/>
      <c r="D29" s="14"/>
      <c r="E29" s="12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474" t="s">
        <v>562</v>
      </c>
      <c r="B30" s="475">
        <v>8000.0</v>
      </c>
      <c r="C30" s="14"/>
      <c r="D30" s="14"/>
      <c r="E30" s="1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474" t="s">
        <v>563</v>
      </c>
      <c r="B31" s="475">
        <v>2000.0</v>
      </c>
      <c r="C31" s="14"/>
      <c r="D31" s="14"/>
      <c r="E31" s="12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474" t="s">
        <v>564</v>
      </c>
      <c r="B32" s="475">
        <f>2000</f>
        <v>2000</v>
      </c>
      <c r="C32" s="14"/>
      <c r="D32" s="14"/>
      <c r="E32" s="14"/>
      <c r="F32" s="12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474" t="s">
        <v>565</v>
      </c>
      <c r="B33" s="475">
        <f>5*1100</f>
        <v>5500</v>
      </c>
      <c r="C33" s="14" t="s">
        <v>13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474" t="s">
        <v>566</v>
      </c>
      <c r="B34" s="475">
        <v>20000.0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474" t="s">
        <v>567</v>
      </c>
      <c r="B35" s="475">
        <v>10000.0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474" t="s">
        <v>568</v>
      </c>
      <c r="B36" s="475">
        <v>7000.0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474" t="s">
        <v>569</v>
      </c>
      <c r="B37" s="475">
        <v>9000.0</v>
      </c>
      <c r="C37" s="12"/>
      <c r="D37" s="14"/>
      <c r="E37" s="12"/>
      <c r="F37" s="12"/>
      <c r="G37" s="12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474" t="s">
        <v>570</v>
      </c>
      <c r="B38" s="475">
        <f>4000</f>
        <v>4000</v>
      </c>
      <c r="C38" s="14"/>
      <c r="D38" s="14"/>
      <c r="E38" s="12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474" t="s">
        <v>571</v>
      </c>
      <c r="B39" s="204">
        <v>14000.0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474" t="s">
        <v>572</v>
      </c>
      <c r="B40" s="204">
        <v>15000.0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474" t="s">
        <v>573</v>
      </c>
      <c r="B41" s="204">
        <v>13000.0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204">
        <f>SUM(B27:B42)</f>
        <v>126300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13"/>
    <col customWidth="1" min="3" max="3" width="22.38"/>
    <col customWidth="1" min="7" max="7" width="17.88"/>
  </cols>
  <sheetData>
    <row r="1">
      <c r="A1" s="476" t="s">
        <v>396</v>
      </c>
      <c r="B1" s="477" t="s">
        <v>574</v>
      </c>
      <c r="C1" s="476" t="s">
        <v>575</v>
      </c>
      <c r="E1" s="476" t="s">
        <v>396</v>
      </c>
      <c r="F1" s="477" t="s">
        <v>574</v>
      </c>
      <c r="G1" s="476" t="s">
        <v>575</v>
      </c>
    </row>
    <row r="2">
      <c r="A2" s="478">
        <v>45891.0</v>
      </c>
      <c r="B2" s="479">
        <v>38228.0</v>
      </c>
      <c r="C2" s="480" t="s">
        <v>576</v>
      </c>
      <c r="E2" s="478">
        <v>45891.0</v>
      </c>
      <c r="F2" s="479">
        <v>38228.0</v>
      </c>
      <c r="G2" s="480" t="s">
        <v>576</v>
      </c>
    </row>
    <row r="3">
      <c r="A3" s="478">
        <v>45890.0</v>
      </c>
      <c r="B3" s="479">
        <v>181080.0</v>
      </c>
      <c r="C3" s="480" t="s">
        <v>576</v>
      </c>
      <c r="E3" s="481">
        <v>45890.0</v>
      </c>
      <c r="F3" s="482">
        <v>181080.0</v>
      </c>
      <c r="G3" s="483" t="s">
        <v>576</v>
      </c>
    </row>
    <row r="4">
      <c r="A4" s="478">
        <v>45883.0</v>
      </c>
      <c r="B4" s="479">
        <v>70420.0</v>
      </c>
      <c r="C4" s="480" t="s">
        <v>576</v>
      </c>
      <c r="E4" s="484" t="s">
        <v>8</v>
      </c>
      <c r="F4" s="485">
        <f>SUM(F2:F3)</f>
        <v>219308</v>
      </c>
      <c r="G4" s="280"/>
    </row>
    <row r="5">
      <c r="A5" s="478">
        <v>45883.0</v>
      </c>
      <c r="B5" s="479">
        <v>108648.0</v>
      </c>
      <c r="C5" s="480" t="s">
        <v>577</v>
      </c>
    </row>
    <row r="6">
      <c r="A6" s="478">
        <v>45882.0</v>
      </c>
      <c r="B6" s="479">
        <v>143858.0</v>
      </c>
      <c r="C6" s="480" t="s">
        <v>577</v>
      </c>
    </row>
    <row r="7">
      <c r="A7" s="478">
        <v>45881.0</v>
      </c>
      <c r="B7" s="479">
        <v>136816.0</v>
      </c>
      <c r="C7" s="480" t="s">
        <v>576</v>
      </c>
    </row>
    <row r="8">
      <c r="A8" s="478">
        <v>45880.0</v>
      </c>
      <c r="B8" s="479">
        <v>97582.0</v>
      </c>
      <c r="C8" s="480" t="s">
        <v>576</v>
      </c>
    </row>
    <row r="9">
      <c r="A9" s="478">
        <v>45876.0</v>
      </c>
      <c r="B9" s="479">
        <v>168002.0</v>
      </c>
      <c r="C9" s="480" t="s">
        <v>576</v>
      </c>
    </row>
    <row r="10">
      <c r="A10" s="478">
        <v>45875.0</v>
      </c>
      <c r="B10" s="479">
        <v>83498.0</v>
      </c>
      <c r="C10" s="480" t="s">
        <v>576</v>
      </c>
    </row>
    <row r="11">
      <c r="A11" s="478">
        <v>45874.0</v>
      </c>
      <c r="B11" s="479">
        <v>188122.0</v>
      </c>
      <c r="C11" s="480" t="s">
        <v>576</v>
      </c>
    </row>
    <row r="12">
      <c r="A12" s="481">
        <v>45873.0</v>
      </c>
      <c r="B12" s="482">
        <v>134804.0</v>
      </c>
      <c r="C12" s="483" t="s">
        <v>577</v>
      </c>
    </row>
    <row r="25">
      <c r="B25" s="486"/>
    </row>
    <row r="26">
      <c r="B26" s="486"/>
    </row>
    <row r="27">
      <c r="B27" s="486"/>
    </row>
    <row r="28">
      <c r="B28" s="486"/>
    </row>
    <row r="29">
      <c r="B29" s="486"/>
    </row>
    <row r="30">
      <c r="B30" s="486"/>
    </row>
    <row r="31">
      <c r="B31" s="486"/>
    </row>
    <row r="32">
      <c r="B32" s="486"/>
    </row>
    <row r="33">
      <c r="B33" s="486"/>
    </row>
    <row r="34">
      <c r="B34" s="486"/>
    </row>
    <row r="35">
      <c r="B35" s="486"/>
    </row>
    <row r="36">
      <c r="B36" s="486"/>
    </row>
    <row r="37">
      <c r="B37" s="486"/>
    </row>
    <row r="38">
      <c r="B38" s="486"/>
    </row>
    <row r="39">
      <c r="B39" s="486"/>
    </row>
    <row r="40">
      <c r="B40" s="486"/>
    </row>
    <row r="41">
      <c r="B41" s="486"/>
    </row>
    <row r="42">
      <c r="B42" s="486"/>
    </row>
    <row r="43">
      <c r="B43" s="486"/>
    </row>
    <row r="44">
      <c r="B44" s="486"/>
    </row>
    <row r="45">
      <c r="B45" s="486"/>
    </row>
    <row r="46">
      <c r="B46" s="486"/>
    </row>
    <row r="47">
      <c r="B47" s="486"/>
    </row>
    <row r="48">
      <c r="B48" s="486"/>
    </row>
    <row r="49">
      <c r="B49" s="486"/>
    </row>
    <row r="50">
      <c r="B50" s="486"/>
    </row>
    <row r="51">
      <c r="B51" s="486"/>
    </row>
    <row r="52">
      <c r="B52" s="486"/>
    </row>
    <row r="53">
      <c r="B53" s="486"/>
    </row>
    <row r="54">
      <c r="B54" s="486"/>
    </row>
    <row r="55">
      <c r="B55" s="486"/>
    </row>
    <row r="56">
      <c r="B56" s="486"/>
    </row>
    <row r="57">
      <c r="B57" s="486"/>
    </row>
    <row r="58">
      <c r="B58" s="486"/>
    </row>
    <row r="59">
      <c r="B59" s="486"/>
    </row>
    <row r="60">
      <c r="B60" s="486"/>
    </row>
    <row r="61">
      <c r="B61" s="486"/>
    </row>
    <row r="62">
      <c r="B62" s="486"/>
    </row>
    <row r="63">
      <c r="B63" s="486"/>
    </row>
    <row r="64">
      <c r="B64" s="486"/>
    </row>
    <row r="65">
      <c r="B65" s="486"/>
    </row>
    <row r="66">
      <c r="B66" s="486"/>
    </row>
    <row r="67">
      <c r="B67" s="486"/>
    </row>
    <row r="68">
      <c r="B68" s="486"/>
    </row>
    <row r="69">
      <c r="B69" s="486"/>
    </row>
    <row r="70">
      <c r="B70" s="486"/>
    </row>
    <row r="71">
      <c r="B71" s="486"/>
    </row>
    <row r="72">
      <c r="B72" s="486"/>
    </row>
    <row r="73">
      <c r="B73" s="486"/>
    </row>
    <row r="74">
      <c r="B74" s="486"/>
    </row>
    <row r="75">
      <c r="B75" s="486"/>
    </row>
    <row r="76">
      <c r="B76" s="486"/>
    </row>
    <row r="77">
      <c r="B77" s="486"/>
    </row>
    <row r="78">
      <c r="B78" s="486"/>
    </row>
    <row r="79">
      <c r="B79" s="486"/>
    </row>
    <row r="80">
      <c r="B80" s="486"/>
    </row>
    <row r="81">
      <c r="B81" s="486"/>
    </row>
    <row r="82">
      <c r="B82" s="486"/>
    </row>
    <row r="83">
      <c r="B83" s="486"/>
    </row>
    <row r="84">
      <c r="B84" s="486"/>
    </row>
    <row r="85">
      <c r="B85" s="486"/>
    </row>
    <row r="86">
      <c r="B86" s="486"/>
    </row>
    <row r="87">
      <c r="B87" s="486"/>
    </row>
    <row r="88">
      <c r="B88" s="486"/>
    </row>
    <row r="89">
      <c r="B89" s="486"/>
    </row>
    <row r="90">
      <c r="B90" s="486"/>
    </row>
    <row r="91">
      <c r="B91" s="486"/>
    </row>
    <row r="92">
      <c r="B92" s="486"/>
    </row>
    <row r="93">
      <c r="B93" s="486"/>
    </row>
    <row r="94">
      <c r="B94" s="486"/>
    </row>
    <row r="95">
      <c r="B95" s="486"/>
    </row>
    <row r="96">
      <c r="B96" s="486"/>
    </row>
    <row r="97">
      <c r="B97" s="486"/>
    </row>
    <row r="98">
      <c r="B98" s="486"/>
    </row>
    <row r="99">
      <c r="B99" s="486"/>
    </row>
    <row r="100">
      <c r="B100" s="486"/>
    </row>
    <row r="101">
      <c r="B101" s="486"/>
    </row>
    <row r="102">
      <c r="B102" s="486"/>
    </row>
    <row r="103">
      <c r="B103" s="486"/>
    </row>
    <row r="104">
      <c r="B104" s="486"/>
    </row>
    <row r="105">
      <c r="B105" s="486"/>
    </row>
    <row r="106">
      <c r="B106" s="486"/>
    </row>
    <row r="107">
      <c r="B107" s="486"/>
    </row>
    <row r="108">
      <c r="B108" s="486"/>
    </row>
    <row r="109">
      <c r="B109" s="486"/>
    </row>
    <row r="110">
      <c r="B110" s="486"/>
    </row>
    <row r="111">
      <c r="B111" s="486"/>
    </row>
    <row r="112">
      <c r="B112" s="486"/>
    </row>
    <row r="113">
      <c r="B113" s="486"/>
    </row>
    <row r="114">
      <c r="B114" s="486"/>
    </row>
    <row r="115">
      <c r="B115" s="486"/>
    </row>
    <row r="116">
      <c r="B116" s="486"/>
    </row>
    <row r="117">
      <c r="B117" s="486"/>
    </row>
    <row r="118">
      <c r="B118" s="486"/>
    </row>
    <row r="119">
      <c r="B119" s="486"/>
    </row>
    <row r="120">
      <c r="B120" s="486"/>
    </row>
    <row r="121">
      <c r="B121" s="486"/>
    </row>
    <row r="122">
      <c r="B122" s="486"/>
    </row>
    <row r="123">
      <c r="B123" s="486"/>
    </row>
    <row r="124">
      <c r="B124" s="486"/>
    </row>
    <row r="125">
      <c r="B125" s="486"/>
    </row>
    <row r="126">
      <c r="B126" s="486"/>
    </row>
    <row r="127">
      <c r="B127" s="486"/>
    </row>
    <row r="128">
      <c r="B128" s="486"/>
    </row>
    <row r="129">
      <c r="B129" s="486"/>
    </row>
    <row r="130">
      <c r="B130" s="486"/>
    </row>
    <row r="131">
      <c r="B131" s="486"/>
    </row>
    <row r="132">
      <c r="B132" s="486"/>
    </row>
    <row r="133">
      <c r="B133" s="486"/>
    </row>
    <row r="134">
      <c r="B134" s="486"/>
    </row>
    <row r="135">
      <c r="B135" s="486"/>
    </row>
    <row r="136">
      <c r="B136" s="486"/>
    </row>
    <row r="137">
      <c r="B137" s="486"/>
    </row>
    <row r="138">
      <c r="B138" s="486"/>
    </row>
    <row r="139">
      <c r="B139" s="486"/>
    </row>
    <row r="140">
      <c r="B140" s="486"/>
    </row>
    <row r="141">
      <c r="B141" s="486"/>
    </row>
    <row r="142">
      <c r="B142" s="486"/>
    </row>
    <row r="143">
      <c r="B143" s="486"/>
    </row>
    <row r="144">
      <c r="B144" s="486"/>
    </row>
    <row r="145">
      <c r="B145" s="486"/>
    </row>
    <row r="146">
      <c r="B146" s="486"/>
    </row>
    <row r="147">
      <c r="B147" s="486"/>
    </row>
    <row r="148">
      <c r="B148" s="486"/>
    </row>
    <row r="149">
      <c r="B149" s="486"/>
    </row>
    <row r="150">
      <c r="B150" s="486"/>
    </row>
    <row r="151">
      <c r="B151" s="486"/>
    </row>
    <row r="152">
      <c r="B152" s="486"/>
    </row>
    <row r="153">
      <c r="B153" s="486"/>
    </row>
    <row r="154">
      <c r="B154" s="486"/>
    </row>
    <row r="155">
      <c r="B155" s="486"/>
    </row>
    <row r="156">
      <c r="B156" s="486"/>
    </row>
    <row r="157">
      <c r="B157" s="486"/>
    </row>
    <row r="158">
      <c r="B158" s="486"/>
    </row>
    <row r="159">
      <c r="B159" s="486"/>
    </row>
    <row r="160">
      <c r="B160" s="486"/>
    </row>
    <row r="161">
      <c r="B161" s="486"/>
    </row>
    <row r="162">
      <c r="B162" s="486"/>
    </row>
    <row r="163">
      <c r="B163" s="486"/>
    </row>
    <row r="164">
      <c r="B164" s="486"/>
    </row>
    <row r="165">
      <c r="B165" s="486"/>
    </row>
    <row r="166">
      <c r="B166" s="486"/>
    </row>
    <row r="167">
      <c r="B167" s="486"/>
    </row>
    <row r="168">
      <c r="B168" s="486"/>
    </row>
    <row r="169">
      <c r="B169" s="486"/>
    </row>
    <row r="170">
      <c r="B170" s="486"/>
    </row>
    <row r="171">
      <c r="B171" s="486"/>
    </row>
    <row r="172">
      <c r="B172" s="486"/>
    </row>
    <row r="173">
      <c r="B173" s="486"/>
    </row>
    <row r="174">
      <c r="B174" s="486"/>
    </row>
    <row r="175">
      <c r="B175" s="486"/>
    </row>
    <row r="176">
      <c r="B176" s="486"/>
    </row>
    <row r="177">
      <c r="B177" s="486"/>
    </row>
    <row r="178">
      <c r="B178" s="486"/>
    </row>
    <row r="179">
      <c r="B179" s="486"/>
    </row>
    <row r="180">
      <c r="B180" s="486"/>
    </row>
    <row r="181">
      <c r="B181" s="486"/>
    </row>
    <row r="182">
      <c r="B182" s="486"/>
    </row>
    <row r="183">
      <c r="B183" s="486"/>
    </row>
    <row r="184">
      <c r="B184" s="486"/>
    </row>
    <row r="185">
      <c r="B185" s="486"/>
    </row>
    <row r="186">
      <c r="B186" s="486"/>
    </row>
    <row r="187">
      <c r="B187" s="486"/>
    </row>
    <row r="188">
      <c r="B188" s="486"/>
    </row>
    <row r="189">
      <c r="B189" s="486"/>
    </row>
    <row r="190">
      <c r="B190" s="486"/>
    </row>
    <row r="191">
      <c r="B191" s="486"/>
    </row>
    <row r="192">
      <c r="B192" s="486"/>
    </row>
    <row r="193">
      <c r="B193" s="486"/>
    </row>
    <row r="194">
      <c r="B194" s="486"/>
    </row>
    <row r="195">
      <c r="B195" s="486"/>
    </row>
    <row r="196">
      <c r="B196" s="486"/>
    </row>
    <row r="197">
      <c r="B197" s="486"/>
    </row>
    <row r="198">
      <c r="B198" s="486"/>
    </row>
    <row r="199">
      <c r="B199" s="486"/>
    </row>
    <row r="200">
      <c r="B200" s="486"/>
    </row>
    <row r="201">
      <c r="B201" s="486"/>
    </row>
    <row r="202">
      <c r="B202" s="486"/>
    </row>
    <row r="203">
      <c r="B203" s="486"/>
    </row>
    <row r="204">
      <c r="B204" s="486"/>
    </row>
    <row r="205">
      <c r="B205" s="486"/>
    </row>
    <row r="206">
      <c r="B206" s="486"/>
    </row>
    <row r="207">
      <c r="B207" s="486"/>
    </row>
    <row r="208">
      <c r="B208" s="486"/>
    </row>
    <row r="209">
      <c r="B209" s="486"/>
    </row>
    <row r="210">
      <c r="B210" s="486"/>
    </row>
    <row r="211">
      <c r="B211" s="486"/>
    </row>
    <row r="212">
      <c r="B212" s="486"/>
    </row>
    <row r="213">
      <c r="B213" s="486"/>
    </row>
    <row r="214">
      <c r="B214" s="486"/>
    </row>
    <row r="215">
      <c r="B215" s="486"/>
    </row>
    <row r="216">
      <c r="B216" s="486"/>
    </row>
    <row r="217">
      <c r="B217" s="486"/>
    </row>
    <row r="218">
      <c r="B218" s="486"/>
    </row>
    <row r="219">
      <c r="B219" s="486"/>
    </row>
    <row r="220">
      <c r="B220" s="486"/>
    </row>
    <row r="221">
      <c r="B221" s="486"/>
    </row>
    <row r="222">
      <c r="B222" s="486"/>
    </row>
    <row r="223">
      <c r="B223" s="486"/>
    </row>
    <row r="224">
      <c r="B224" s="486"/>
    </row>
    <row r="225">
      <c r="B225" s="486"/>
    </row>
    <row r="226">
      <c r="B226" s="486"/>
    </row>
    <row r="227">
      <c r="B227" s="486"/>
    </row>
    <row r="228">
      <c r="B228" s="486"/>
    </row>
    <row r="229">
      <c r="B229" s="486"/>
    </row>
    <row r="230">
      <c r="B230" s="486"/>
    </row>
    <row r="231">
      <c r="B231" s="486"/>
    </row>
    <row r="232">
      <c r="B232" s="486"/>
    </row>
    <row r="233">
      <c r="B233" s="486"/>
    </row>
    <row r="234">
      <c r="B234" s="486"/>
    </row>
    <row r="235">
      <c r="B235" s="486"/>
    </row>
    <row r="236">
      <c r="B236" s="486"/>
    </row>
    <row r="237">
      <c r="B237" s="486"/>
    </row>
    <row r="238">
      <c r="B238" s="486"/>
    </row>
    <row r="239">
      <c r="B239" s="486"/>
    </row>
    <row r="240">
      <c r="B240" s="486"/>
    </row>
    <row r="241">
      <c r="B241" s="486"/>
    </row>
    <row r="242">
      <c r="B242" s="486"/>
    </row>
    <row r="243">
      <c r="B243" s="486"/>
    </row>
    <row r="244">
      <c r="B244" s="486"/>
    </row>
    <row r="245">
      <c r="B245" s="486"/>
    </row>
    <row r="246">
      <c r="B246" s="486"/>
    </row>
    <row r="247">
      <c r="B247" s="486"/>
    </row>
    <row r="248">
      <c r="B248" s="486"/>
    </row>
    <row r="249">
      <c r="B249" s="486"/>
    </row>
    <row r="250">
      <c r="B250" s="486"/>
    </row>
    <row r="251">
      <c r="B251" s="486"/>
    </row>
    <row r="252">
      <c r="B252" s="486"/>
    </row>
    <row r="253">
      <c r="B253" s="486"/>
    </row>
    <row r="254">
      <c r="B254" s="486"/>
    </row>
    <row r="255">
      <c r="B255" s="486"/>
    </row>
    <row r="256">
      <c r="B256" s="486"/>
    </row>
    <row r="257">
      <c r="B257" s="486"/>
    </row>
    <row r="258">
      <c r="B258" s="486"/>
    </row>
    <row r="259">
      <c r="B259" s="486"/>
    </row>
    <row r="260">
      <c r="B260" s="486"/>
    </row>
    <row r="261">
      <c r="B261" s="486"/>
    </row>
    <row r="262">
      <c r="B262" s="486"/>
    </row>
    <row r="263">
      <c r="B263" s="486"/>
    </row>
    <row r="264">
      <c r="B264" s="486"/>
    </row>
    <row r="265">
      <c r="B265" s="486"/>
    </row>
    <row r="266">
      <c r="B266" s="486"/>
    </row>
    <row r="267">
      <c r="B267" s="486"/>
    </row>
    <row r="268">
      <c r="B268" s="486"/>
    </row>
    <row r="269">
      <c r="B269" s="486"/>
    </row>
    <row r="270">
      <c r="B270" s="486"/>
    </row>
    <row r="271">
      <c r="B271" s="486"/>
    </row>
    <row r="272">
      <c r="B272" s="486"/>
    </row>
    <row r="273">
      <c r="B273" s="486"/>
    </row>
    <row r="274">
      <c r="B274" s="486"/>
    </row>
    <row r="275">
      <c r="B275" s="486"/>
    </row>
    <row r="276">
      <c r="B276" s="486"/>
    </row>
    <row r="277">
      <c r="B277" s="486"/>
    </row>
    <row r="278">
      <c r="B278" s="486"/>
    </row>
    <row r="279">
      <c r="B279" s="486"/>
    </row>
    <row r="280">
      <c r="B280" s="486"/>
    </row>
    <row r="281">
      <c r="B281" s="486"/>
    </row>
    <row r="282">
      <c r="B282" s="486"/>
    </row>
    <row r="283">
      <c r="B283" s="486"/>
    </row>
    <row r="284">
      <c r="B284" s="486"/>
    </row>
    <row r="285">
      <c r="B285" s="486"/>
    </row>
    <row r="286">
      <c r="B286" s="486"/>
    </row>
    <row r="287">
      <c r="B287" s="486"/>
    </row>
    <row r="288">
      <c r="B288" s="486"/>
    </row>
    <row r="289">
      <c r="B289" s="486"/>
    </row>
    <row r="290">
      <c r="B290" s="486"/>
    </row>
    <row r="291">
      <c r="B291" s="486"/>
    </row>
    <row r="292">
      <c r="B292" s="486"/>
    </row>
    <row r="293">
      <c r="B293" s="486"/>
    </row>
    <row r="294">
      <c r="B294" s="486"/>
    </row>
    <row r="295">
      <c r="B295" s="486"/>
    </row>
    <row r="296">
      <c r="B296" s="486"/>
    </row>
    <row r="297">
      <c r="B297" s="486"/>
    </row>
    <row r="298">
      <c r="B298" s="486"/>
    </row>
    <row r="299">
      <c r="B299" s="486"/>
    </row>
    <row r="300">
      <c r="B300" s="486"/>
    </row>
    <row r="301">
      <c r="B301" s="486"/>
    </row>
    <row r="302">
      <c r="B302" s="486"/>
    </row>
    <row r="303">
      <c r="B303" s="486"/>
    </row>
    <row r="304">
      <c r="B304" s="486"/>
    </row>
    <row r="305">
      <c r="B305" s="486"/>
    </row>
    <row r="306">
      <c r="B306" s="486"/>
    </row>
    <row r="307">
      <c r="B307" s="486"/>
    </row>
    <row r="308">
      <c r="B308" s="486"/>
    </row>
    <row r="309">
      <c r="B309" s="486"/>
    </row>
    <row r="310">
      <c r="B310" s="486"/>
    </row>
    <row r="311">
      <c r="B311" s="486"/>
    </row>
    <row r="312">
      <c r="B312" s="486"/>
    </row>
    <row r="313">
      <c r="B313" s="486"/>
    </row>
    <row r="314">
      <c r="B314" s="486"/>
    </row>
    <row r="315">
      <c r="B315" s="486"/>
    </row>
    <row r="316">
      <c r="B316" s="486"/>
    </row>
    <row r="317">
      <c r="B317" s="486"/>
    </row>
    <row r="318">
      <c r="B318" s="486"/>
    </row>
    <row r="319">
      <c r="B319" s="486"/>
    </row>
    <row r="320">
      <c r="B320" s="486"/>
    </row>
    <row r="321">
      <c r="B321" s="486"/>
    </row>
    <row r="322">
      <c r="B322" s="486"/>
    </row>
    <row r="323">
      <c r="B323" s="486"/>
    </row>
    <row r="324">
      <c r="B324" s="486"/>
    </row>
    <row r="325">
      <c r="B325" s="486"/>
    </row>
    <row r="326">
      <c r="B326" s="486"/>
    </row>
    <row r="327">
      <c r="B327" s="486"/>
    </row>
    <row r="328">
      <c r="B328" s="486"/>
    </row>
    <row r="329">
      <c r="B329" s="486"/>
    </row>
    <row r="330">
      <c r="B330" s="486"/>
    </row>
    <row r="331">
      <c r="B331" s="486"/>
    </row>
    <row r="332">
      <c r="B332" s="486"/>
    </row>
    <row r="333">
      <c r="B333" s="486"/>
    </row>
    <row r="334">
      <c r="B334" s="486"/>
    </row>
    <row r="335">
      <c r="B335" s="486"/>
    </row>
    <row r="336">
      <c r="B336" s="486"/>
    </row>
    <row r="337">
      <c r="B337" s="486"/>
    </row>
    <row r="338">
      <c r="B338" s="486"/>
    </row>
    <row r="339">
      <c r="B339" s="486"/>
    </row>
    <row r="340">
      <c r="B340" s="486"/>
    </row>
    <row r="341">
      <c r="B341" s="486"/>
    </row>
    <row r="342">
      <c r="B342" s="486"/>
    </row>
    <row r="343">
      <c r="B343" s="486"/>
    </row>
    <row r="344">
      <c r="B344" s="486"/>
    </row>
    <row r="345">
      <c r="B345" s="486"/>
    </row>
    <row r="346">
      <c r="B346" s="486"/>
    </row>
    <row r="347">
      <c r="B347" s="486"/>
    </row>
    <row r="348">
      <c r="B348" s="486"/>
    </row>
    <row r="349">
      <c r="B349" s="486"/>
    </row>
    <row r="350">
      <c r="B350" s="486"/>
    </row>
    <row r="351">
      <c r="B351" s="486"/>
    </row>
    <row r="352">
      <c r="B352" s="486"/>
    </row>
    <row r="353">
      <c r="B353" s="486"/>
    </row>
    <row r="354">
      <c r="B354" s="486"/>
    </row>
    <row r="355">
      <c r="B355" s="486"/>
    </row>
    <row r="356">
      <c r="B356" s="486"/>
    </row>
    <row r="357">
      <c r="B357" s="486"/>
    </row>
    <row r="358">
      <c r="B358" s="486"/>
    </row>
    <row r="359">
      <c r="B359" s="486"/>
    </row>
    <row r="360">
      <c r="B360" s="486"/>
    </row>
    <row r="361">
      <c r="B361" s="486"/>
    </row>
    <row r="362">
      <c r="B362" s="486"/>
    </row>
    <row r="363">
      <c r="B363" s="486"/>
    </row>
    <row r="364">
      <c r="B364" s="486"/>
    </row>
    <row r="365">
      <c r="B365" s="486"/>
    </row>
    <row r="366">
      <c r="B366" s="486"/>
    </row>
    <row r="367">
      <c r="B367" s="486"/>
    </row>
    <row r="368">
      <c r="B368" s="486"/>
    </row>
    <row r="369">
      <c r="B369" s="486"/>
    </row>
    <row r="370">
      <c r="B370" s="486"/>
    </row>
    <row r="371">
      <c r="B371" s="486"/>
    </row>
    <row r="372">
      <c r="B372" s="486"/>
    </row>
    <row r="373">
      <c r="B373" s="486"/>
    </row>
    <row r="374">
      <c r="B374" s="486"/>
    </row>
    <row r="375">
      <c r="B375" s="486"/>
    </row>
    <row r="376">
      <c r="B376" s="486"/>
    </row>
    <row r="377">
      <c r="B377" s="486"/>
    </row>
    <row r="378">
      <c r="B378" s="486"/>
    </row>
    <row r="379">
      <c r="B379" s="486"/>
    </row>
    <row r="380">
      <c r="B380" s="486"/>
    </row>
    <row r="381">
      <c r="B381" s="486"/>
    </row>
    <row r="382">
      <c r="B382" s="486"/>
    </row>
    <row r="383">
      <c r="B383" s="486"/>
    </row>
    <row r="384">
      <c r="B384" s="486"/>
    </row>
    <row r="385">
      <c r="B385" s="486"/>
    </row>
    <row r="386">
      <c r="B386" s="486"/>
    </row>
    <row r="387">
      <c r="B387" s="486"/>
    </row>
    <row r="388">
      <c r="B388" s="486"/>
    </row>
    <row r="389">
      <c r="B389" s="486"/>
    </row>
    <row r="390">
      <c r="B390" s="486"/>
    </row>
    <row r="391">
      <c r="B391" s="486"/>
    </row>
    <row r="392">
      <c r="B392" s="486"/>
    </row>
    <row r="393">
      <c r="B393" s="486"/>
    </row>
    <row r="394">
      <c r="B394" s="486"/>
    </row>
    <row r="395">
      <c r="B395" s="486"/>
    </row>
    <row r="396">
      <c r="B396" s="486"/>
    </row>
    <row r="397">
      <c r="B397" s="486"/>
    </row>
    <row r="398">
      <c r="B398" s="486"/>
    </row>
    <row r="399">
      <c r="B399" s="486"/>
    </row>
    <row r="400">
      <c r="B400" s="486"/>
    </row>
    <row r="401">
      <c r="B401" s="486"/>
    </row>
    <row r="402">
      <c r="B402" s="486"/>
    </row>
    <row r="403">
      <c r="B403" s="486"/>
    </row>
    <row r="404">
      <c r="B404" s="486"/>
    </row>
    <row r="405">
      <c r="B405" s="486"/>
    </row>
    <row r="406">
      <c r="B406" s="486"/>
    </row>
    <row r="407">
      <c r="B407" s="486"/>
    </row>
    <row r="408">
      <c r="B408" s="486"/>
    </row>
    <row r="409">
      <c r="B409" s="486"/>
    </row>
    <row r="410">
      <c r="B410" s="486"/>
    </row>
    <row r="411">
      <c r="B411" s="486"/>
    </row>
    <row r="412">
      <c r="B412" s="486"/>
    </row>
    <row r="413">
      <c r="B413" s="486"/>
    </row>
    <row r="414">
      <c r="B414" s="486"/>
    </row>
    <row r="415">
      <c r="B415" s="486"/>
    </row>
    <row r="416">
      <c r="B416" s="486"/>
    </row>
    <row r="417">
      <c r="B417" s="486"/>
    </row>
    <row r="418">
      <c r="B418" s="486"/>
    </row>
    <row r="419">
      <c r="B419" s="486"/>
    </row>
    <row r="420">
      <c r="B420" s="486"/>
    </row>
    <row r="421">
      <c r="B421" s="486"/>
    </row>
    <row r="422">
      <c r="B422" s="486"/>
    </row>
    <row r="423">
      <c r="B423" s="486"/>
    </row>
    <row r="424">
      <c r="B424" s="486"/>
    </row>
    <row r="425">
      <c r="B425" s="486"/>
    </row>
    <row r="426">
      <c r="B426" s="486"/>
    </row>
    <row r="427">
      <c r="B427" s="486"/>
    </row>
    <row r="428">
      <c r="B428" s="486"/>
    </row>
    <row r="429">
      <c r="B429" s="486"/>
    </row>
    <row r="430">
      <c r="B430" s="486"/>
    </row>
    <row r="431">
      <c r="B431" s="486"/>
    </row>
    <row r="432">
      <c r="B432" s="486"/>
    </row>
    <row r="433">
      <c r="B433" s="486"/>
    </row>
    <row r="434">
      <c r="B434" s="486"/>
    </row>
    <row r="435">
      <c r="B435" s="486"/>
    </row>
    <row r="436">
      <c r="B436" s="486"/>
    </row>
    <row r="437">
      <c r="B437" s="486"/>
    </row>
    <row r="438">
      <c r="B438" s="486"/>
    </row>
    <row r="439">
      <c r="B439" s="486"/>
    </row>
    <row r="440">
      <c r="B440" s="486"/>
    </row>
    <row r="441">
      <c r="B441" s="486"/>
    </row>
    <row r="442">
      <c r="B442" s="486"/>
    </row>
    <row r="443">
      <c r="B443" s="486"/>
    </row>
    <row r="444">
      <c r="B444" s="486"/>
    </row>
    <row r="445">
      <c r="B445" s="486"/>
    </row>
    <row r="446">
      <c r="B446" s="486"/>
    </row>
    <row r="447">
      <c r="B447" s="486"/>
    </row>
    <row r="448">
      <c r="B448" s="486"/>
    </row>
    <row r="449">
      <c r="B449" s="486"/>
    </row>
    <row r="450">
      <c r="B450" s="486"/>
    </row>
    <row r="451">
      <c r="B451" s="486"/>
    </row>
    <row r="452">
      <c r="B452" s="486"/>
    </row>
    <row r="453">
      <c r="B453" s="486"/>
    </row>
    <row r="454">
      <c r="B454" s="486"/>
    </row>
    <row r="455">
      <c r="B455" s="486"/>
    </row>
    <row r="456">
      <c r="B456" s="486"/>
    </row>
    <row r="457">
      <c r="B457" s="486"/>
    </row>
    <row r="458">
      <c r="B458" s="486"/>
    </row>
    <row r="459">
      <c r="B459" s="486"/>
    </row>
    <row r="460">
      <c r="B460" s="486"/>
    </row>
    <row r="461">
      <c r="B461" s="486"/>
    </row>
    <row r="462">
      <c r="B462" s="486"/>
    </row>
    <row r="463">
      <c r="B463" s="486"/>
    </row>
    <row r="464">
      <c r="B464" s="486"/>
    </row>
    <row r="465">
      <c r="B465" s="486"/>
    </row>
    <row r="466">
      <c r="B466" s="486"/>
    </row>
    <row r="467">
      <c r="B467" s="486"/>
    </row>
    <row r="468">
      <c r="B468" s="486"/>
    </row>
    <row r="469">
      <c r="B469" s="486"/>
    </row>
    <row r="470">
      <c r="B470" s="486"/>
    </row>
    <row r="471">
      <c r="B471" s="486"/>
    </row>
    <row r="472">
      <c r="B472" s="486"/>
    </row>
    <row r="473">
      <c r="B473" s="486"/>
    </row>
    <row r="474">
      <c r="B474" s="486"/>
    </row>
    <row r="475">
      <c r="B475" s="486"/>
    </row>
    <row r="476">
      <c r="B476" s="486"/>
    </row>
    <row r="477">
      <c r="B477" s="486"/>
    </row>
    <row r="478">
      <c r="B478" s="486"/>
    </row>
    <row r="479">
      <c r="B479" s="486"/>
    </row>
    <row r="480">
      <c r="B480" s="486"/>
    </row>
    <row r="481">
      <c r="B481" s="486"/>
    </row>
    <row r="482">
      <c r="B482" s="486"/>
    </row>
    <row r="483">
      <c r="B483" s="486"/>
    </row>
    <row r="484">
      <c r="B484" s="486"/>
    </row>
    <row r="485">
      <c r="B485" s="486"/>
    </row>
    <row r="486">
      <c r="B486" s="486"/>
    </row>
    <row r="487">
      <c r="B487" s="486"/>
    </row>
    <row r="488">
      <c r="B488" s="486"/>
    </row>
    <row r="489">
      <c r="B489" s="486"/>
    </row>
    <row r="490">
      <c r="B490" s="486"/>
    </row>
    <row r="491">
      <c r="B491" s="486"/>
    </row>
    <row r="492">
      <c r="B492" s="486"/>
    </row>
    <row r="493">
      <c r="B493" s="486"/>
    </row>
    <row r="494">
      <c r="B494" s="486"/>
    </row>
    <row r="495">
      <c r="B495" s="486"/>
    </row>
    <row r="496">
      <c r="B496" s="486"/>
    </row>
    <row r="497">
      <c r="B497" s="486"/>
    </row>
    <row r="498">
      <c r="B498" s="486"/>
    </row>
    <row r="499">
      <c r="B499" s="486"/>
    </row>
    <row r="500">
      <c r="B500" s="486"/>
    </row>
    <row r="501">
      <c r="B501" s="486"/>
    </row>
    <row r="502">
      <c r="B502" s="486"/>
    </row>
    <row r="503">
      <c r="B503" s="486"/>
    </row>
    <row r="504">
      <c r="B504" s="486"/>
    </row>
    <row r="505">
      <c r="B505" s="486"/>
    </row>
    <row r="506">
      <c r="B506" s="486"/>
    </row>
    <row r="507">
      <c r="B507" s="486"/>
    </row>
    <row r="508">
      <c r="B508" s="486"/>
    </row>
    <row r="509">
      <c r="B509" s="486"/>
    </row>
    <row r="510">
      <c r="B510" s="486"/>
    </row>
    <row r="511">
      <c r="B511" s="486"/>
    </row>
    <row r="512">
      <c r="B512" s="486"/>
    </row>
    <row r="513">
      <c r="B513" s="486"/>
    </row>
    <row r="514">
      <c r="B514" s="486"/>
    </row>
    <row r="515">
      <c r="B515" s="486"/>
    </row>
    <row r="516">
      <c r="B516" s="486"/>
    </row>
    <row r="517">
      <c r="B517" s="486"/>
    </row>
    <row r="518">
      <c r="B518" s="486"/>
    </row>
    <row r="519">
      <c r="B519" s="486"/>
    </row>
    <row r="520">
      <c r="B520" s="486"/>
    </row>
    <row r="521">
      <c r="B521" s="486"/>
    </row>
    <row r="522">
      <c r="B522" s="486"/>
    </row>
    <row r="523">
      <c r="B523" s="486"/>
    </row>
    <row r="524">
      <c r="B524" s="486"/>
    </row>
    <row r="525">
      <c r="B525" s="486"/>
    </row>
    <row r="526">
      <c r="B526" s="486"/>
    </row>
    <row r="527">
      <c r="B527" s="486"/>
    </row>
    <row r="528">
      <c r="B528" s="486"/>
    </row>
    <row r="529">
      <c r="B529" s="486"/>
    </row>
    <row r="530">
      <c r="B530" s="486"/>
    </row>
    <row r="531">
      <c r="B531" s="486"/>
    </row>
    <row r="532">
      <c r="B532" s="486"/>
    </row>
    <row r="533">
      <c r="B533" s="486"/>
    </row>
    <row r="534">
      <c r="B534" s="486"/>
    </row>
    <row r="535">
      <c r="B535" s="486"/>
    </row>
    <row r="536">
      <c r="B536" s="486"/>
    </row>
    <row r="537">
      <c r="B537" s="486"/>
    </row>
    <row r="538">
      <c r="B538" s="486"/>
    </row>
    <row r="539">
      <c r="B539" s="486"/>
    </row>
    <row r="540">
      <c r="B540" s="486"/>
    </row>
    <row r="541">
      <c r="B541" s="486"/>
    </row>
    <row r="542">
      <c r="B542" s="486"/>
    </row>
    <row r="543">
      <c r="B543" s="486"/>
    </row>
    <row r="544">
      <c r="B544" s="486"/>
    </row>
    <row r="545">
      <c r="B545" s="486"/>
    </row>
    <row r="546">
      <c r="B546" s="486"/>
    </row>
    <row r="547">
      <c r="B547" s="486"/>
    </row>
    <row r="548">
      <c r="B548" s="486"/>
    </row>
    <row r="549">
      <c r="B549" s="486"/>
    </row>
    <row r="550">
      <c r="B550" s="486"/>
    </row>
    <row r="551">
      <c r="B551" s="486"/>
    </row>
    <row r="552">
      <c r="B552" s="486"/>
    </row>
    <row r="553">
      <c r="B553" s="486"/>
    </row>
    <row r="554">
      <c r="B554" s="486"/>
    </row>
    <row r="555">
      <c r="B555" s="486"/>
    </row>
    <row r="556">
      <c r="B556" s="486"/>
    </row>
    <row r="557">
      <c r="B557" s="486"/>
    </row>
    <row r="558">
      <c r="B558" s="486"/>
    </row>
    <row r="559">
      <c r="B559" s="486"/>
    </row>
    <row r="560">
      <c r="B560" s="486"/>
    </row>
    <row r="561">
      <c r="B561" s="486"/>
    </row>
    <row r="562">
      <c r="B562" s="486"/>
    </row>
    <row r="563">
      <c r="B563" s="486"/>
    </row>
    <row r="564">
      <c r="B564" s="486"/>
    </row>
    <row r="565">
      <c r="B565" s="486"/>
    </row>
    <row r="566">
      <c r="B566" s="486"/>
    </row>
    <row r="567">
      <c r="B567" s="486"/>
    </row>
    <row r="568">
      <c r="B568" s="486"/>
    </row>
    <row r="569">
      <c r="B569" s="486"/>
    </row>
    <row r="570">
      <c r="B570" s="486"/>
    </row>
    <row r="571">
      <c r="B571" s="486"/>
    </row>
    <row r="572">
      <c r="B572" s="486"/>
    </row>
    <row r="573">
      <c r="B573" s="486"/>
    </row>
    <row r="574">
      <c r="B574" s="486"/>
    </row>
    <row r="575">
      <c r="B575" s="486"/>
    </row>
    <row r="576">
      <c r="B576" s="486"/>
    </row>
    <row r="577">
      <c r="B577" s="486"/>
    </row>
    <row r="578">
      <c r="B578" s="486"/>
    </row>
    <row r="579">
      <c r="B579" s="486"/>
    </row>
    <row r="580">
      <c r="B580" s="486"/>
    </row>
    <row r="581">
      <c r="B581" s="486"/>
    </row>
    <row r="582">
      <c r="B582" s="486"/>
    </row>
    <row r="583">
      <c r="B583" s="486"/>
    </row>
    <row r="584">
      <c r="B584" s="486"/>
    </row>
    <row r="585">
      <c r="B585" s="486"/>
    </row>
    <row r="586">
      <c r="B586" s="486"/>
    </row>
    <row r="587">
      <c r="B587" s="486"/>
    </row>
    <row r="588">
      <c r="B588" s="486"/>
    </row>
    <row r="589">
      <c r="B589" s="486"/>
    </row>
    <row r="590">
      <c r="B590" s="486"/>
    </row>
    <row r="591">
      <c r="B591" s="486"/>
    </row>
    <row r="592">
      <c r="B592" s="486"/>
    </row>
    <row r="593">
      <c r="B593" s="486"/>
    </row>
    <row r="594">
      <c r="B594" s="486"/>
    </row>
    <row r="595">
      <c r="B595" s="486"/>
    </row>
    <row r="596">
      <c r="B596" s="486"/>
    </row>
    <row r="597">
      <c r="B597" s="486"/>
    </row>
    <row r="598">
      <c r="B598" s="486"/>
    </row>
    <row r="599">
      <c r="B599" s="486"/>
    </row>
    <row r="600">
      <c r="B600" s="486"/>
    </row>
    <row r="601">
      <c r="B601" s="486"/>
    </row>
    <row r="602">
      <c r="B602" s="486"/>
    </row>
    <row r="603">
      <c r="B603" s="486"/>
    </row>
    <row r="604">
      <c r="B604" s="486"/>
    </row>
    <row r="605">
      <c r="B605" s="486"/>
    </row>
    <row r="606">
      <c r="B606" s="486"/>
    </row>
    <row r="607">
      <c r="B607" s="486"/>
    </row>
    <row r="608">
      <c r="B608" s="486"/>
    </row>
    <row r="609">
      <c r="B609" s="486"/>
    </row>
    <row r="610">
      <c r="B610" s="486"/>
    </row>
    <row r="611">
      <c r="B611" s="486"/>
    </row>
    <row r="612">
      <c r="B612" s="486"/>
    </row>
    <row r="613">
      <c r="B613" s="486"/>
    </row>
    <row r="614">
      <c r="B614" s="486"/>
    </row>
    <row r="615">
      <c r="B615" s="486"/>
    </row>
    <row r="616">
      <c r="B616" s="486"/>
    </row>
    <row r="617">
      <c r="B617" s="486"/>
    </row>
    <row r="618">
      <c r="B618" s="486"/>
    </row>
    <row r="619">
      <c r="B619" s="486"/>
    </row>
    <row r="620">
      <c r="B620" s="486"/>
    </row>
    <row r="621">
      <c r="B621" s="486"/>
    </row>
    <row r="622">
      <c r="B622" s="486"/>
    </row>
    <row r="623">
      <c r="B623" s="486"/>
    </row>
    <row r="624">
      <c r="B624" s="486"/>
    </row>
    <row r="625">
      <c r="B625" s="486"/>
    </row>
    <row r="626">
      <c r="B626" s="486"/>
    </row>
    <row r="627">
      <c r="B627" s="486"/>
    </row>
    <row r="628">
      <c r="B628" s="486"/>
    </row>
    <row r="629">
      <c r="B629" s="486"/>
    </row>
    <row r="630">
      <c r="B630" s="486"/>
    </row>
    <row r="631">
      <c r="B631" s="486"/>
    </row>
    <row r="632">
      <c r="B632" s="486"/>
    </row>
    <row r="633">
      <c r="B633" s="486"/>
    </row>
    <row r="634">
      <c r="B634" s="486"/>
    </row>
    <row r="635">
      <c r="B635" s="486"/>
    </row>
    <row r="636">
      <c r="B636" s="486"/>
    </row>
    <row r="637">
      <c r="B637" s="486"/>
    </row>
    <row r="638">
      <c r="B638" s="486"/>
    </row>
    <row r="639">
      <c r="B639" s="486"/>
    </row>
    <row r="640">
      <c r="B640" s="486"/>
    </row>
    <row r="641">
      <c r="B641" s="486"/>
    </row>
    <row r="642">
      <c r="B642" s="486"/>
    </row>
    <row r="643">
      <c r="B643" s="486"/>
    </row>
    <row r="644">
      <c r="B644" s="486"/>
    </row>
    <row r="645">
      <c r="B645" s="486"/>
    </row>
    <row r="646">
      <c r="B646" s="486"/>
    </row>
    <row r="647">
      <c r="B647" s="486"/>
    </row>
    <row r="648">
      <c r="B648" s="486"/>
    </row>
    <row r="649">
      <c r="B649" s="486"/>
    </row>
    <row r="650">
      <c r="B650" s="486"/>
    </row>
    <row r="651">
      <c r="B651" s="486"/>
    </row>
    <row r="652">
      <c r="B652" s="486"/>
    </row>
    <row r="653">
      <c r="B653" s="486"/>
    </row>
    <row r="654">
      <c r="B654" s="486"/>
    </row>
    <row r="655">
      <c r="B655" s="486"/>
    </row>
    <row r="656">
      <c r="B656" s="486"/>
    </row>
    <row r="657">
      <c r="B657" s="486"/>
    </row>
    <row r="658">
      <c r="B658" s="486"/>
    </row>
    <row r="659">
      <c r="B659" s="486"/>
    </row>
    <row r="660">
      <c r="B660" s="486"/>
    </row>
    <row r="661">
      <c r="B661" s="486"/>
    </row>
    <row r="662">
      <c r="B662" s="486"/>
    </row>
    <row r="663">
      <c r="B663" s="486"/>
    </row>
    <row r="664">
      <c r="B664" s="486"/>
    </row>
    <row r="665">
      <c r="B665" s="486"/>
    </row>
    <row r="666">
      <c r="B666" s="486"/>
    </row>
    <row r="667">
      <c r="B667" s="486"/>
    </row>
    <row r="668">
      <c r="B668" s="486"/>
    </row>
    <row r="669">
      <c r="B669" s="486"/>
    </row>
    <row r="670">
      <c r="B670" s="486"/>
    </row>
    <row r="671">
      <c r="B671" s="486"/>
    </row>
    <row r="672">
      <c r="B672" s="486"/>
    </row>
    <row r="673">
      <c r="B673" s="486"/>
    </row>
    <row r="674">
      <c r="B674" s="486"/>
    </row>
    <row r="675">
      <c r="B675" s="486"/>
    </row>
    <row r="676">
      <c r="B676" s="486"/>
    </row>
    <row r="677">
      <c r="B677" s="486"/>
    </row>
    <row r="678">
      <c r="B678" s="486"/>
    </row>
    <row r="679">
      <c r="B679" s="486"/>
    </row>
    <row r="680">
      <c r="B680" s="486"/>
    </row>
    <row r="681">
      <c r="B681" s="486"/>
    </row>
    <row r="682">
      <c r="B682" s="486"/>
    </row>
    <row r="683">
      <c r="B683" s="486"/>
    </row>
    <row r="684">
      <c r="B684" s="486"/>
    </row>
    <row r="685">
      <c r="B685" s="486"/>
    </row>
    <row r="686">
      <c r="B686" s="486"/>
    </row>
    <row r="687">
      <c r="B687" s="486"/>
    </row>
    <row r="688">
      <c r="B688" s="486"/>
    </row>
    <row r="689">
      <c r="B689" s="486"/>
    </row>
    <row r="690">
      <c r="B690" s="486"/>
    </row>
    <row r="691">
      <c r="B691" s="486"/>
    </row>
    <row r="692">
      <c r="B692" s="486"/>
    </row>
    <row r="693">
      <c r="B693" s="486"/>
    </row>
    <row r="694">
      <c r="B694" s="486"/>
    </row>
    <row r="695">
      <c r="B695" s="486"/>
    </row>
    <row r="696">
      <c r="B696" s="486"/>
    </row>
    <row r="697">
      <c r="B697" s="486"/>
    </row>
    <row r="698">
      <c r="B698" s="486"/>
    </row>
    <row r="699">
      <c r="B699" s="486"/>
    </row>
    <row r="700">
      <c r="B700" s="486"/>
    </row>
    <row r="701">
      <c r="B701" s="486"/>
    </row>
    <row r="702">
      <c r="B702" s="486"/>
    </row>
    <row r="703">
      <c r="B703" s="486"/>
    </row>
    <row r="704">
      <c r="B704" s="486"/>
    </row>
    <row r="705">
      <c r="B705" s="486"/>
    </row>
    <row r="706">
      <c r="B706" s="486"/>
    </row>
    <row r="707">
      <c r="B707" s="486"/>
    </row>
    <row r="708">
      <c r="B708" s="486"/>
    </row>
    <row r="709">
      <c r="B709" s="486"/>
    </row>
    <row r="710">
      <c r="B710" s="486"/>
    </row>
    <row r="711">
      <c r="B711" s="486"/>
    </row>
    <row r="712">
      <c r="B712" s="486"/>
    </row>
    <row r="713">
      <c r="B713" s="486"/>
    </row>
    <row r="714">
      <c r="B714" s="486"/>
    </row>
    <row r="715">
      <c r="B715" s="486"/>
    </row>
    <row r="716">
      <c r="B716" s="486"/>
    </row>
    <row r="717">
      <c r="B717" s="486"/>
    </row>
    <row r="718">
      <c r="B718" s="486"/>
    </row>
    <row r="719">
      <c r="B719" s="486"/>
    </row>
    <row r="720">
      <c r="B720" s="486"/>
    </row>
    <row r="721">
      <c r="B721" s="486"/>
    </row>
    <row r="722">
      <c r="B722" s="486"/>
    </row>
    <row r="723">
      <c r="B723" s="486"/>
    </row>
    <row r="724">
      <c r="B724" s="486"/>
    </row>
    <row r="725">
      <c r="B725" s="486"/>
    </row>
    <row r="726">
      <c r="B726" s="486"/>
    </row>
    <row r="727">
      <c r="B727" s="486"/>
    </row>
    <row r="728">
      <c r="B728" s="486"/>
    </row>
    <row r="729">
      <c r="B729" s="486"/>
    </row>
    <row r="730">
      <c r="B730" s="486"/>
    </row>
    <row r="731">
      <c r="B731" s="486"/>
    </row>
    <row r="732">
      <c r="B732" s="486"/>
    </row>
    <row r="733">
      <c r="B733" s="486"/>
    </row>
    <row r="734">
      <c r="B734" s="486"/>
    </row>
    <row r="735">
      <c r="B735" s="486"/>
    </row>
    <row r="736">
      <c r="B736" s="486"/>
    </row>
    <row r="737">
      <c r="B737" s="486"/>
    </row>
    <row r="738">
      <c r="B738" s="486"/>
    </row>
    <row r="739">
      <c r="B739" s="486"/>
    </row>
    <row r="740">
      <c r="B740" s="486"/>
    </row>
    <row r="741">
      <c r="B741" s="486"/>
    </row>
    <row r="742">
      <c r="B742" s="486"/>
    </row>
    <row r="743">
      <c r="B743" s="486"/>
    </row>
    <row r="744">
      <c r="B744" s="486"/>
    </row>
    <row r="745">
      <c r="B745" s="486"/>
    </row>
    <row r="746">
      <c r="B746" s="486"/>
    </row>
    <row r="747">
      <c r="B747" s="486"/>
    </row>
    <row r="748">
      <c r="B748" s="486"/>
    </row>
    <row r="749">
      <c r="B749" s="486"/>
    </row>
    <row r="750">
      <c r="B750" s="486"/>
    </row>
    <row r="751">
      <c r="B751" s="486"/>
    </row>
    <row r="752">
      <c r="B752" s="486"/>
    </row>
    <row r="753">
      <c r="B753" s="486"/>
    </row>
    <row r="754">
      <c r="B754" s="486"/>
    </row>
    <row r="755">
      <c r="B755" s="486"/>
    </row>
    <row r="756">
      <c r="B756" s="486"/>
    </row>
    <row r="757">
      <c r="B757" s="486"/>
    </row>
    <row r="758">
      <c r="B758" s="486"/>
    </row>
    <row r="759">
      <c r="B759" s="486"/>
    </row>
    <row r="760">
      <c r="B760" s="486"/>
    </row>
    <row r="761">
      <c r="B761" s="486"/>
    </row>
    <row r="762">
      <c r="B762" s="486"/>
    </row>
    <row r="763">
      <c r="B763" s="486"/>
    </row>
    <row r="764">
      <c r="B764" s="486"/>
    </row>
    <row r="765">
      <c r="B765" s="486"/>
    </row>
    <row r="766">
      <c r="B766" s="486"/>
    </row>
    <row r="767">
      <c r="B767" s="486"/>
    </row>
    <row r="768">
      <c r="B768" s="486"/>
    </row>
    <row r="769">
      <c r="B769" s="486"/>
    </row>
    <row r="770">
      <c r="B770" s="486"/>
    </row>
    <row r="771">
      <c r="B771" s="486"/>
    </row>
    <row r="772">
      <c r="B772" s="486"/>
    </row>
    <row r="773">
      <c r="B773" s="486"/>
    </row>
    <row r="774">
      <c r="B774" s="486"/>
    </row>
    <row r="775">
      <c r="B775" s="486"/>
    </row>
    <row r="776">
      <c r="B776" s="486"/>
    </row>
    <row r="777">
      <c r="B777" s="486"/>
    </row>
    <row r="778">
      <c r="B778" s="486"/>
    </row>
    <row r="779">
      <c r="B779" s="486"/>
    </row>
    <row r="780">
      <c r="B780" s="486"/>
    </row>
    <row r="781">
      <c r="B781" s="486"/>
    </row>
    <row r="782">
      <c r="B782" s="486"/>
    </row>
    <row r="783">
      <c r="B783" s="486"/>
    </row>
    <row r="784">
      <c r="B784" s="486"/>
    </row>
    <row r="785">
      <c r="B785" s="486"/>
    </row>
    <row r="786">
      <c r="B786" s="486"/>
    </row>
    <row r="787">
      <c r="B787" s="486"/>
    </row>
    <row r="788">
      <c r="B788" s="486"/>
    </row>
    <row r="789">
      <c r="B789" s="486"/>
    </row>
    <row r="790">
      <c r="B790" s="486"/>
    </row>
    <row r="791">
      <c r="B791" s="486"/>
    </row>
    <row r="792">
      <c r="B792" s="486"/>
    </row>
    <row r="793">
      <c r="B793" s="486"/>
    </row>
    <row r="794">
      <c r="B794" s="486"/>
    </row>
    <row r="795">
      <c r="B795" s="486"/>
    </row>
    <row r="796">
      <c r="B796" s="486"/>
    </row>
    <row r="797">
      <c r="B797" s="486"/>
    </row>
    <row r="798">
      <c r="B798" s="486"/>
    </row>
    <row r="799">
      <c r="B799" s="486"/>
    </row>
    <row r="800">
      <c r="B800" s="486"/>
    </row>
    <row r="801">
      <c r="B801" s="486"/>
    </row>
    <row r="802">
      <c r="B802" s="486"/>
    </row>
    <row r="803">
      <c r="B803" s="486"/>
    </row>
    <row r="804">
      <c r="B804" s="486"/>
    </row>
    <row r="805">
      <c r="B805" s="486"/>
    </row>
    <row r="806">
      <c r="B806" s="486"/>
    </row>
    <row r="807">
      <c r="B807" s="486"/>
    </row>
    <row r="808">
      <c r="B808" s="486"/>
    </row>
    <row r="809">
      <c r="B809" s="486"/>
    </row>
    <row r="810">
      <c r="B810" s="486"/>
    </row>
    <row r="811">
      <c r="B811" s="486"/>
    </row>
    <row r="812">
      <c r="B812" s="486"/>
    </row>
    <row r="813">
      <c r="B813" s="486"/>
    </row>
    <row r="814">
      <c r="B814" s="486"/>
    </row>
    <row r="815">
      <c r="B815" s="486"/>
    </row>
    <row r="816">
      <c r="B816" s="486"/>
    </row>
    <row r="817">
      <c r="B817" s="486"/>
    </row>
    <row r="818">
      <c r="B818" s="486"/>
    </row>
    <row r="819">
      <c r="B819" s="486"/>
    </row>
    <row r="820">
      <c r="B820" s="486"/>
    </row>
    <row r="821">
      <c r="B821" s="486"/>
    </row>
    <row r="822">
      <c r="B822" s="486"/>
    </row>
    <row r="823">
      <c r="B823" s="486"/>
    </row>
    <row r="824">
      <c r="B824" s="486"/>
    </row>
    <row r="825">
      <c r="B825" s="486"/>
    </row>
    <row r="826">
      <c r="B826" s="486"/>
    </row>
    <row r="827">
      <c r="B827" s="486"/>
    </row>
    <row r="828">
      <c r="B828" s="486"/>
    </row>
    <row r="829">
      <c r="B829" s="486"/>
    </row>
    <row r="830">
      <c r="B830" s="486"/>
    </row>
    <row r="831">
      <c r="B831" s="486"/>
    </row>
    <row r="832">
      <c r="B832" s="486"/>
    </row>
    <row r="833">
      <c r="B833" s="486"/>
    </row>
    <row r="834">
      <c r="B834" s="486"/>
    </row>
    <row r="835">
      <c r="B835" s="486"/>
    </row>
    <row r="836">
      <c r="B836" s="486"/>
    </row>
    <row r="837">
      <c r="B837" s="486"/>
    </row>
    <row r="838">
      <c r="B838" s="486"/>
    </row>
    <row r="839">
      <c r="B839" s="486"/>
    </row>
    <row r="840">
      <c r="B840" s="486"/>
    </row>
    <row r="841">
      <c r="B841" s="486"/>
    </row>
    <row r="842">
      <c r="B842" s="486"/>
    </row>
    <row r="843">
      <c r="B843" s="486"/>
    </row>
    <row r="844">
      <c r="B844" s="486"/>
    </row>
    <row r="845">
      <c r="B845" s="486"/>
    </row>
    <row r="846">
      <c r="B846" s="486"/>
    </row>
    <row r="847">
      <c r="B847" s="486"/>
    </row>
    <row r="848">
      <c r="B848" s="486"/>
    </row>
    <row r="849">
      <c r="B849" s="486"/>
    </row>
    <row r="850">
      <c r="B850" s="486"/>
    </row>
    <row r="851">
      <c r="B851" s="486"/>
    </row>
    <row r="852">
      <c r="B852" s="486"/>
    </row>
    <row r="853">
      <c r="B853" s="486"/>
    </row>
    <row r="854">
      <c r="B854" s="486"/>
    </row>
    <row r="855">
      <c r="B855" s="486"/>
    </row>
    <row r="856">
      <c r="B856" s="486"/>
    </row>
    <row r="857">
      <c r="B857" s="486"/>
    </row>
    <row r="858">
      <c r="B858" s="486"/>
    </row>
    <row r="859">
      <c r="B859" s="486"/>
    </row>
    <row r="860">
      <c r="B860" s="486"/>
    </row>
    <row r="861">
      <c r="B861" s="486"/>
    </row>
    <row r="862">
      <c r="B862" s="486"/>
    </row>
    <row r="863">
      <c r="B863" s="486"/>
    </row>
    <row r="864">
      <c r="B864" s="486"/>
    </row>
    <row r="865">
      <c r="B865" s="486"/>
    </row>
    <row r="866">
      <c r="B866" s="486"/>
    </row>
    <row r="867">
      <c r="B867" s="486"/>
    </row>
    <row r="868">
      <c r="B868" s="486"/>
    </row>
    <row r="869">
      <c r="B869" s="486"/>
    </row>
    <row r="870">
      <c r="B870" s="486"/>
    </row>
    <row r="871">
      <c r="B871" s="486"/>
    </row>
    <row r="872">
      <c r="B872" s="486"/>
    </row>
    <row r="873">
      <c r="B873" s="486"/>
    </row>
    <row r="874">
      <c r="B874" s="486"/>
    </row>
    <row r="875">
      <c r="B875" s="486"/>
    </row>
    <row r="876">
      <c r="B876" s="486"/>
    </row>
    <row r="877">
      <c r="B877" s="486"/>
    </row>
    <row r="878">
      <c r="B878" s="486"/>
    </row>
    <row r="879">
      <c r="B879" s="486"/>
    </row>
    <row r="880">
      <c r="B880" s="486"/>
    </row>
    <row r="881">
      <c r="B881" s="486"/>
    </row>
    <row r="882">
      <c r="B882" s="486"/>
    </row>
    <row r="883">
      <c r="B883" s="486"/>
    </row>
    <row r="884">
      <c r="B884" s="486"/>
    </row>
    <row r="885">
      <c r="B885" s="486"/>
    </row>
    <row r="886">
      <c r="B886" s="486"/>
    </row>
    <row r="887">
      <c r="B887" s="486"/>
    </row>
    <row r="888">
      <c r="B888" s="486"/>
    </row>
    <row r="889">
      <c r="B889" s="486"/>
    </row>
    <row r="890">
      <c r="B890" s="486"/>
    </row>
    <row r="891">
      <c r="B891" s="486"/>
    </row>
    <row r="892">
      <c r="B892" s="486"/>
    </row>
    <row r="893">
      <c r="B893" s="486"/>
    </row>
    <row r="894">
      <c r="B894" s="486"/>
    </row>
    <row r="895">
      <c r="B895" s="486"/>
    </row>
    <row r="896">
      <c r="B896" s="486"/>
    </row>
    <row r="897">
      <c r="B897" s="486"/>
    </row>
    <row r="898">
      <c r="B898" s="486"/>
    </row>
    <row r="899">
      <c r="B899" s="486"/>
    </row>
    <row r="900">
      <c r="B900" s="486"/>
    </row>
    <row r="901">
      <c r="B901" s="486"/>
    </row>
    <row r="902">
      <c r="B902" s="486"/>
    </row>
    <row r="903">
      <c r="B903" s="486"/>
    </row>
    <row r="904">
      <c r="B904" s="486"/>
    </row>
    <row r="905">
      <c r="B905" s="486"/>
    </row>
    <row r="906">
      <c r="B906" s="486"/>
    </row>
    <row r="907">
      <c r="B907" s="486"/>
    </row>
    <row r="908">
      <c r="B908" s="486"/>
    </row>
    <row r="909">
      <c r="B909" s="486"/>
    </row>
    <row r="910">
      <c r="B910" s="486"/>
    </row>
    <row r="911">
      <c r="B911" s="486"/>
    </row>
    <row r="912">
      <c r="B912" s="486"/>
    </row>
    <row r="913">
      <c r="B913" s="486"/>
    </row>
    <row r="914">
      <c r="B914" s="486"/>
    </row>
    <row r="915">
      <c r="B915" s="486"/>
    </row>
    <row r="916">
      <c r="B916" s="486"/>
    </row>
    <row r="917">
      <c r="B917" s="486"/>
    </row>
    <row r="918">
      <c r="B918" s="486"/>
    </row>
    <row r="919">
      <c r="B919" s="486"/>
    </row>
    <row r="920">
      <c r="B920" s="486"/>
    </row>
    <row r="921">
      <c r="B921" s="486"/>
    </row>
    <row r="922">
      <c r="B922" s="486"/>
    </row>
    <row r="923">
      <c r="B923" s="486"/>
    </row>
    <row r="924">
      <c r="B924" s="486"/>
    </row>
    <row r="925">
      <c r="B925" s="486"/>
    </row>
    <row r="926">
      <c r="B926" s="486"/>
    </row>
    <row r="927">
      <c r="B927" s="486"/>
    </row>
    <row r="928">
      <c r="B928" s="486"/>
    </row>
    <row r="929">
      <c r="B929" s="486"/>
    </row>
    <row r="930">
      <c r="B930" s="486"/>
    </row>
    <row r="931">
      <c r="B931" s="486"/>
    </row>
    <row r="932">
      <c r="B932" s="486"/>
    </row>
    <row r="933">
      <c r="B933" s="486"/>
    </row>
    <row r="934">
      <c r="B934" s="486"/>
    </row>
    <row r="935">
      <c r="B935" s="486"/>
    </row>
    <row r="936">
      <c r="B936" s="486"/>
    </row>
    <row r="937">
      <c r="B937" s="486"/>
    </row>
    <row r="938">
      <c r="B938" s="486"/>
    </row>
    <row r="939">
      <c r="B939" s="486"/>
    </row>
    <row r="940">
      <c r="B940" s="486"/>
    </row>
    <row r="941">
      <c r="B941" s="486"/>
    </row>
    <row r="942">
      <c r="B942" s="486"/>
    </row>
    <row r="943">
      <c r="B943" s="486"/>
    </row>
    <row r="944">
      <c r="B944" s="486"/>
    </row>
    <row r="945">
      <c r="B945" s="486"/>
    </row>
    <row r="946">
      <c r="B946" s="486"/>
    </row>
    <row r="947">
      <c r="B947" s="486"/>
    </row>
    <row r="948">
      <c r="B948" s="486"/>
    </row>
    <row r="949">
      <c r="B949" s="486"/>
    </row>
    <row r="950">
      <c r="B950" s="486"/>
    </row>
    <row r="951">
      <c r="B951" s="486"/>
    </row>
    <row r="952">
      <c r="B952" s="486"/>
    </row>
    <row r="953">
      <c r="B953" s="486"/>
    </row>
    <row r="954">
      <c r="B954" s="486"/>
    </row>
    <row r="955">
      <c r="B955" s="486"/>
    </row>
    <row r="956">
      <c r="B956" s="486"/>
    </row>
    <row r="957">
      <c r="B957" s="486"/>
    </row>
    <row r="958">
      <c r="B958" s="486"/>
    </row>
    <row r="959">
      <c r="B959" s="486"/>
    </row>
    <row r="960">
      <c r="B960" s="486"/>
    </row>
    <row r="961">
      <c r="B961" s="486"/>
    </row>
    <row r="962">
      <c r="B962" s="486"/>
    </row>
    <row r="963">
      <c r="B963" s="486"/>
    </row>
    <row r="964">
      <c r="B964" s="486"/>
    </row>
    <row r="965">
      <c r="B965" s="486"/>
    </row>
    <row r="966">
      <c r="B966" s="486"/>
    </row>
    <row r="967">
      <c r="B967" s="486"/>
    </row>
    <row r="968">
      <c r="B968" s="486"/>
    </row>
    <row r="969">
      <c r="B969" s="486"/>
    </row>
    <row r="970">
      <c r="B970" s="486"/>
    </row>
    <row r="971">
      <c r="B971" s="486"/>
    </row>
    <row r="972">
      <c r="B972" s="486"/>
    </row>
    <row r="973">
      <c r="B973" s="486"/>
    </row>
    <row r="974">
      <c r="B974" s="486"/>
    </row>
    <row r="975">
      <c r="B975" s="486"/>
    </row>
    <row r="976">
      <c r="B976" s="486"/>
    </row>
    <row r="977">
      <c r="B977" s="486"/>
    </row>
    <row r="978">
      <c r="B978" s="486"/>
    </row>
    <row r="979">
      <c r="B979" s="486"/>
    </row>
    <row r="980">
      <c r="B980" s="486"/>
    </row>
    <row r="981">
      <c r="B981" s="486"/>
    </row>
    <row r="982">
      <c r="B982" s="486"/>
    </row>
    <row r="983">
      <c r="B983" s="486"/>
    </row>
    <row r="984">
      <c r="B984" s="486"/>
    </row>
    <row r="985">
      <c r="B985" s="486"/>
    </row>
    <row r="986">
      <c r="B986" s="486"/>
    </row>
    <row r="987">
      <c r="B987" s="486"/>
    </row>
    <row r="988">
      <c r="B988" s="486"/>
    </row>
    <row r="989">
      <c r="B989" s="486"/>
    </row>
    <row r="990">
      <c r="B990" s="486"/>
    </row>
    <row r="991">
      <c r="B991" s="486"/>
    </row>
    <row r="992">
      <c r="B992" s="486"/>
    </row>
    <row r="993">
      <c r="B993" s="486"/>
    </row>
    <row r="994">
      <c r="B994" s="486"/>
    </row>
    <row r="995">
      <c r="B995" s="486"/>
    </row>
    <row r="996">
      <c r="B996" s="486"/>
    </row>
    <row r="997">
      <c r="B997" s="486"/>
    </row>
    <row r="998">
      <c r="B998" s="486"/>
    </row>
    <row r="999">
      <c r="B999" s="486"/>
    </row>
    <row r="1000">
      <c r="B1000" s="486"/>
    </row>
  </sheetData>
  <autoFilter ref="$A$1:$C$13"/>
  <mergeCells count="1">
    <mergeCell ref="F4:G4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4.63"/>
    <col customWidth="1" min="3" max="3" width="16.38"/>
    <col customWidth="1" min="4" max="4" width="13.25"/>
    <col customWidth="1" min="5" max="5" width="14.38"/>
    <col customWidth="1" min="6" max="6" width="20.5"/>
    <col customWidth="1" min="7" max="7" width="17.38"/>
    <col customWidth="1" min="8" max="8" width="14.38"/>
  </cols>
  <sheetData>
    <row r="2">
      <c r="A2" s="14"/>
      <c r="B2" s="14"/>
      <c r="C2" s="14"/>
      <c r="D2" s="487"/>
    </row>
    <row r="3">
      <c r="A3" s="488" t="s">
        <v>578</v>
      </c>
      <c r="B3" s="284"/>
      <c r="C3" s="284"/>
      <c r="D3" s="280"/>
      <c r="F3" s="488" t="s">
        <v>579</v>
      </c>
      <c r="G3" s="284"/>
      <c r="H3" s="280"/>
    </row>
    <row r="4">
      <c r="A4" s="194" t="s">
        <v>580</v>
      </c>
      <c r="B4" s="194" t="s">
        <v>581</v>
      </c>
      <c r="C4" s="194" t="s">
        <v>582</v>
      </c>
      <c r="D4" s="194" t="s">
        <v>583</v>
      </c>
      <c r="F4" s="489" t="s">
        <v>580</v>
      </c>
      <c r="G4" s="489" t="s">
        <v>584</v>
      </c>
      <c r="H4" s="489" t="s">
        <v>583</v>
      </c>
    </row>
    <row r="5">
      <c r="A5" s="490">
        <v>45856.0</v>
      </c>
      <c r="B5" s="194" t="s">
        <v>585</v>
      </c>
      <c r="C5" s="490">
        <v>45871.0</v>
      </c>
      <c r="D5" s="491">
        <v>550000.0</v>
      </c>
      <c r="E5" s="64"/>
      <c r="F5" s="490">
        <v>45811.0</v>
      </c>
      <c r="G5" s="490">
        <v>45863.0</v>
      </c>
      <c r="H5" s="492">
        <v>311841.0</v>
      </c>
    </row>
    <row r="6">
      <c r="A6" s="490">
        <v>45856.0</v>
      </c>
      <c r="B6" s="194" t="s">
        <v>585</v>
      </c>
      <c r="C6" s="490">
        <v>45877.0</v>
      </c>
      <c r="D6" s="491">
        <v>550000.0</v>
      </c>
      <c r="F6" s="490">
        <v>45841.0</v>
      </c>
      <c r="G6" s="490">
        <v>45863.0</v>
      </c>
      <c r="H6" s="492">
        <v>255000.0</v>
      </c>
    </row>
    <row r="7">
      <c r="A7" s="490">
        <v>45865.0</v>
      </c>
      <c r="B7" s="194" t="s">
        <v>585</v>
      </c>
      <c r="C7" s="490">
        <v>45884.0</v>
      </c>
      <c r="D7" s="491">
        <v>550000.0</v>
      </c>
      <c r="F7" s="490">
        <v>45834.0</v>
      </c>
      <c r="G7" s="490">
        <v>45863.0</v>
      </c>
      <c r="H7" s="492">
        <v>298331.25</v>
      </c>
    </row>
    <row r="8">
      <c r="A8" s="490">
        <v>45865.0</v>
      </c>
      <c r="B8" s="194" t="s">
        <v>585</v>
      </c>
      <c r="C8" s="490">
        <v>45887.0</v>
      </c>
      <c r="D8" s="491">
        <v>550000.0</v>
      </c>
      <c r="F8" s="490">
        <v>45834.0</v>
      </c>
      <c r="G8" s="490">
        <v>45864.0</v>
      </c>
      <c r="H8" s="492">
        <v>95779.85</v>
      </c>
    </row>
    <row r="9">
      <c r="A9" s="490"/>
      <c r="B9" s="194"/>
      <c r="C9" s="490"/>
      <c r="D9" s="491"/>
      <c r="F9" s="490">
        <v>45859.0</v>
      </c>
      <c r="G9" s="490">
        <v>45870.0</v>
      </c>
      <c r="H9" s="492">
        <v>907580.7</v>
      </c>
    </row>
    <row r="10">
      <c r="A10" s="490"/>
      <c r="B10" s="194"/>
      <c r="C10" s="491"/>
      <c r="D10" s="491"/>
      <c r="F10" s="490">
        <v>45859.0</v>
      </c>
      <c r="G10" s="490">
        <v>45874.0</v>
      </c>
      <c r="H10" s="492">
        <v>1473246.78</v>
      </c>
    </row>
    <row r="11">
      <c r="A11" s="490"/>
      <c r="B11" s="194"/>
      <c r="C11" s="491"/>
      <c r="D11" s="491"/>
      <c r="F11" s="490"/>
      <c r="G11" s="491"/>
      <c r="H11" s="491"/>
    </row>
    <row r="12">
      <c r="A12" s="490"/>
      <c r="B12" s="194"/>
      <c r="C12" s="491"/>
      <c r="D12" s="491"/>
      <c r="F12" s="490"/>
      <c r="G12" s="491"/>
      <c r="H12" s="491"/>
    </row>
    <row r="13">
      <c r="A13" s="490"/>
      <c r="B13" s="194"/>
      <c r="C13" s="491"/>
      <c r="D13" s="491"/>
      <c r="F13" s="490"/>
      <c r="G13" s="491"/>
      <c r="H13" s="491"/>
    </row>
    <row r="14">
      <c r="A14" s="490"/>
      <c r="B14" s="194"/>
      <c r="C14" s="491"/>
      <c r="D14" s="491"/>
      <c r="F14" s="490"/>
      <c r="G14" s="491"/>
      <c r="H14" s="491"/>
    </row>
    <row r="15">
      <c r="A15" s="490"/>
      <c r="B15" s="194"/>
      <c r="C15" s="491"/>
      <c r="D15" s="491"/>
      <c r="F15" s="490"/>
      <c r="G15" s="491"/>
      <c r="H15" s="491"/>
    </row>
    <row r="16">
      <c r="A16" s="490"/>
      <c r="B16" s="194"/>
      <c r="C16" s="491"/>
      <c r="D16" s="491"/>
      <c r="F16" s="490"/>
      <c r="G16" s="491"/>
      <c r="H16" s="491"/>
    </row>
    <row r="17">
      <c r="A17" s="490"/>
      <c r="B17" s="194"/>
      <c r="C17" s="491"/>
      <c r="D17" s="491"/>
      <c r="F17" s="490"/>
      <c r="G17" s="491"/>
      <c r="H17" s="491"/>
    </row>
    <row r="18">
      <c r="A18" s="490"/>
      <c r="B18" s="194"/>
      <c r="C18" s="491"/>
      <c r="D18" s="491"/>
      <c r="F18" s="490"/>
      <c r="G18" s="491"/>
      <c r="H18" s="491"/>
    </row>
    <row r="19">
      <c r="A19" s="490"/>
      <c r="B19" s="194"/>
      <c r="C19" s="491"/>
      <c r="D19" s="491"/>
      <c r="F19" s="490"/>
      <c r="G19" s="491"/>
      <c r="H19" s="491"/>
    </row>
    <row r="20" ht="15.75" customHeight="1"/>
    <row r="21" ht="15.75" customHeight="1">
      <c r="C21" s="493" t="s">
        <v>586</v>
      </c>
      <c r="D21" s="494">
        <f>SUM(D3:D17)</f>
        <v>2200000</v>
      </c>
      <c r="G21" s="495" t="s">
        <v>587</v>
      </c>
      <c r="H21" s="496">
        <f>SUM(H5:H19)</f>
        <v>3341779.58</v>
      </c>
    </row>
    <row r="22" ht="15.75" customHeight="1"/>
    <row r="23" ht="15.75" customHeight="1">
      <c r="C23" s="493"/>
      <c r="D23" s="494"/>
      <c r="G23" s="493"/>
      <c r="H23" s="49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autoFilter ref="$A$4:$D$8"/>
  <mergeCells count="2">
    <mergeCell ref="A3:D3"/>
    <mergeCell ref="F3:H3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3" max="3" width="3.13"/>
    <col customWidth="1" min="4" max="4" width="74.25"/>
    <col customWidth="1" min="7" max="7" width="16.38"/>
    <col customWidth="1" min="9" max="9" width="30.88"/>
  </cols>
  <sheetData>
    <row r="2" hidden="1">
      <c r="A2" s="226" t="s">
        <v>588</v>
      </c>
    </row>
    <row r="3" hidden="1"/>
    <row r="4" hidden="1">
      <c r="A4" s="497">
        <v>45724.0</v>
      </c>
    </row>
    <row r="5" hidden="1">
      <c r="A5" s="498" t="s">
        <v>589</v>
      </c>
      <c r="B5" s="499">
        <v>200000.0</v>
      </c>
      <c r="C5" s="500"/>
      <c r="D5" s="498" t="s">
        <v>590</v>
      </c>
      <c r="H5" s="501" t="s">
        <v>591</v>
      </c>
      <c r="I5" s="502"/>
      <c r="J5" s="503"/>
    </row>
    <row r="6" hidden="1">
      <c r="A6" s="498" t="s">
        <v>592</v>
      </c>
      <c r="B6" s="499">
        <v>200000.0</v>
      </c>
      <c r="C6" s="500"/>
      <c r="D6" s="498" t="s">
        <v>593</v>
      </c>
      <c r="H6" s="504"/>
      <c r="I6" s="35"/>
      <c r="J6" s="505"/>
    </row>
    <row r="7" hidden="1">
      <c r="H7" s="506">
        <v>1200.0</v>
      </c>
      <c r="I7" s="415" t="s">
        <v>594</v>
      </c>
      <c r="J7" s="507" t="s">
        <v>595</v>
      </c>
    </row>
    <row r="8" hidden="1">
      <c r="A8" s="497">
        <v>45731.0</v>
      </c>
      <c r="H8" s="508">
        <v>-200.0</v>
      </c>
      <c r="I8" s="509" t="s">
        <v>596</v>
      </c>
      <c r="J8" s="510" t="s">
        <v>597</v>
      </c>
    </row>
    <row r="9" hidden="1">
      <c r="A9" s="498" t="s">
        <v>589</v>
      </c>
      <c r="B9" s="499">
        <v>200000.0</v>
      </c>
      <c r="C9" s="500"/>
      <c r="D9" s="498" t="s">
        <v>598</v>
      </c>
    </row>
    <row r="10" hidden="1">
      <c r="A10" s="511" t="s">
        <v>592</v>
      </c>
      <c r="B10" s="512">
        <v>200000.0</v>
      </c>
      <c r="C10" s="513"/>
      <c r="D10" s="511" t="s">
        <v>599</v>
      </c>
      <c r="G10" s="64" t="s">
        <v>600</v>
      </c>
      <c r="H10" s="514">
        <f>SUM(H6:H8)</f>
        <v>1000</v>
      </c>
      <c r="I10" s="64" t="s">
        <v>601</v>
      </c>
    </row>
    <row r="11" hidden="1"/>
    <row r="12" hidden="1">
      <c r="A12" s="497">
        <v>45738.0</v>
      </c>
    </row>
    <row r="13" hidden="1">
      <c r="A13" s="498" t="s">
        <v>589</v>
      </c>
      <c r="B13" s="499">
        <v>200000.0</v>
      </c>
      <c r="C13" s="500"/>
      <c r="D13" s="498" t="s">
        <v>602</v>
      </c>
    </row>
    <row r="14" hidden="1">
      <c r="A14" s="511" t="s">
        <v>592</v>
      </c>
      <c r="B14" s="512">
        <v>200000.0</v>
      </c>
      <c r="C14" s="513"/>
      <c r="D14" s="511" t="s">
        <v>603</v>
      </c>
    </row>
    <row r="15" hidden="1">
      <c r="H15" s="501" t="s">
        <v>604</v>
      </c>
      <c r="I15" s="502"/>
      <c r="J15" s="503"/>
    </row>
    <row r="16" hidden="1">
      <c r="A16" s="497">
        <v>45745.0</v>
      </c>
      <c r="H16" s="504"/>
      <c r="I16" s="35"/>
      <c r="J16" s="505"/>
    </row>
    <row r="17" hidden="1">
      <c r="A17" s="498" t="s">
        <v>589</v>
      </c>
      <c r="B17" s="499">
        <v>200000.0</v>
      </c>
      <c r="C17" s="500"/>
      <c r="D17" s="498" t="s">
        <v>605</v>
      </c>
      <c r="H17" s="506">
        <v>1200.0</v>
      </c>
      <c r="I17" s="415" t="s">
        <v>606</v>
      </c>
      <c r="J17" s="515" t="s">
        <v>607</v>
      </c>
    </row>
    <row r="18" hidden="1">
      <c r="A18" s="498" t="s">
        <v>592</v>
      </c>
      <c r="B18" s="499">
        <v>200000.0</v>
      </c>
      <c r="C18" s="500"/>
      <c r="D18" s="498" t="s">
        <v>608</v>
      </c>
      <c r="H18" s="508">
        <f>525000/1200</f>
        <v>437.5</v>
      </c>
      <c r="I18" s="509" t="s">
        <v>596</v>
      </c>
      <c r="J18" s="510" t="s">
        <v>607</v>
      </c>
    </row>
    <row r="19" hidden="1"/>
    <row r="20" hidden="1">
      <c r="A20" s="226" t="s">
        <v>609</v>
      </c>
      <c r="G20" s="64" t="s">
        <v>600</v>
      </c>
      <c r="H20" s="514">
        <f>H17-H18</f>
        <v>762.5</v>
      </c>
      <c r="I20" s="64" t="s">
        <v>601</v>
      </c>
    </row>
    <row r="21" hidden="1"/>
    <row r="22" hidden="1">
      <c r="A22" s="497">
        <v>45752.0</v>
      </c>
    </row>
    <row r="23" hidden="1">
      <c r="A23" s="498" t="s">
        <v>589</v>
      </c>
      <c r="B23" s="499">
        <v>200000.0</v>
      </c>
      <c r="C23" s="500"/>
      <c r="D23" s="498" t="s">
        <v>610</v>
      </c>
      <c r="G23" s="516"/>
      <c r="H23" s="516"/>
      <c r="I23" s="516"/>
      <c r="J23" s="516"/>
    </row>
    <row r="24" hidden="1">
      <c r="A24" s="517" t="s">
        <v>592</v>
      </c>
      <c r="B24" s="518">
        <v>200000.0</v>
      </c>
      <c r="C24" s="519"/>
      <c r="D24" s="520" t="s">
        <v>611</v>
      </c>
      <c r="F24" s="33" t="s">
        <v>612</v>
      </c>
      <c r="G24" s="521" t="s">
        <v>613</v>
      </c>
      <c r="H24" s="522">
        <v>1763.0</v>
      </c>
      <c r="I24" s="521" t="s">
        <v>601</v>
      </c>
      <c r="J24" s="521" t="s">
        <v>592</v>
      </c>
    </row>
    <row r="25" hidden="1">
      <c r="F25" s="33" t="s">
        <v>614</v>
      </c>
      <c r="G25" s="521" t="s">
        <v>613</v>
      </c>
      <c r="H25" s="522">
        <v>500.0</v>
      </c>
      <c r="I25" s="521" t="s">
        <v>601</v>
      </c>
      <c r="J25" s="521" t="s">
        <v>592</v>
      </c>
    </row>
    <row r="26" hidden="1">
      <c r="A26" s="497">
        <v>45759.0</v>
      </c>
      <c r="G26" s="64"/>
      <c r="H26" s="523">
        <f>SUM(H24:H25)</f>
        <v>2263</v>
      </c>
      <c r="I26" s="64"/>
      <c r="J26" s="64"/>
      <c r="K26" s="64"/>
    </row>
    <row r="27" hidden="1">
      <c r="A27" s="511" t="s">
        <v>589</v>
      </c>
      <c r="B27" s="512">
        <v>200000.0</v>
      </c>
      <c r="C27" s="513"/>
      <c r="D27" s="511" t="s">
        <v>615</v>
      </c>
      <c r="G27" s="64"/>
      <c r="H27" s="524"/>
      <c r="I27" s="64"/>
      <c r="J27" s="64"/>
      <c r="K27" s="64"/>
    </row>
    <row r="28" hidden="1">
      <c r="A28" s="525" t="s">
        <v>592</v>
      </c>
      <c r="B28" s="526">
        <v>200000.0</v>
      </c>
      <c r="C28" s="527"/>
      <c r="D28" s="525" t="s">
        <v>616</v>
      </c>
    </row>
    <row r="29" hidden="1"/>
    <row r="30" hidden="1">
      <c r="A30" s="497">
        <v>45766.0</v>
      </c>
    </row>
    <row r="31" hidden="1">
      <c r="A31" s="525" t="s">
        <v>589</v>
      </c>
      <c r="B31" s="526">
        <v>200000.0</v>
      </c>
      <c r="C31" s="527"/>
      <c r="D31" s="525" t="s">
        <v>617</v>
      </c>
    </row>
    <row r="32" hidden="1">
      <c r="A32" s="525" t="s">
        <v>592</v>
      </c>
      <c r="B32" s="526">
        <v>200000.0</v>
      </c>
      <c r="C32" s="527"/>
      <c r="D32" s="525" t="s">
        <v>618</v>
      </c>
    </row>
    <row r="33" hidden="1"/>
    <row r="34" hidden="1">
      <c r="A34" s="497">
        <v>45773.0</v>
      </c>
    </row>
    <row r="35" hidden="1">
      <c r="A35" s="511" t="s">
        <v>589</v>
      </c>
      <c r="B35" s="512">
        <v>200000.0</v>
      </c>
      <c r="C35" s="513"/>
      <c r="D35" s="511" t="s">
        <v>619</v>
      </c>
    </row>
    <row r="36" hidden="1">
      <c r="A36" s="511" t="s">
        <v>592</v>
      </c>
      <c r="B36" s="512">
        <v>200000.0</v>
      </c>
      <c r="C36" s="513"/>
      <c r="D36" s="511" t="s">
        <v>620</v>
      </c>
    </row>
    <row r="37" hidden="1"/>
    <row r="38" hidden="1">
      <c r="A38" s="226" t="s">
        <v>621</v>
      </c>
    </row>
    <row r="39" hidden="1"/>
    <row r="40" hidden="1">
      <c r="A40" s="497">
        <v>45780.0</v>
      </c>
    </row>
    <row r="41" hidden="1">
      <c r="A41" s="525" t="s">
        <v>589</v>
      </c>
      <c r="B41" s="526">
        <v>200000.0</v>
      </c>
      <c r="C41" s="527"/>
      <c r="D41" s="525" t="s">
        <v>622</v>
      </c>
    </row>
    <row r="42" hidden="1">
      <c r="A42" s="525" t="s">
        <v>592</v>
      </c>
      <c r="B42" s="526">
        <v>200000.0</v>
      </c>
      <c r="C42" s="527"/>
      <c r="D42" s="525" t="s">
        <v>623</v>
      </c>
    </row>
    <row r="43" hidden="1"/>
    <row r="44" hidden="1">
      <c r="A44" s="497">
        <v>45787.0</v>
      </c>
    </row>
    <row r="45" hidden="1">
      <c r="A45" s="511" t="s">
        <v>589</v>
      </c>
      <c r="B45" s="512">
        <v>200000.0</v>
      </c>
      <c r="C45" s="513"/>
      <c r="D45" s="511" t="s">
        <v>624</v>
      </c>
    </row>
    <row r="46" hidden="1">
      <c r="A46" s="511" t="s">
        <v>592</v>
      </c>
      <c r="B46" s="512">
        <v>200000.0</v>
      </c>
      <c r="C46" s="513"/>
      <c r="D46" s="511" t="s">
        <v>625</v>
      </c>
    </row>
    <row r="47" hidden="1"/>
    <row r="48" hidden="1">
      <c r="A48" s="497">
        <v>45794.0</v>
      </c>
    </row>
    <row r="49" hidden="1">
      <c r="A49" s="511" t="s">
        <v>589</v>
      </c>
      <c r="B49" s="512">
        <v>200000.0</v>
      </c>
      <c r="C49" s="513"/>
      <c r="D49" s="511" t="s">
        <v>626</v>
      </c>
    </row>
    <row r="50" hidden="1">
      <c r="A50" s="511" t="s">
        <v>592</v>
      </c>
      <c r="B50" s="512">
        <v>200000.0</v>
      </c>
      <c r="C50" s="513"/>
      <c r="D50" s="511" t="s">
        <v>627</v>
      </c>
    </row>
    <row r="51" hidden="1"/>
    <row r="52" hidden="1">
      <c r="A52" s="497">
        <v>45801.0</v>
      </c>
    </row>
    <row r="53" hidden="1">
      <c r="A53" s="528" t="s">
        <v>589</v>
      </c>
      <c r="B53" s="529">
        <v>200000.0</v>
      </c>
      <c r="C53" s="530"/>
      <c r="D53" s="528" t="s">
        <v>628</v>
      </c>
    </row>
    <row r="54" hidden="1">
      <c r="A54" s="528" t="s">
        <v>592</v>
      </c>
      <c r="B54" s="529">
        <v>200000.0</v>
      </c>
      <c r="C54" s="530"/>
      <c r="D54" s="528" t="s">
        <v>629</v>
      </c>
    </row>
    <row r="55" hidden="1">
      <c r="A55" s="531"/>
      <c r="B55" s="532"/>
      <c r="C55" s="242"/>
      <c r="D55" s="531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</row>
    <row r="56" hidden="1">
      <c r="A56" s="497">
        <v>45808.0</v>
      </c>
    </row>
    <row r="57" hidden="1">
      <c r="A57" s="528" t="s">
        <v>589</v>
      </c>
      <c r="B57" s="529">
        <v>200000.0</v>
      </c>
      <c r="C57" s="530"/>
      <c r="D57" s="528" t="s">
        <v>630</v>
      </c>
    </row>
    <row r="58" hidden="1">
      <c r="A58" s="528" t="s">
        <v>592</v>
      </c>
      <c r="B58" s="529">
        <v>200000.0</v>
      </c>
      <c r="C58" s="530"/>
      <c r="D58" s="528" t="s">
        <v>631</v>
      </c>
    </row>
    <row r="59" hidden="1"/>
    <row r="60" hidden="1">
      <c r="A60" s="226" t="s">
        <v>632</v>
      </c>
    </row>
    <row r="61" hidden="1"/>
    <row r="62" hidden="1">
      <c r="A62" s="497">
        <v>45815.0</v>
      </c>
    </row>
    <row r="63" hidden="1">
      <c r="A63" s="528" t="s">
        <v>589</v>
      </c>
      <c r="B63" s="529">
        <v>200000.0</v>
      </c>
      <c r="C63" s="530"/>
      <c r="D63" s="528" t="s">
        <v>633</v>
      </c>
    </row>
    <row r="64" hidden="1">
      <c r="A64" s="528" t="s">
        <v>592</v>
      </c>
      <c r="B64" s="529">
        <v>200000.0</v>
      </c>
      <c r="C64" s="530"/>
      <c r="D64" s="528" t="s">
        <v>634</v>
      </c>
    </row>
    <row r="65" hidden="1"/>
    <row r="66" hidden="1">
      <c r="A66" s="497"/>
    </row>
    <row r="67" hidden="1">
      <c r="A67" s="64" t="s">
        <v>589</v>
      </c>
      <c r="B67" s="533">
        <v>3475000.0</v>
      </c>
      <c r="D67" s="64" t="s">
        <v>635</v>
      </c>
    </row>
    <row r="68">
      <c r="A68" s="64"/>
      <c r="B68" s="533"/>
    </row>
    <row r="69">
      <c r="A69" s="534" t="s">
        <v>636</v>
      </c>
      <c r="B69" s="126"/>
      <c r="C69" s="126"/>
      <c r="D69" s="175"/>
    </row>
    <row r="70">
      <c r="A70" s="444" t="s">
        <v>637</v>
      </c>
      <c r="B70" s="533">
        <v>3475000.0</v>
      </c>
      <c r="D70" s="535"/>
    </row>
    <row r="71">
      <c r="A71" s="444" t="s">
        <v>638</v>
      </c>
      <c r="B71" s="536">
        <v>860000.0</v>
      </c>
      <c r="C71" s="537"/>
      <c r="D71" s="538"/>
      <c r="G71" s="539" t="s">
        <v>468</v>
      </c>
    </row>
    <row r="72">
      <c r="A72" s="444" t="s">
        <v>639</v>
      </c>
      <c r="B72" s="533">
        <f>SUM(B70:B71)</f>
        <v>4335000</v>
      </c>
      <c r="C72" s="537"/>
      <c r="D72" s="538" t="s">
        <v>640</v>
      </c>
      <c r="F72" s="82">
        <v>46052.0</v>
      </c>
      <c r="G72" s="533">
        <v>1200000.0</v>
      </c>
      <c r="H72" s="122" t="s">
        <v>641</v>
      </c>
      <c r="I72" s="122" t="s">
        <v>642</v>
      </c>
    </row>
    <row r="73">
      <c r="A73" s="444" t="s">
        <v>643</v>
      </c>
      <c r="B73" s="533">
        <v>1987485.0</v>
      </c>
      <c r="C73" s="537" t="s">
        <v>644</v>
      </c>
      <c r="D73" s="538" t="s">
        <v>645</v>
      </c>
      <c r="F73" s="82">
        <v>46054.0</v>
      </c>
      <c r="G73" s="533">
        <v>1200.0</v>
      </c>
      <c r="H73" s="122" t="s">
        <v>646</v>
      </c>
    </row>
    <row r="74">
      <c r="A74" s="540" t="s">
        <v>647</v>
      </c>
      <c r="B74" s="533">
        <v>2263.0</v>
      </c>
      <c r="D74" s="535" t="s">
        <v>648</v>
      </c>
      <c r="F74" s="82">
        <v>46081.0</v>
      </c>
      <c r="G74" s="541">
        <v>800000.0</v>
      </c>
      <c r="H74" s="122" t="s">
        <v>641</v>
      </c>
    </row>
    <row r="75">
      <c r="A75" s="444" t="s">
        <v>649</v>
      </c>
      <c r="B75" s="533">
        <f>3400000/1450</f>
        <v>2344.827586</v>
      </c>
      <c r="D75" s="542" t="s">
        <v>650</v>
      </c>
      <c r="G75" s="533"/>
    </row>
    <row r="76">
      <c r="A76" s="543"/>
      <c r="B76" s="533"/>
      <c r="D76" s="134"/>
      <c r="G76" s="533"/>
    </row>
    <row r="77">
      <c r="A77" s="544" t="s">
        <v>651</v>
      </c>
      <c r="B77" s="545">
        <f>2890+1600+2263+2345</f>
        <v>9098</v>
      </c>
      <c r="D77" s="542" t="s">
        <v>652</v>
      </c>
      <c r="G77" s="539" t="s">
        <v>507</v>
      </c>
    </row>
    <row r="78">
      <c r="A78" s="543"/>
      <c r="D78" s="134"/>
      <c r="F78" s="82">
        <v>46082.0</v>
      </c>
      <c r="G78" s="541">
        <v>1200.0</v>
      </c>
      <c r="H78" s="122" t="s">
        <v>646</v>
      </c>
    </row>
    <row r="79">
      <c r="A79" s="444" t="s">
        <v>653</v>
      </c>
      <c r="B79" s="533">
        <v>1200000.0</v>
      </c>
      <c r="D79" s="538" t="s">
        <v>654</v>
      </c>
      <c r="F79" s="82">
        <v>46082.0</v>
      </c>
      <c r="G79" s="533">
        <v>1200.0</v>
      </c>
      <c r="H79" s="122" t="s">
        <v>655</v>
      </c>
    </row>
    <row r="80">
      <c r="A80" s="444" t="s">
        <v>656</v>
      </c>
      <c r="B80" s="533">
        <v>800000.0</v>
      </c>
      <c r="D80" s="535" t="s">
        <v>654</v>
      </c>
      <c r="F80" s="82">
        <v>46112.0</v>
      </c>
      <c r="G80" s="541">
        <v>800000.0</v>
      </c>
      <c r="H80" s="122" t="s">
        <v>641</v>
      </c>
    </row>
    <row r="81">
      <c r="A81" s="444" t="s">
        <v>657</v>
      </c>
      <c r="B81" s="533">
        <v>800000.0</v>
      </c>
      <c r="D81" s="134"/>
      <c r="G81" s="533"/>
    </row>
    <row r="82">
      <c r="A82" s="444" t="s">
        <v>658</v>
      </c>
      <c r="B82" s="533">
        <v>800000.0</v>
      </c>
      <c r="D82" s="134"/>
      <c r="G82" s="533"/>
    </row>
    <row r="83">
      <c r="A83" s="444" t="s">
        <v>659</v>
      </c>
      <c r="B83" s="533">
        <v>800000.0</v>
      </c>
      <c r="D83" s="134"/>
      <c r="G83" s="539" t="s">
        <v>508</v>
      </c>
    </row>
    <row r="84">
      <c r="A84" s="546" t="s">
        <v>660</v>
      </c>
      <c r="B84" s="547">
        <v>800000.0</v>
      </c>
      <c r="C84" s="182"/>
      <c r="D84" s="185"/>
      <c r="F84" s="82">
        <v>46113.0</v>
      </c>
      <c r="G84" s="541">
        <v>1200.0</v>
      </c>
      <c r="H84" s="122" t="s">
        <v>655</v>
      </c>
    </row>
    <row r="85">
      <c r="B85" s="533"/>
      <c r="F85" s="82">
        <v>46113.0</v>
      </c>
      <c r="G85" s="541">
        <v>1000.0</v>
      </c>
      <c r="H85" s="122" t="s">
        <v>168</v>
      </c>
    </row>
    <row r="86">
      <c r="F86" s="82">
        <v>46142.0</v>
      </c>
      <c r="G86" s="541">
        <v>800000.0</v>
      </c>
      <c r="H86" s="122" t="s">
        <v>641</v>
      </c>
    </row>
    <row r="87">
      <c r="A87" s="548">
        <v>2026.0</v>
      </c>
      <c r="B87" s="2"/>
      <c r="G87" s="533"/>
    </row>
    <row r="88">
      <c r="A88" s="2"/>
      <c r="B88" s="2"/>
      <c r="G88" s="533"/>
    </row>
    <row r="89">
      <c r="A89" s="549" t="s">
        <v>661</v>
      </c>
      <c r="B89" s="2"/>
      <c r="G89" s="539" t="s">
        <v>509</v>
      </c>
    </row>
    <row r="90">
      <c r="A90" s="71" t="s">
        <v>662</v>
      </c>
      <c r="B90" s="550">
        <f>200000+100000+100000+50000+60000+50000</f>
        <v>560000</v>
      </c>
      <c r="F90" s="82">
        <v>46143.0</v>
      </c>
      <c r="G90" s="541">
        <v>1200.0</v>
      </c>
      <c r="H90" s="122" t="s">
        <v>655</v>
      </c>
    </row>
    <row r="91">
      <c r="A91" s="71" t="s">
        <v>663</v>
      </c>
      <c r="B91" s="550">
        <f>300000+150000+50000+60000+100000</f>
        <v>660000</v>
      </c>
      <c r="F91" s="82">
        <v>46143.0</v>
      </c>
      <c r="G91" s="541">
        <v>1000.0</v>
      </c>
      <c r="H91" s="122" t="s">
        <v>168</v>
      </c>
    </row>
    <row r="92">
      <c r="A92" s="2"/>
      <c r="B92" s="551"/>
      <c r="F92" s="82">
        <v>46173.0</v>
      </c>
      <c r="G92" s="541">
        <v>800000.0</v>
      </c>
      <c r="H92" s="122" t="s">
        <v>641</v>
      </c>
    </row>
    <row r="93">
      <c r="A93" s="549" t="s">
        <v>664</v>
      </c>
      <c r="B93" s="2"/>
      <c r="G93" s="533"/>
    </row>
    <row r="94">
      <c r="A94" s="71" t="s">
        <v>662</v>
      </c>
      <c r="B94" s="552">
        <v>560000.0</v>
      </c>
      <c r="G94" s="533"/>
    </row>
    <row r="95">
      <c r="A95" s="71" t="s">
        <v>663</v>
      </c>
      <c r="B95" s="552">
        <v>450000.0</v>
      </c>
      <c r="G95" s="533"/>
    </row>
    <row r="96">
      <c r="A96" s="2"/>
      <c r="B96" s="2"/>
      <c r="G96" s="533"/>
    </row>
    <row r="97">
      <c r="A97" s="549" t="s">
        <v>665</v>
      </c>
      <c r="B97" s="2"/>
      <c r="G97" s="533"/>
    </row>
    <row r="98">
      <c r="A98" s="71" t="s">
        <v>662</v>
      </c>
      <c r="B98" s="2"/>
      <c r="G98" s="533"/>
    </row>
    <row r="99">
      <c r="A99" s="71" t="s">
        <v>663</v>
      </c>
      <c r="B99" s="2"/>
      <c r="G99" s="533"/>
    </row>
  </sheetData>
  <mergeCells count="7">
    <mergeCell ref="A2:B2"/>
    <mergeCell ref="H5:J5"/>
    <mergeCell ref="H15:J15"/>
    <mergeCell ref="A20:B20"/>
    <mergeCell ref="A38:B38"/>
    <mergeCell ref="A60:B60"/>
    <mergeCell ref="A69:C69"/>
  </mergeCells>
  <printOptions/>
  <pageMargins bottom="0.75" footer="0.0" header="0.0" left="0.7" right="0.7" top="0.75"/>
  <pageSetup orientation="landscape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7.5"/>
    <col customWidth="1" min="3" max="3" width="8.5"/>
    <col customWidth="1" min="4" max="4" width="9.63"/>
    <col customWidth="1" min="5" max="5" width="10.63"/>
    <col customWidth="1" min="6" max="6" width="9.88"/>
    <col customWidth="1" min="7" max="7" width="15.63"/>
    <col customWidth="1" min="8" max="8" width="8.0"/>
    <col customWidth="1" min="9" max="9" width="10.0"/>
    <col customWidth="1" min="10" max="10" width="10.63"/>
    <col customWidth="1" min="11" max="11" width="11.38"/>
    <col customWidth="1" min="12" max="12" width="15.63"/>
    <col customWidth="1" min="13" max="13" width="8.63"/>
    <col customWidth="1" min="14" max="14" width="9.88"/>
    <col customWidth="1" min="15" max="16" width="10.63"/>
    <col customWidth="1" min="17" max="17" width="15.63"/>
    <col customWidth="1" min="18" max="18" width="9.5"/>
    <col customWidth="1" min="19" max="19" width="8.63"/>
    <col customWidth="1" min="20" max="29" width="10.63"/>
  </cols>
  <sheetData>
    <row r="1">
      <c r="C1" s="218"/>
      <c r="D1" s="218"/>
    </row>
    <row r="2">
      <c r="A2" s="553" t="s">
        <v>666</v>
      </c>
      <c r="B2" s="126"/>
      <c r="C2" s="126"/>
      <c r="D2" s="270"/>
      <c r="F2" s="553" t="s">
        <v>159</v>
      </c>
      <c r="G2" s="126"/>
      <c r="H2" s="126"/>
      <c r="I2" s="270"/>
      <c r="K2" s="553" t="s">
        <v>160</v>
      </c>
      <c r="L2" s="126"/>
      <c r="M2" s="126"/>
      <c r="N2" s="270"/>
      <c r="P2" s="553" t="s">
        <v>161</v>
      </c>
      <c r="Q2" s="126"/>
      <c r="R2" s="126"/>
      <c r="S2" s="270"/>
    </row>
    <row r="3">
      <c r="A3" s="554" t="s">
        <v>499</v>
      </c>
      <c r="B3" s="554" t="s">
        <v>667</v>
      </c>
      <c r="C3" s="555" t="s">
        <v>582</v>
      </c>
      <c r="D3" s="555" t="s">
        <v>668</v>
      </c>
      <c r="F3" s="554" t="s">
        <v>499</v>
      </c>
      <c r="G3" s="554" t="s">
        <v>667</v>
      </c>
      <c r="H3" s="555" t="s">
        <v>582</v>
      </c>
      <c r="I3" s="555" t="s">
        <v>668</v>
      </c>
      <c r="K3" s="556" t="s">
        <v>499</v>
      </c>
      <c r="L3" s="556" t="s">
        <v>667</v>
      </c>
      <c r="M3" s="557" t="s">
        <v>582</v>
      </c>
      <c r="N3" s="557" t="s">
        <v>668</v>
      </c>
      <c r="P3" s="554" t="s">
        <v>499</v>
      </c>
      <c r="Q3" s="554" t="s">
        <v>667</v>
      </c>
      <c r="R3" s="555" t="s">
        <v>582</v>
      </c>
      <c r="S3" s="555" t="s">
        <v>668</v>
      </c>
    </row>
    <row r="4">
      <c r="A4" s="558" t="s">
        <v>501</v>
      </c>
      <c r="B4" s="559">
        <v>85586.1</v>
      </c>
      <c r="C4" s="560">
        <v>45855.0</v>
      </c>
      <c r="D4" s="561" t="s">
        <v>669</v>
      </c>
      <c r="F4" s="558" t="s">
        <v>469</v>
      </c>
      <c r="G4" s="559">
        <v>409981.8</v>
      </c>
      <c r="H4" s="560">
        <v>45710.0</v>
      </c>
      <c r="I4" s="561" t="s">
        <v>669</v>
      </c>
      <c r="K4" s="562" t="s">
        <v>670</v>
      </c>
      <c r="L4" s="217">
        <v>35029.0</v>
      </c>
      <c r="M4" s="563"/>
      <c r="N4" s="561" t="s">
        <v>669</v>
      </c>
      <c r="P4" s="564"/>
      <c r="Q4" s="565"/>
      <c r="R4" s="566"/>
      <c r="S4" s="567"/>
    </row>
    <row r="5">
      <c r="A5" s="562" t="s">
        <v>503</v>
      </c>
      <c r="B5" s="217">
        <v>85586.1</v>
      </c>
      <c r="C5" s="563">
        <v>45886.0</v>
      </c>
      <c r="D5" s="568"/>
      <c r="F5" s="562" t="s">
        <v>468</v>
      </c>
      <c r="G5" s="217">
        <v>228366.2</v>
      </c>
      <c r="H5" s="563">
        <v>45738.0</v>
      </c>
      <c r="I5" s="569" t="s">
        <v>669</v>
      </c>
      <c r="K5" s="562" t="s">
        <v>508</v>
      </c>
      <c r="L5" s="217">
        <v>73579.0</v>
      </c>
      <c r="M5" s="563">
        <v>45839.0</v>
      </c>
      <c r="N5" s="561" t="s">
        <v>669</v>
      </c>
      <c r="P5" s="570"/>
      <c r="Q5" s="218"/>
      <c r="R5" s="218"/>
      <c r="S5" s="568"/>
    </row>
    <row r="6">
      <c r="A6" s="562" t="s">
        <v>504</v>
      </c>
      <c r="B6" s="217">
        <v>85586.1</v>
      </c>
      <c r="C6" s="563">
        <v>45917.0</v>
      </c>
      <c r="D6" s="568"/>
      <c r="F6" s="562" t="s">
        <v>507</v>
      </c>
      <c r="G6" s="217">
        <v>235210.3</v>
      </c>
      <c r="H6" s="563">
        <v>45769.0</v>
      </c>
      <c r="I6" s="569" t="s">
        <v>669</v>
      </c>
      <c r="K6" s="562" t="s">
        <v>509</v>
      </c>
      <c r="L6" s="217">
        <v>747913.0</v>
      </c>
      <c r="M6" s="563">
        <v>45870.0</v>
      </c>
      <c r="N6" s="561" t="s">
        <v>669</v>
      </c>
      <c r="P6" s="571"/>
      <c r="Q6" s="572"/>
      <c r="R6" s="218"/>
      <c r="S6" s="568"/>
    </row>
    <row r="7">
      <c r="A7" s="562" t="s">
        <v>480</v>
      </c>
      <c r="B7" s="217">
        <v>85586.1</v>
      </c>
      <c r="C7" s="563">
        <v>45947.0</v>
      </c>
      <c r="D7" s="568"/>
      <c r="F7" s="562" t="s">
        <v>508</v>
      </c>
      <c r="G7" s="217">
        <v>366135.9</v>
      </c>
      <c r="H7" s="563">
        <v>45799.0</v>
      </c>
      <c r="I7" s="569" t="s">
        <v>669</v>
      </c>
      <c r="K7" s="562" t="s">
        <v>510</v>
      </c>
      <c r="L7" s="217">
        <v>626812.22</v>
      </c>
      <c r="M7" s="563">
        <v>45901.0</v>
      </c>
      <c r="N7" s="561" t="s">
        <v>669</v>
      </c>
      <c r="P7" s="570"/>
      <c r="Q7" s="218"/>
      <c r="R7" s="218"/>
      <c r="S7" s="568"/>
    </row>
    <row r="8">
      <c r="A8" s="562" t="s">
        <v>485</v>
      </c>
      <c r="B8" s="217">
        <v>85586.1</v>
      </c>
      <c r="C8" s="563">
        <v>45978.0</v>
      </c>
      <c r="D8" s="568"/>
      <c r="F8" s="562" t="s">
        <v>509</v>
      </c>
      <c r="G8" s="217">
        <v>405275.4</v>
      </c>
      <c r="H8" s="563">
        <v>45830.0</v>
      </c>
      <c r="I8" s="569" t="s">
        <v>669</v>
      </c>
      <c r="K8" s="562"/>
      <c r="L8" s="217"/>
      <c r="M8" s="563"/>
      <c r="N8" s="568"/>
      <c r="P8" s="570"/>
      <c r="Q8" s="218"/>
      <c r="R8" s="218"/>
      <c r="S8" s="568"/>
    </row>
    <row r="9">
      <c r="A9" s="562" t="s">
        <v>487</v>
      </c>
      <c r="B9" s="217">
        <v>85586.1</v>
      </c>
      <c r="C9" s="563">
        <v>46008.0</v>
      </c>
      <c r="D9" s="568"/>
      <c r="F9" s="562" t="s">
        <v>510</v>
      </c>
      <c r="G9" s="217">
        <v>468904.1</v>
      </c>
      <c r="H9" s="563">
        <v>45860.0</v>
      </c>
      <c r="I9" s="569" t="s">
        <v>669</v>
      </c>
      <c r="K9" s="562"/>
      <c r="L9" s="217"/>
      <c r="M9" s="563"/>
      <c r="N9" s="568"/>
      <c r="P9" s="570"/>
      <c r="Q9" s="218"/>
      <c r="R9" s="218"/>
      <c r="S9" s="568"/>
    </row>
    <row r="10">
      <c r="A10" s="562" t="s">
        <v>469</v>
      </c>
      <c r="B10" s="217">
        <v>85586.1</v>
      </c>
      <c r="C10" s="563">
        <v>46039.0</v>
      </c>
      <c r="D10" s="568"/>
      <c r="F10" s="562"/>
      <c r="G10" s="218"/>
      <c r="H10" s="218"/>
      <c r="I10" s="568"/>
      <c r="K10" s="562"/>
      <c r="L10" s="218"/>
      <c r="M10" s="218"/>
      <c r="N10" s="568"/>
      <c r="P10" s="570"/>
      <c r="Q10" s="218"/>
      <c r="R10" s="218"/>
      <c r="S10" s="568"/>
    </row>
    <row r="11">
      <c r="A11" s="562" t="s">
        <v>468</v>
      </c>
      <c r="B11" s="217">
        <v>85586.1</v>
      </c>
      <c r="C11" s="563">
        <v>46070.0</v>
      </c>
      <c r="D11" s="568"/>
      <c r="F11" s="570"/>
      <c r="G11" s="218"/>
      <c r="H11" s="218"/>
      <c r="I11" s="568"/>
      <c r="K11" s="570"/>
      <c r="L11" s="218"/>
      <c r="M11" s="218"/>
      <c r="N11" s="568"/>
      <c r="P11" s="570"/>
      <c r="Q11" s="218"/>
      <c r="R11" s="218"/>
      <c r="S11" s="568"/>
    </row>
    <row r="12">
      <c r="A12" s="570"/>
      <c r="B12" s="218"/>
      <c r="C12" s="218"/>
      <c r="D12" s="568"/>
      <c r="F12" s="570"/>
      <c r="G12" s="218"/>
      <c r="H12" s="218"/>
      <c r="I12" s="568"/>
      <c r="K12" s="570"/>
      <c r="L12" s="218"/>
      <c r="M12" s="218"/>
      <c r="N12" s="568"/>
      <c r="P12" s="570"/>
      <c r="Q12" s="218"/>
      <c r="R12" s="218"/>
      <c r="S12" s="568"/>
    </row>
    <row r="13">
      <c r="A13" s="570"/>
      <c r="B13" s="218"/>
      <c r="C13" s="218"/>
      <c r="D13" s="568"/>
      <c r="F13" s="570"/>
      <c r="G13" s="218"/>
      <c r="H13" s="218"/>
      <c r="I13" s="568"/>
      <c r="K13" s="570"/>
      <c r="L13" s="218"/>
      <c r="M13" s="218"/>
      <c r="N13" s="568"/>
      <c r="P13" s="570"/>
      <c r="Q13" s="218"/>
      <c r="R13" s="218"/>
      <c r="S13" s="568"/>
    </row>
    <row r="14">
      <c r="A14" s="571"/>
      <c r="B14" s="572"/>
      <c r="C14" s="218"/>
      <c r="D14" s="568"/>
      <c r="F14" s="571"/>
      <c r="G14" s="572"/>
      <c r="H14" s="218"/>
      <c r="I14" s="568"/>
      <c r="K14" s="571"/>
      <c r="L14" s="572"/>
      <c r="M14" s="218"/>
      <c r="N14" s="568"/>
      <c r="P14" s="571"/>
      <c r="Q14" s="572"/>
      <c r="R14" s="218"/>
      <c r="S14" s="568"/>
    </row>
    <row r="15">
      <c r="A15" s="570"/>
      <c r="B15" s="218"/>
      <c r="C15" s="218"/>
      <c r="D15" s="568"/>
      <c r="F15" s="570"/>
      <c r="G15" s="218"/>
      <c r="H15" s="218"/>
      <c r="I15" s="568"/>
      <c r="K15" s="570"/>
      <c r="L15" s="218"/>
      <c r="M15" s="218"/>
      <c r="N15" s="568"/>
      <c r="P15" s="570"/>
      <c r="Q15" s="218"/>
      <c r="R15" s="218"/>
      <c r="S15" s="568"/>
    </row>
    <row r="16">
      <c r="A16" s="570"/>
      <c r="B16" s="218"/>
      <c r="C16" s="218"/>
      <c r="D16" s="568"/>
      <c r="F16" s="570"/>
      <c r="G16" s="218"/>
      <c r="H16" s="218"/>
      <c r="I16" s="568"/>
      <c r="K16" s="570"/>
      <c r="L16" s="218"/>
      <c r="M16" s="218"/>
      <c r="N16" s="568"/>
      <c r="P16" s="570"/>
      <c r="Q16" s="218"/>
      <c r="R16" s="218"/>
      <c r="S16" s="568"/>
    </row>
    <row r="17">
      <c r="A17" s="504"/>
      <c r="B17" s="35"/>
      <c r="C17" s="218"/>
      <c r="D17" s="568"/>
      <c r="F17" s="504"/>
      <c r="G17" s="35"/>
      <c r="H17" s="218"/>
      <c r="I17" s="568"/>
      <c r="K17" s="504"/>
      <c r="L17" s="35"/>
      <c r="M17" s="218"/>
      <c r="N17" s="568"/>
      <c r="P17" s="504"/>
      <c r="Q17" s="35"/>
      <c r="R17" s="218"/>
      <c r="S17" s="568"/>
    </row>
    <row r="18">
      <c r="A18" s="504"/>
      <c r="B18" s="35"/>
      <c r="C18" s="218"/>
      <c r="D18" s="568"/>
      <c r="F18" s="504"/>
      <c r="G18" s="35"/>
      <c r="H18" s="218"/>
      <c r="I18" s="568"/>
      <c r="K18" s="504"/>
      <c r="L18" s="35"/>
      <c r="M18" s="218"/>
      <c r="N18" s="568"/>
      <c r="P18" s="504"/>
      <c r="Q18" s="35"/>
      <c r="R18" s="218"/>
      <c r="S18" s="568"/>
    </row>
    <row r="19">
      <c r="A19" s="504"/>
      <c r="B19" s="35"/>
      <c r="C19" s="218"/>
      <c r="D19" s="568"/>
      <c r="F19" s="504"/>
      <c r="G19" s="35"/>
      <c r="H19" s="218"/>
      <c r="I19" s="568"/>
      <c r="K19" s="504"/>
      <c r="L19" s="35"/>
      <c r="M19" s="218"/>
      <c r="N19" s="568"/>
      <c r="P19" s="504"/>
      <c r="Q19" s="35"/>
      <c r="R19" s="218"/>
      <c r="S19" s="568"/>
    </row>
    <row r="20">
      <c r="A20" s="504"/>
      <c r="B20" s="35"/>
      <c r="C20" s="218"/>
      <c r="D20" s="568"/>
      <c r="F20" s="504"/>
      <c r="G20" s="35"/>
      <c r="H20" s="218"/>
      <c r="I20" s="568"/>
      <c r="K20" s="504"/>
      <c r="L20" s="35"/>
      <c r="M20" s="218"/>
      <c r="N20" s="568"/>
      <c r="P20" s="504"/>
      <c r="Q20" s="35"/>
      <c r="R20" s="218"/>
      <c r="S20" s="568"/>
    </row>
    <row r="21" ht="15.75" customHeight="1">
      <c r="A21" s="504"/>
      <c r="B21" s="35"/>
      <c r="C21" s="218"/>
      <c r="D21" s="568"/>
      <c r="F21" s="504"/>
      <c r="G21" s="35"/>
      <c r="H21" s="218"/>
      <c r="I21" s="568"/>
      <c r="K21" s="504"/>
      <c r="L21" s="35"/>
      <c r="M21" s="218"/>
      <c r="N21" s="568"/>
      <c r="P21" s="504"/>
      <c r="Q21" s="35"/>
      <c r="R21" s="218"/>
      <c r="S21" s="568"/>
    </row>
    <row r="22" ht="15.75" customHeight="1">
      <c r="A22" s="504"/>
      <c r="B22" s="35"/>
      <c r="C22" s="218"/>
      <c r="D22" s="568"/>
      <c r="F22" s="504"/>
      <c r="G22" s="35"/>
      <c r="H22" s="218"/>
      <c r="I22" s="568"/>
      <c r="K22" s="504"/>
      <c r="L22" s="35"/>
      <c r="M22" s="218"/>
      <c r="N22" s="568"/>
      <c r="P22" s="504"/>
      <c r="Q22" s="35"/>
      <c r="R22" s="218"/>
      <c r="S22" s="568"/>
    </row>
    <row r="23" ht="15.75" customHeight="1">
      <c r="A23" s="573"/>
      <c r="B23" s="574"/>
      <c r="C23" s="575"/>
      <c r="D23" s="576"/>
      <c r="F23" s="573"/>
      <c r="G23" s="574"/>
      <c r="H23" s="575"/>
      <c r="I23" s="576"/>
      <c r="K23" s="573"/>
      <c r="L23" s="574"/>
      <c r="M23" s="575"/>
      <c r="N23" s="576"/>
      <c r="P23" s="573"/>
      <c r="Q23" s="574"/>
      <c r="R23" s="575"/>
      <c r="S23" s="576"/>
    </row>
    <row r="24" ht="15.75" customHeight="1">
      <c r="C24" s="218"/>
      <c r="D24" s="218"/>
    </row>
    <row r="25" ht="15.75" customHeight="1">
      <c r="C25" s="218"/>
      <c r="D25" s="218"/>
    </row>
    <row r="26" ht="15.75" customHeight="1">
      <c r="A26" s="468"/>
      <c r="C26" s="218"/>
      <c r="D26" s="218"/>
    </row>
    <row r="27" ht="15.75" customHeight="1">
      <c r="C27" s="218"/>
      <c r="D27" s="218"/>
    </row>
    <row r="28" ht="15.75" customHeight="1">
      <c r="C28" s="218"/>
      <c r="D28" s="218"/>
    </row>
    <row r="29" ht="15.75" customHeight="1">
      <c r="C29" s="218"/>
      <c r="D29" s="218"/>
    </row>
    <row r="30" ht="15.75" customHeight="1">
      <c r="C30" s="218"/>
      <c r="D30" s="218"/>
    </row>
    <row r="31" ht="15.75" customHeight="1">
      <c r="C31" s="218"/>
      <c r="D31" s="218"/>
    </row>
    <row r="32" ht="15.75" customHeight="1">
      <c r="C32" s="218"/>
      <c r="D32" s="218"/>
    </row>
    <row r="33" ht="15.75" customHeight="1">
      <c r="C33" s="218"/>
      <c r="D33" s="218"/>
    </row>
    <row r="34" ht="15.75" customHeight="1">
      <c r="C34" s="218"/>
      <c r="D34" s="218"/>
    </row>
    <row r="35" ht="15.75" customHeight="1">
      <c r="C35" s="218"/>
      <c r="D35" s="218"/>
    </row>
    <row r="36" ht="15.75" customHeight="1">
      <c r="C36" s="218"/>
      <c r="D36" s="218"/>
    </row>
    <row r="37" ht="15.75" customHeight="1">
      <c r="C37" s="218"/>
      <c r="D37" s="218"/>
    </row>
    <row r="38" ht="15.75" customHeight="1">
      <c r="C38" s="218"/>
      <c r="D38" s="218"/>
    </row>
    <row r="39" ht="15.75" customHeight="1">
      <c r="C39" s="218"/>
      <c r="D39" s="218"/>
    </row>
    <row r="40" ht="15.75" customHeight="1">
      <c r="C40" s="218"/>
      <c r="D40" s="218"/>
    </row>
    <row r="41" ht="15.75" customHeight="1">
      <c r="C41" s="218"/>
      <c r="D41" s="218"/>
    </row>
    <row r="42" ht="15.75" customHeight="1">
      <c r="C42" s="218"/>
      <c r="D42" s="218"/>
    </row>
    <row r="43" ht="15.75" customHeight="1">
      <c r="C43" s="218"/>
      <c r="D43" s="218"/>
    </row>
    <row r="44" ht="15.75" customHeight="1">
      <c r="C44" s="218"/>
      <c r="D44" s="218"/>
    </row>
    <row r="45" ht="15.75" customHeight="1">
      <c r="C45" s="218"/>
      <c r="D45" s="218"/>
    </row>
    <row r="46" ht="15.75" customHeight="1">
      <c r="C46" s="218"/>
      <c r="D46" s="218"/>
    </row>
    <row r="47" ht="15.75" customHeight="1">
      <c r="C47" s="218"/>
      <c r="D47" s="218"/>
    </row>
    <row r="48" ht="15.75" customHeight="1">
      <c r="C48" s="218"/>
      <c r="D48" s="218"/>
    </row>
    <row r="49" ht="15.75" customHeight="1">
      <c r="C49" s="218"/>
      <c r="D49" s="218"/>
    </row>
    <row r="50" ht="15.75" customHeight="1">
      <c r="C50" s="218"/>
      <c r="D50" s="218"/>
    </row>
    <row r="51" ht="15.75" customHeight="1">
      <c r="C51" s="218"/>
      <c r="D51" s="218"/>
    </row>
    <row r="52" ht="15.75" customHeight="1">
      <c r="C52" s="218"/>
      <c r="D52" s="218"/>
    </row>
    <row r="53" ht="15.75" customHeight="1">
      <c r="C53" s="218"/>
      <c r="D53" s="218"/>
    </row>
    <row r="54" ht="15.75" customHeight="1">
      <c r="C54" s="218"/>
      <c r="D54" s="218"/>
    </row>
    <row r="55" ht="15.75" customHeight="1">
      <c r="C55" s="218"/>
      <c r="D55" s="218"/>
    </row>
    <row r="56" ht="15.75" customHeight="1">
      <c r="C56" s="218"/>
      <c r="D56" s="218"/>
    </row>
    <row r="57" ht="15.75" customHeight="1">
      <c r="C57" s="218"/>
      <c r="D57" s="218"/>
    </row>
    <row r="58" ht="15.75" customHeight="1">
      <c r="C58" s="218"/>
      <c r="D58" s="218"/>
    </row>
    <row r="59" ht="15.75" customHeight="1">
      <c r="C59" s="218"/>
      <c r="D59" s="218"/>
    </row>
    <row r="60" ht="15.75" customHeight="1">
      <c r="C60" s="218"/>
      <c r="D60" s="218"/>
    </row>
    <row r="61" ht="15.75" customHeight="1">
      <c r="C61" s="218"/>
      <c r="D61" s="218"/>
    </row>
    <row r="62" ht="15.75" customHeight="1">
      <c r="C62" s="218"/>
      <c r="D62" s="218"/>
    </row>
    <row r="63" ht="15.75" customHeight="1">
      <c r="C63" s="218"/>
      <c r="D63" s="218"/>
    </row>
    <row r="64" ht="15.75" customHeight="1">
      <c r="C64" s="218"/>
      <c r="D64" s="218"/>
    </row>
    <row r="65" ht="15.75" customHeight="1">
      <c r="C65" s="218"/>
      <c r="D65" s="218"/>
    </row>
    <row r="66" ht="15.75" customHeight="1">
      <c r="C66" s="218"/>
      <c r="D66" s="218"/>
    </row>
    <row r="67" ht="15.75" customHeight="1">
      <c r="C67" s="218"/>
      <c r="D67" s="218"/>
    </row>
    <row r="68" ht="15.75" customHeight="1">
      <c r="C68" s="218"/>
      <c r="D68" s="218"/>
    </row>
    <row r="69" ht="15.75" customHeight="1">
      <c r="C69" s="218"/>
      <c r="D69" s="218"/>
    </row>
    <row r="70" ht="15.75" customHeight="1">
      <c r="C70" s="218"/>
      <c r="D70" s="218"/>
    </row>
    <row r="71" ht="15.75" customHeight="1">
      <c r="C71" s="218"/>
      <c r="D71" s="218"/>
    </row>
    <row r="72" ht="15.75" customHeight="1">
      <c r="C72" s="218"/>
      <c r="D72" s="218"/>
    </row>
    <row r="73" ht="15.75" customHeight="1">
      <c r="C73" s="218"/>
      <c r="D73" s="218"/>
    </row>
    <row r="74" ht="15.75" customHeight="1">
      <c r="C74" s="218"/>
      <c r="D74" s="218"/>
    </row>
    <row r="75" ht="15.75" customHeight="1">
      <c r="C75" s="218"/>
      <c r="D75" s="218"/>
    </row>
    <row r="76" ht="15.75" customHeight="1">
      <c r="C76" s="218"/>
      <c r="D76" s="218"/>
    </row>
    <row r="77" ht="15.75" customHeight="1">
      <c r="C77" s="218"/>
      <c r="D77" s="218"/>
    </row>
    <row r="78" ht="15.75" customHeight="1">
      <c r="C78" s="218"/>
      <c r="D78" s="218"/>
    </row>
    <row r="79" ht="15.75" customHeight="1">
      <c r="C79" s="218"/>
      <c r="D79" s="218"/>
    </row>
    <row r="80" ht="15.75" customHeight="1">
      <c r="C80" s="218"/>
      <c r="D80" s="218"/>
    </row>
    <row r="81" ht="15.75" customHeight="1">
      <c r="C81" s="218"/>
      <c r="D81" s="218"/>
    </row>
    <row r="82" ht="15.75" customHeight="1">
      <c r="C82" s="218"/>
      <c r="D82" s="218"/>
    </row>
    <row r="83" ht="15.75" customHeight="1">
      <c r="C83" s="218"/>
      <c r="D83" s="218"/>
    </row>
    <row r="84" ht="15.75" customHeight="1">
      <c r="C84" s="218"/>
      <c r="D84" s="218"/>
    </row>
    <row r="85" ht="15.75" customHeight="1">
      <c r="C85" s="218"/>
      <c r="D85" s="218"/>
    </row>
    <row r="86" ht="15.75" customHeight="1">
      <c r="C86" s="218"/>
      <c r="D86" s="218"/>
    </row>
    <row r="87" ht="15.75" customHeight="1">
      <c r="C87" s="218"/>
      <c r="D87" s="218"/>
    </row>
    <row r="88" ht="15.75" customHeight="1">
      <c r="C88" s="218"/>
      <c r="D88" s="218"/>
    </row>
    <row r="89" ht="15.75" customHeight="1">
      <c r="C89" s="218"/>
      <c r="D89" s="218"/>
    </row>
    <row r="90" ht="15.75" customHeight="1">
      <c r="C90" s="218"/>
      <c r="D90" s="218"/>
    </row>
    <row r="91" ht="15.75" customHeight="1">
      <c r="C91" s="218"/>
      <c r="D91" s="218"/>
    </row>
    <row r="92" ht="15.75" customHeight="1">
      <c r="C92" s="218"/>
      <c r="D92" s="218"/>
    </row>
    <row r="93" ht="15.75" customHeight="1">
      <c r="C93" s="218"/>
      <c r="D93" s="218"/>
    </row>
    <row r="94" ht="15.75" customHeight="1">
      <c r="C94" s="218"/>
      <c r="D94" s="218"/>
    </row>
    <row r="95" ht="15.75" customHeight="1">
      <c r="C95" s="218"/>
      <c r="D95" s="218"/>
    </row>
    <row r="96" ht="15.75" customHeight="1">
      <c r="C96" s="218"/>
      <c r="D96" s="218"/>
    </row>
    <row r="97" ht="15.75" customHeight="1">
      <c r="C97" s="218"/>
      <c r="D97" s="218"/>
    </row>
    <row r="98" ht="15.75" customHeight="1">
      <c r="C98" s="218"/>
      <c r="D98" s="218"/>
    </row>
    <row r="99" ht="15.75" customHeight="1">
      <c r="C99" s="218"/>
      <c r="D99" s="218"/>
    </row>
    <row r="100" ht="15.75" customHeight="1">
      <c r="C100" s="218"/>
      <c r="D100" s="218"/>
    </row>
    <row r="101" ht="15.75" customHeight="1">
      <c r="C101" s="218"/>
      <c r="D101" s="218"/>
    </row>
    <row r="102" ht="15.75" customHeight="1">
      <c r="C102" s="218"/>
      <c r="D102" s="218"/>
    </row>
    <row r="103" ht="15.75" customHeight="1">
      <c r="C103" s="218"/>
      <c r="D103" s="218"/>
    </row>
    <row r="104" ht="15.75" customHeight="1">
      <c r="C104" s="218"/>
      <c r="D104" s="218"/>
    </row>
    <row r="105" ht="15.75" customHeight="1">
      <c r="C105" s="218"/>
      <c r="D105" s="218"/>
    </row>
    <row r="106" ht="15.75" customHeight="1">
      <c r="C106" s="218"/>
      <c r="D106" s="218"/>
    </row>
    <row r="107" ht="15.75" customHeight="1">
      <c r="C107" s="218"/>
      <c r="D107" s="218"/>
    </row>
    <row r="108" ht="15.75" customHeight="1">
      <c r="C108" s="218"/>
      <c r="D108" s="218"/>
    </row>
    <row r="109" ht="15.75" customHeight="1">
      <c r="C109" s="218"/>
      <c r="D109" s="218"/>
    </row>
    <row r="110" ht="15.75" customHeight="1">
      <c r="C110" s="218"/>
      <c r="D110" s="218"/>
    </row>
    <row r="111" ht="15.75" customHeight="1">
      <c r="C111" s="218"/>
      <c r="D111" s="218"/>
    </row>
    <row r="112" ht="15.75" customHeight="1">
      <c r="C112" s="218"/>
      <c r="D112" s="218"/>
    </row>
    <row r="113" ht="15.75" customHeight="1">
      <c r="C113" s="218"/>
      <c r="D113" s="218"/>
    </row>
    <row r="114" ht="15.75" customHeight="1">
      <c r="C114" s="218"/>
      <c r="D114" s="218"/>
    </row>
    <row r="115" ht="15.75" customHeight="1">
      <c r="C115" s="218"/>
      <c r="D115" s="218"/>
    </row>
    <row r="116" ht="15.75" customHeight="1">
      <c r="C116" s="218"/>
      <c r="D116" s="218"/>
    </row>
    <row r="117" ht="15.75" customHeight="1">
      <c r="C117" s="218"/>
      <c r="D117" s="218"/>
    </row>
    <row r="118" ht="15.75" customHeight="1">
      <c r="C118" s="218"/>
      <c r="D118" s="218"/>
    </row>
    <row r="119" ht="15.75" customHeight="1">
      <c r="C119" s="218"/>
      <c r="D119" s="218"/>
    </row>
    <row r="120" ht="15.75" customHeight="1">
      <c r="C120" s="218"/>
      <c r="D120" s="218"/>
    </row>
    <row r="121" ht="15.75" customHeight="1">
      <c r="C121" s="218"/>
      <c r="D121" s="218"/>
    </row>
    <row r="122" ht="15.75" customHeight="1">
      <c r="C122" s="218"/>
      <c r="D122" s="218"/>
    </row>
    <row r="123" ht="15.75" customHeight="1">
      <c r="C123" s="218"/>
      <c r="D123" s="218"/>
    </row>
    <row r="124" ht="15.75" customHeight="1">
      <c r="C124" s="218"/>
      <c r="D124" s="218"/>
    </row>
    <row r="125" ht="15.75" customHeight="1">
      <c r="C125" s="218"/>
      <c r="D125" s="218"/>
    </row>
    <row r="126" ht="15.75" customHeight="1">
      <c r="C126" s="218"/>
      <c r="D126" s="218"/>
    </row>
    <row r="127" ht="15.75" customHeight="1">
      <c r="C127" s="218"/>
      <c r="D127" s="218"/>
    </row>
    <row r="128" ht="15.75" customHeight="1">
      <c r="C128" s="218"/>
      <c r="D128" s="218"/>
    </row>
    <row r="129" ht="15.75" customHeight="1">
      <c r="C129" s="218"/>
      <c r="D129" s="218"/>
    </row>
    <row r="130" ht="15.75" customHeight="1">
      <c r="C130" s="218"/>
      <c r="D130" s="218"/>
    </row>
    <row r="131" ht="15.75" customHeight="1">
      <c r="C131" s="218"/>
      <c r="D131" s="218"/>
    </row>
    <row r="132" ht="15.75" customHeight="1">
      <c r="C132" s="218"/>
      <c r="D132" s="218"/>
    </row>
    <row r="133" ht="15.75" customHeight="1">
      <c r="C133" s="218"/>
      <c r="D133" s="218"/>
    </row>
    <row r="134" ht="15.75" customHeight="1">
      <c r="C134" s="218"/>
      <c r="D134" s="218"/>
    </row>
    <row r="135" ht="15.75" customHeight="1">
      <c r="C135" s="218"/>
      <c r="D135" s="218"/>
    </row>
    <row r="136" ht="15.75" customHeight="1">
      <c r="C136" s="218"/>
      <c r="D136" s="218"/>
    </row>
    <row r="137" ht="15.75" customHeight="1">
      <c r="C137" s="218"/>
      <c r="D137" s="218"/>
    </row>
    <row r="138" ht="15.75" customHeight="1">
      <c r="C138" s="218"/>
      <c r="D138" s="218"/>
    </row>
    <row r="139" ht="15.75" customHeight="1">
      <c r="C139" s="218"/>
      <c r="D139" s="218"/>
    </row>
    <row r="140" ht="15.75" customHeight="1">
      <c r="C140" s="218"/>
      <c r="D140" s="218"/>
    </row>
    <row r="141" ht="15.75" customHeight="1">
      <c r="C141" s="218"/>
      <c r="D141" s="218"/>
    </row>
    <row r="142" ht="15.75" customHeight="1">
      <c r="C142" s="218"/>
      <c r="D142" s="218"/>
    </row>
    <row r="143" ht="15.75" customHeight="1">
      <c r="C143" s="218"/>
      <c r="D143" s="218"/>
    </row>
    <row r="144" ht="15.75" customHeight="1">
      <c r="C144" s="218"/>
      <c r="D144" s="218"/>
    </row>
    <row r="145" ht="15.75" customHeight="1">
      <c r="C145" s="218"/>
      <c r="D145" s="218"/>
    </row>
    <row r="146" ht="15.75" customHeight="1">
      <c r="C146" s="218"/>
      <c r="D146" s="218"/>
    </row>
    <row r="147" ht="15.75" customHeight="1">
      <c r="C147" s="218"/>
      <c r="D147" s="218"/>
    </row>
    <row r="148" ht="15.75" customHeight="1">
      <c r="C148" s="218"/>
      <c r="D148" s="218"/>
    </row>
    <row r="149" ht="15.75" customHeight="1">
      <c r="C149" s="218"/>
      <c r="D149" s="218"/>
    </row>
    <row r="150" ht="15.75" customHeight="1">
      <c r="C150" s="218"/>
      <c r="D150" s="218"/>
    </row>
    <row r="151" ht="15.75" customHeight="1">
      <c r="C151" s="218"/>
      <c r="D151" s="218"/>
    </row>
    <row r="152" ht="15.75" customHeight="1">
      <c r="C152" s="218"/>
      <c r="D152" s="218"/>
    </row>
    <row r="153" ht="15.75" customHeight="1">
      <c r="C153" s="218"/>
      <c r="D153" s="218"/>
    </row>
    <row r="154" ht="15.75" customHeight="1">
      <c r="C154" s="218"/>
      <c r="D154" s="218"/>
    </row>
    <row r="155" ht="15.75" customHeight="1">
      <c r="C155" s="218"/>
      <c r="D155" s="218"/>
    </row>
    <row r="156" ht="15.75" customHeight="1">
      <c r="C156" s="218"/>
      <c r="D156" s="218"/>
    </row>
    <row r="157" ht="15.75" customHeight="1">
      <c r="C157" s="218"/>
      <c r="D157" s="218"/>
    </row>
    <row r="158" ht="15.75" customHeight="1">
      <c r="C158" s="218"/>
      <c r="D158" s="218"/>
    </row>
    <row r="159" ht="15.75" customHeight="1">
      <c r="C159" s="218"/>
      <c r="D159" s="218"/>
    </row>
    <row r="160" ht="15.75" customHeight="1">
      <c r="C160" s="218"/>
      <c r="D160" s="218"/>
    </row>
    <row r="161" ht="15.75" customHeight="1">
      <c r="C161" s="218"/>
      <c r="D161" s="218"/>
    </row>
    <row r="162" ht="15.75" customHeight="1">
      <c r="C162" s="218"/>
      <c r="D162" s="218"/>
    </row>
    <row r="163" ht="15.75" customHeight="1">
      <c r="C163" s="218"/>
      <c r="D163" s="218"/>
    </row>
    <row r="164" ht="15.75" customHeight="1">
      <c r="C164" s="218"/>
      <c r="D164" s="218"/>
    </row>
    <row r="165" ht="15.75" customHeight="1">
      <c r="C165" s="218"/>
      <c r="D165" s="218"/>
    </row>
    <row r="166" ht="15.75" customHeight="1">
      <c r="C166" s="218"/>
      <c r="D166" s="218"/>
    </row>
    <row r="167" ht="15.75" customHeight="1">
      <c r="C167" s="218"/>
      <c r="D167" s="218"/>
    </row>
    <row r="168" ht="15.75" customHeight="1">
      <c r="C168" s="218"/>
      <c r="D168" s="218"/>
    </row>
    <row r="169" ht="15.75" customHeight="1">
      <c r="C169" s="218"/>
      <c r="D169" s="218"/>
    </row>
    <row r="170" ht="15.75" customHeight="1">
      <c r="C170" s="218"/>
      <c r="D170" s="218"/>
    </row>
    <row r="171" ht="15.75" customHeight="1">
      <c r="C171" s="218"/>
      <c r="D171" s="218"/>
    </row>
    <row r="172" ht="15.75" customHeight="1">
      <c r="C172" s="218"/>
      <c r="D172" s="218"/>
    </row>
    <row r="173" ht="15.75" customHeight="1">
      <c r="C173" s="218"/>
      <c r="D173" s="218"/>
    </row>
    <row r="174" ht="15.75" customHeight="1">
      <c r="C174" s="218"/>
      <c r="D174" s="218"/>
    </row>
    <row r="175" ht="15.75" customHeight="1">
      <c r="C175" s="218"/>
      <c r="D175" s="218"/>
    </row>
    <row r="176" ht="15.75" customHeight="1">
      <c r="C176" s="218"/>
      <c r="D176" s="218"/>
    </row>
    <row r="177" ht="15.75" customHeight="1">
      <c r="C177" s="218"/>
      <c r="D177" s="218"/>
    </row>
    <row r="178" ht="15.75" customHeight="1">
      <c r="C178" s="218"/>
      <c r="D178" s="218"/>
    </row>
    <row r="179" ht="15.75" customHeight="1">
      <c r="C179" s="218"/>
      <c r="D179" s="218"/>
    </row>
    <row r="180" ht="15.75" customHeight="1">
      <c r="C180" s="218"/>
      <c r="D180" s="218"/>
    </row>
    <row r="181" ht="15.75" customHeight="1">
      <c r="C181" s="218"/>
      <c r="D181" s="218"/>
    </row>
    <row r="182" ht="15.75" customHeight="1">
      <c r="C182" s="218"/>
      <c r="D182" s="218"/>
    </row>
    <row r="183" ht="15.75" customHeight="1">
      <c r="C183" s="218"/>
      <c r="D183" s="218"/>
    </row>
    <row r="184" ht="15.75" customHeight="1">
      <c r="C184" s="218"/>
      <c r="D184" s="218"/>
    </row>
    <row r="185" ht="15.75" customHeight="1">
      <c r="C185" s="218"/>
      <c r="D185" s="218"/>
    </row>
    <row r="186" ht="15.75" customHeight="1">
      <c r="C186" s="218"/>
      <c r="D186" s="218"/>
    </row>
    <row r="187" ht="15.75" customHeight="1">
      <c r="C187" s="218"/>
      <c r="D187" s="218"/>
    </row>
    <row r="188" ht="15.75" customHeight="1">
      <c r="C188" s="218"/>
      <c r="D188" s="218"/>
    </row>
    <row r="189" ht="15.75" customHeight="1">
      <c r="C189" s="218"/>
      <c r="D189" s="218"/>
    </row>
    <row r="190" ht="15.75" customHeight="1">
      <c r="C190" s="218"/>
      <c r="D190" s="218"/>
    </row>
    <row r="191" ht="15.75" customHeight="1">
      <c r="C191" s="218"/>
      <c r="D191" s="218"/>
    </row>
    <row r="192" ht="15.75" customHeight="1">
      <c r="C192" s="218"/>
      <c r="D192" s="218"/>
    </row>
    <row r="193" ht="15.75" customHeight="1">
      <c r="C193" s="218"/>
      <c r="D193" s="218"/>
    </row>
    <row r="194" ht="15.75" customHeight="1">
      <c r="C194" s="218"/>
      <c r="D194" s="218"/>
    </row>
    <row r="195" ht="15.75" customHeight="1">
      <c r="C195" s="218"/>
      <c r="D195" s="218"/>
    </row>
    <row r="196" ht="15.75" customHeight="1">
      <c r="C196" s="218"/>
      <c r="D196" s="218"/>
    </row>
    <row r="197" ht="15.75" customHeight="1">
      <c r="C197" s="218"/>
      <c r="D197" s="218"/>
    </row>
    <row r="198" ht="15.75" customHeight="1">
      <c r="C198" s="218"/>
      <c r="D198" s="218"/>
    </row>
    <row r="199" ht="15.75" customHeight="1">
      <c r="C199" s="218"/>
      <c r="D199" s="218"/>
    </row>
    <row r="200" ht="15.75" customHeight="1">
      <c r="C200" s="218"/>
      <c r="D200" s="218"/>
    </row>
    <row r="201" ht="15.75" customHeight="1">
      <c r="C201" s="218"/>
      <c r="D201" s="218"/>
    </row>
    <row r="202" ht="15.75" customHeight="1">
      <c r="C202" s="218"/>
      <c r="D202" s="218"/>
    </row>
    <row r="203" ht="15.75" customHeight="1">
      <c r="C203" s="218"/>
      <c r="D203" s="218"/>
    </row>
    <row r="204" ht="15.75" customHeight="1">
      <c r="C204" s="218"/>
      <c r="D204" s="218"/>
    </row>
    <row r="205" ht="15.75" customHeight="1">
      <c r="C205" s="218"/>
      <c r="D205" s="218"/>
    </row>
    <row r="206" ht="15.75" customHeight="1">
      <c r="C206" s="218"/>
      <c r="D206" s="218"/>
    </row>
    <row r="207" ht="15.75" customHeight="1">
      <c r="C207" s="218"/>
      <c r="D207" s="218"/>
    </row>
    <row r="208" ht="15.75" customHeight="1">
      <c r="C208" s="218"/>
      <c r="D208" s="218"/>
    </row>
    <row r="209" ht="15.75" customHeight="1">
      <c r="C209" s="218"/>
      <c r="D209" s="218"/>
    </row>
    <row r="210" ht="15.75" customHeight="1">
      <c r="C210" s="218"/>
      <c r="D210" s="218"/>
    </row>
    <row r="211" ht="15.75" customHeight="1">
      <c r="C211" s="218"/>
      <c r="D211" s="218"/>
    </row>
    <row r="212" ht="15.75" customHeight="1">
      <c r="C212" s="218"/>
      <c r="D212" s="218"/>
    </row>
    <row r="213" ht="15.75" customHeight="1">
      <c r="C213" s="218"/>
      <c r="D213" s="218"/>
    </row>
    <row r="214" ht="15.75" customHeight="1">
      <c r="C214" s="218"/>
      <c r="D214" s="218"/>
    </row>
    <row r="215" ht="15.75" customHeight="1">
      <c r="C215" s="218"/>
      <c r="D215" s="218"/>
    </row>
    <row r="216" ht="15.75" customHeight="1">
      <c r="C216" s="218"/>
      <c r="D216" s="218"/>
    </row>
    <row r="217" ht="15.75" customHeight="1">
      <c r="C217" s="218"/>
      <c r="D217" s="218"/>
    </row>
    <row r="218" ht="15.75" customHeight="1">
      <c r="C218" s="218"/>
      <c r="D218" s="218"/>
    </row>
    <row r="219" ht="15.75" customHeight="1">
      <c r="C219" s="218"/>
      <c r="D219" s="218"/>
    </row>
    <row r="220" ht="15.75" customHeight="1">
      <c r="C220" s="218"/>
      <c r="D220" s="218"/>
    </row>
    <row r="221" ht="15.75" customHeight="1">
      <c r="C221" s="218"/>
      <c r="D221" s="218"/>
    </row>
    <row r="222" ht="15.75" customHeight="1">
      <c r="C222" s="218"/>
      <c r="D222" s="218"/>
    </row>
    <row r="223" ht="15.75" customHeight="1">
      <c r="C223" s="218"/>
      <c r="D223" s="218"/>
    </row>
    <row r="224" ht="15.75" customHeight="1">
      <c r="C224" s="218"/>
      <c r="D224" s="218"/>
    </row>
    <row r="225" ht="15.75" customHeight="1">
      <c r="C225" s="218"/>
      <c r="D225" s="218"/>
    </row>
    <row r="226" ht="15.75" customHeight="1">
      <c r="C226" s="218"/>
      <c r="D226" s="218"/>
    </row>
    <row r="227" ht="15.75" customHeight="1">
      <c r="C227" s="218"/>
      <c r="D227" s="218"/>
    </row>
    <row r="228" ht="15.75" customHeight="1">
      <c r="C228" s="218"/>
      <c r="D228" s="218"/>
    </row>
    <row r="229" ht="15.75" customHeight="1">
      <c r="C229" s="218"/>
      <c r="D229" s="218"/>
    </row>
    <row r="230" ht="15.75" customHeight="1">
      <c r="C230" s="218"/>
      <c r="D230" s="218"/>
    </row>
    <row r="231" ht="15.75" customHeight="1">
      <c r="C231" s="218"/>
      <c r="D231" s="218"/>
    </row>
    <row r="232" ht="15.75" customHeight="1">
      <c r="C232" s="218"/>
      <c r="D232" s="218"/>
    </row>
    <row r="233" ht="15.75" customHeight="1">
      <c r="C233" s="218"/>
      <c r="D233" s="218"/>
    </row>
    <row r="234" ht="15.75" customHeight="1">
      <c r="C234" s="218"/>
      <c r="D234" s="218"/>
    </row>
    <row r="235" ht="15.75" customHeight="1">
      <c r="C235" s="218"/>
      <c r="D235" s="218"/>
    </row>
    <row r="236" ht="15.75" customHeight="1">
      <c r="C236" s="218"/>
      <c r="D236" s="218"/>
    </row>
    <row r="237" ht="15.75" customHeight="1">
      <c r="C237" s="218"/>
      <c r="D237" s="218"/>
    </row>
    <row r="238" ht="15.75" customHeight="1">
      <c r="C238" s="218"/>
      <c r="D238" s="218"/>
    </row>
    <row r="239" ht="15.75" customHeight="1">
      <c r="C239" s="218"/>
      <c r="D239" s="218"/>
    </row>
    <row r="240" ht="15.75" customHeight="1">
      <c r="C240" s="218"/>
      <c r="D240" s="218"/>
    </row>
    <row r="241" ht="15.75" customHeight="1">
      <c r="C241" s="218"/>
      <c r="D241" s="218"/>
    </row>
    <row r="242" ht="15.75" customHeight="1">
      <c r="C242" s="218"/>
      <c r="D242" s="218"/>
    </row>
    <row r="243" ht="15.75" customHeight="1">
      <c r="C243" s="218"/>
      <c r="D243" s="218"/>
    </row>
    <row r="244" ht="15.75" customHeight="1">
      <c r="C244" s="218"/>
      <c r="D244" s="218"/>
    </row>
    <row r="245" ht="15.75" customHeight="1">
      <c r="C245" s="218"/>
      <c r="D245" s="218"/>
    </row>
    <row r="246" ht="15.75" customHeight="1">
      <c r="C246" s="218"/>
      <c r="D246" s="218"/>
    </row>
    <row r="247" ht="15.75" customHeight="1">
      <c r="C247" s="218"/>
      <c r="D247" s="218"/>
    </row>
    <row r="248" ht="15.75" customHeight="1">
      <c r="C248" s="218"/>
      <c r="D248" s="218"/>
    </row>
    <row r="249" ht="15.75" customHeight="1">
      <c r="C249" s="218"/>
      <c r="D249" s="218"/>
    </row>
    <row r="250" ht="15.75" customHeight="1">
      <c r="C250" s="218"/>
      <c r="D250" s="218"/>
    </row>
    <row r="251" ht="15.75" customHeight="1">
      <c r="C251" s="218"/>
      <c r="D251" s="218"/>
    </row>
    <row r="252" ht="15.75" customHeight="1">
      <c r="C252" s="218"/>
      <c r="D252" s="218"/>
    </row>
    <row r="253" ht="15.75" customHeight="1">
      <c r="C253" s="218"/>
      <c r="D253" s="218"/>
    </row>
    <row r="254" ht="15.75" customHeight="1">
      <c r="C254" s="218"/>
      <c r="D254" s="218"/>
    </row>
    <row r="255" ht="15.75" customHeight="1">
      <c r="C255" s="218"/>
      <c r="D255" s="218"/>
    </row>
    <row r="256" ht="15.75" customHeight="1">
      <c r="C256" s="218"/>
      <c r="D256" s="218"/>
    </row>
    <row r="257" ht="15.75" customHeight="1">
      <c r="C257" s="218"/>
      <c r="D257" s="218"/>
    </row>
    <row r="258" ht="15.75" customHeight="1">
      <c r="C258" s="218"/>
      <c r="D258" s="218"/>
    </row>
    <row r="259" ht="15.75" customHeight="1">
      <c r="C259" s="218"/>
      <c r="D259" s="218"/>
    </row>
    <row r="260" ht="15.75" customHeight="1">
      <c r="C260" s="218"/>
      <c r="D260" s="218"/>
    </row>
    <row r="261" ht="15.75" customHeight="1">
      <c r="C261" s="218"/>
      <c r="D261" s="218"/>
    </row>
    <row r="262" ht="15.75" customHeight="1">
      <c r="C262" s="218"/>
      <c r="D262" s="218"/>
    </row>
    <row r="263" ht="15.75" customHeight="1">
      <c r="C263" s="218"/>
      <c r="D263" s="218"/>
    </row>
    <row r="264" ht="15.75" customHeight="1">
      <c r="C264" s="218"/>
      <c r="D264" s="218"/>
    </row>
    <row r="265" ht="15.75" customHeight="1">
      <c r="C265" s="218"/>
      <c r="D265" s="218"/>
    </row>
    <row r="266" ht="15.75" customHeight="1">
      <c r="C266" s="218"/>
      <c r="D266" s="218"/>
    </row>
    <row r="267" ht="15.75" customHeight="1">
      <c r="C267" s="218"/>
      <c r="D267" s="218"/>
    </row>
    <row r="268" ht="15.75" customHeight="1">
      <c r="C268" s="218"/>
      <c r="D268" s="218"/>
    </row>
    <row r="269" ht="15.75" customHeight="1">
      <c r="C269" s="218"/>
      <c r="D269" s="218"/>
    </row>
    <row r="270" ht="15.75" customHeight="1">
      <c r="C270" s="218"/>
      <c r="D270" s="218"/>
    </row>
    <row r="271" ht="15.75" customHeight="1">
      <c r="C271" s="218"/>
      <c r="D271" s="218"/>
    </row>
    <row r="272" ht="15.75" customHeight="1">
      <c r="C272" s="218"/>
      <c r="D272" s="218"/>
    </row>
    <row r="273" ht="15.75" customHeight="1">
      <c r="C273" s="218"/>
      <c r="D273" s="218"/>
    </row>
    <row r="274" ht="15.75" customHeight="1">
      <c r="C274" s="218"/>
      <c r="D274" s="218"/>
    </row>
    <row r="275" ht="15.75" customHeight="1">
      <c r="C275" s="218"/>
      <c r="D275" s="218"/>
    </row>
    <row r="276" ht="15.75" customHeight="1">
      <c r="C276" s="218"/>
      <c r="D276" s="218"/>
    </row>
    <row r="277" ht="15.75" customHeight="1">
      <c r="C277" s="218"/>
      <c r="D277" s="218"/>
    </row>
    <row r="278" ht="15.75" customHeight="1">
      <c r="C278" s="218"/>
      <c r="D278" s="218"/>
    </row>
    <row r="279" ht="15.75" customHeight="1">
      <c r="C279" s="218"/>
      <c r="D279" s="218"/>
    </row>
    <row r="280" ht="15.75" customHeight="1">
      <c r="C280" s="218"/>
      <c r="D280" s="218"/>
    </row>
    <row r="281" ht="15.75" customHeight="1">
      <c r="C281" s="218"/>
      <c r="D281" s="218"/>
    </row>
    <row r="282" ht="15.75" customHeight="1">
      <c r="C282" s="218"/>
      <c r="D282" s="218"/>
    </row>
    <row r="283" ht="15.75" customHeight="1">
      <c r="C283" s="218"/>
      <c r="D283" s="218"/>
    </row>
    <row r="284" ht="15.75" customHeight="1">
      <c r="C284" s="218"/>
      <c r="D284" s="218"/>
    </row>
    <row r="285" ht="15.75" customHeight="1">
      <c r="C285" s="218"/>
      <c r="D285" s="218"/>
    </row>
    <row r="286" ht="15.75" customHeight="1">
      <c r="C286" s="218"/>
      <c r="D286" s="218"/>
    </row>
    <row r="287" ht="15.75" customHeight="1">
      <c r="C287" s="218"/>
      <c r="D287" s="218"/>
    </row>
    <row r="288" ht="15.75" customHeight="1">
      <c r="C288" s="218"/>
      <c r="D288" s="218"/>
    </row>
    <row r="289" ht="15.75" customHeight="1">
      <c r="C289" s="218"/>
      <c r="D289" s="218"/>
    </row>
    <row r="290" ht="15.75" customHeight="1">
      <c r="C290" s="218"/>
      <c r="D290" s="218"/>
    </row>
    <row r="291" ht="15.75" customHeight="1">
      <c r="C291" s="218"/>
      <c r="D291" s="218"/>
    </row>
    <row r="292" ht="15.75" customHeight="1">
      <c r="C292" s="218"/>
      <c r="D292" s="218"/>
    </row>
    <row r="293" ht="15.75" customHeight="1">
      <c r="C293" s="218"/>
      <c r="D293" s="218"/>
    </row>
    <row r="294" ht="15.75" customHeight="1">
      <c r="C294" s="218"/>
      <c r="D294" s="218"/>
    </row>
    <row r="295" ht="15.75" customHeight="1">
      <c r="C295" s="218"/>
      <c r="D295" s="218"/>
    </row>
    <row r="296" ht="15.75" customHeight="1">
      <c r="C296" s="218"/>
      <c r="D296" s="218"/>
    </row>
    <row r="297" ht="15.75" customHeight="1">
      <c r="C297" s="218"/>
      <c r="D297" s="218"/>
    </row>
    <row r="298" ht="15.75" customHeight="1">
      <c r="C298" s="218"/>
      <c r="D298" s="218"/>
    </row>
    <row r="299" ht="15.75" customHeight="1">
      <c r="C299" s="218"/>
      <c r="D299" s="218"/>
    </row>
    <row r="300" ht="15.75" customHeight="1">
      <c r="C300" s="218"/>
      <c r="D300" s="218"/>
    </row>
    <row r="301" ht="15.75" customHeight="1">
      <c r="C301" s="218"/>
      <c r="D301" s="218"/>
    </row>
    <row r="302" ht="15.75" customHeight="1">
      <c r="C302" s="218"/>
      <c r="D302" s="218"/>
    </row>
    <row r="303" ht="15.75" customHeight="1">
      <c r="C303" s="218"/>
      <c r="D303" s="218"/>
    </row>
    <row r="304" ht="15.75" customHeight="1">
      <c r="C304" s="218"/>
      <c r="D304" s="218"/>
    </row>
    <row r="305" ht="15.75" customHeight="1">
      <c r="C305" s="218"/>
      <c r="D305" s="218"/>
    </row>
    <row r="306" ht="15.75" customHeight="1">
      <c r="C306" s="218"/>
      <c r="D306" s="218"/>
    </row>
    <row r="307" ht="15.75" customHeight="1">
      <c r="C307" s="218"/>
      <c r="D307" s="218"/>
    </row>
    <row r="308" ht="15.75" customHeight="1">
      <c r="C308" s="218"/>
      <c r="D308" s="218"/>
    </row>
    <row r="309" ht="15.75" customHeight="1">
      <c r="C309" s="218"/>
      <c r="D309" s="218"/>
    </row>
    <row r="310" ht="15.75" customHeight="1">
      <c r="C310" s="218"/>
      <c r="D310" s="218"/>
    </row>
    <row r="311" ht="15.75" customHeight="1">
      <c r="C311" s="218"/>
      <c r="D311" s="218"/>
    </row>
    <row r="312" ht="15.75" customHeight="1">
      <c r="C312" s="218"/>
      <c r="D312" s="218"/>
    </row>
    <row r="313" ht="15.75" customHeight="1">
      <c r="C313" s="218"/>
      <c r="D313" s="218"/>
    </row>
    <row r="314" ht="15.75" customHeight="1">
      <c r="C314" s="218"/>
      <c r="D314" s="218"/>
    </row>
    <row r="315" ht="15.75" customHeight="1">
      <c r="C315" s="218"/>
      <c r="D315" s="218"/>
    </row>
    <row r="316" ht="15.75" customHeight="1">
      <c r="C316" s="218"/>
      <c r="D316" s="218"/>
    </row>
    <row r="317" ht="15.75" customHeight="1">
      <c r="C317" s="218"/>
      <c r="D317" s="218"/>
    </row>
    <row r="318" ht="15.75" customHeight="1">
      <c r="C318" s="218"/>
      <c r="D318" s="218"/>
    </row>
    <row r="319" ht="15.75" customHeight="1">
      <c r="C319" s="218"/>
      <c r="D319" s="218"/>
    </row>
    <row r="320" ht="15.75" customHeight="1">
      <c r="C320" s="218"/>
      <c r="D320" s="218"/>
    </row>
    <row r="321" ht="15.75" customHeight="1">
      <c r="C321" s="218"/>
      <c r="D321" s="218"/>
    </row>
    <row r="322" ht="15.75" customHeight="1">
      <c r="C322" s="218"/>
      <c r="D322" s="218"/>
    </row>
    <row r="323" ht="15.75" customHeight="1">
      <c r="C323" s="218"/>
      <c r="D323" s="218"/>
    </row>
    <row r="324" ht="15.75" customHeight="1">
      <c r="C324" s="218"/>
      <c r="D324" s="218"/>
    </row>
    <row r="325" ht="15.75" customHeight="1">
      <c r="C325" s="218"/>
      <c r="D325" s="218"/>
    </row>
    <row r="326" ht="15.75" customHeight="1">
      <c r="C326" s="218"/>
      <c r="D326" s="218"/>
    </row>
    <row r="327" ht="15.75" customHeight="1">
      <c r="C327" s="218"/>
      <c r="D327" s="218"/>
    </row>
    <row r="328" ht="15.75" customHeight="1">
      <c r="C328" s="218"/>
      <c r="D328" s="218"/>
    </row>
    <row r="329" ht="15.75" customHeight="1">
      <c r="C329" s="218"/>
      <c r="D329" s="218"/>
    </row>
    <row r="330" ht="15.75" customHeight="1">
      <c r="C330" s="218"/>
      <c r="D330" s="218"/>
    </row>
    <row r="331" ht="15.75" customHeight="1">
      <c r="C331" s="218"/>
      <c r="D331" s="218"/>
    </row>
    <row r="332" ht="15.75" customHeight="1">
      <c r="C332" s="218"/>
      <c r="D332" s="218"/>
    </row>
    <row r="333" ht="15.75" customHeight="1">
      <c r="C333" s="218"/>
      <c r="D333" s="218"/>
    </row>
    <row r="334" ht="15.75" customHeight="1">
      <c r="C334" s="218"/>
      <c r="D334" s="218"/>
    </row>
    <row r="335" ht="15.75" customHeight="1">
      <c r="C335" s="218"/>
      <c r="D335" s="218"/>
    </row>
    <row r="336" ht="15.75" customHeight="1">
      <c r="C336" s="218"/>
      <c r="D336" s="218"/>
    </row>
    <row r="337" ht="15.75" customHeight="1">
      <c r="C337" s="218"/>
      <c r="D337" s="218"/>
    </row>
    <row r="338" ht="15.75" customHeight="1">
      <c r="C338" s="218"/>
      <c r="D338" s="218"/>
    </row>
    <row r="339" ht="15.75" customHeight="1">
      <c r="C339" s="218"/>
      <c r="D339" s="218"/>
    </row>
    <row r="340" ht="15.75" customHeight="1">
      <c r="C340" s="218"/>
      <c r="D340" s="218"/>
    </row>
    <row r="341" ht="15.75" customHeight="1">
      <c r="C341" s="218"/>
      <c r="D341" s="218"/>
    </row>
    <row r="342" ht="15.75" customHeight="1">
      <c r="C342" s="218"/>
      <c r="D342" s="218"/>
    </row>
    <row r="343" ht="15.75" customHeight="1">
      <c r="C343" s="218"/>
      <c r="D343" s="218"/>
    </row>
    <row r="344" ht="15.75" customHeight="1">
      <c r="C344" s="218"/>
      <c r="D344" s="218"/>
    </row>
    <row r="345" ht="15.75" customHeight="1">
      <c r="C345" s="218"/>
      <c r="D345" s="218"/>
    </row>
    <row r="346" ht="15.75" customHeight="1">
      <c r="C346" s="218"/>
      <c r="D346" s="218"/>
    </row>
    <row r="347" ht="15.75" customHeight="1">
      <c r="C347" s="218"/>
      <c r="D347" s="218"/>
    </row>
    <row r="348" ht="15.75" customHeight="1">
      <c r="C348" s="218"/>
      <c r="D348" s="218"/>
    </row>
    <row r="349" ht="15.75" customHeight="1">
      <c r="C349" s="218"/>
      <c r="D349" s="218"/>
    </row>
    <row r="350" ht="15.75" customHeight="1">
      <c r="C350" s="218"/>
      <c r="D350" s="218"/>
    </row>
    <row r="351" ht="15.75" customHeight="1">
      <c r="C351" s="218"/>
      <c r="D351" s="218"/>
    </row>
    <row r="352" ht="15.75" customHeight="1">
      <c r="C352" s="218"/>
      <c r="D352" s="218"/>
    </row>
    <row r="353" ht="15.75" customHeight="1">
      <c r="C353" s="218"/>
      <c r="D353" s="218"/>
    </row>
    <row r="354" ht="15.75" customHeight="1">
      <c r="C354" s="218"/>
      <c r="D354" s="218"/>
    </row>
    <row r="355" ht="15.75" customHeight="1">
      <c r="C355" s="218"/>
      <c r="D355" s="218"/>
    </row>
    <row r="356" ht="15.75" customHeight="1">
      <c r="C356" s="218"/>
      <c r="D356" s="218"/>
    </row>
    <row r="357" ht="15.75" customHeight="1">
      <c r="C357" s="218"/>
      <c r="D357" s="218"/>
    </row>
    <row r="358" ht="15.75" customHeight="1">
      <c r="C358" s="218"/>
      <c r="D358" s="218"/>
    </row>
    <row r="359" ht="15.75" customHeight="1">
      <c r="C359" s="218"/>
      <c r="D359" s="218"/>
    </row>
    <row r="360" ht="15.75" customHeight="1">
      <c r="C360" s="218"/>
      <c r="D360" s="218"/>
    </row>
    <row r="361" ht="15.75" customHeight="1">
      <c r="C361" s="218"/>
      <c r="D361" s="218"/>
    </row>
    <row r="362" ht="15.75" customHeight="1">
      <c r="C362" s="218"/>
      <c r="D362" s="218"/>
    </row>
    <row r="363" ht="15.75" customHeight="1">
      <c r="C363" s="218"/>
      <c r="D363" s="218"/>
    </row>
    <row r="364" ht="15.75" customHeight="1">
      <c r="C364" s="218"/>
      <c r="D364" s="218"/>
    </row>
    <row r="365" ht="15.75" customHeight="1">
      <c r="C365" s="218"/>
      <c r="D365" s="218"/>
    </row>
    <row r="366" ht="15.75" customHeight="1">
      <c r="C366" s="218"/>
      <c r="D366" s="218"/>
    </row>
    <row r="367" ht="15.75" customHeight="1">
      <c r="C367" s="218"/>
      <c r="D367" s="218"/>
    </row>
    <row r="368" ht="15.75" customHeight="1">
      <c r="C368" s="218"/>
      <c r="D368" s="218"/>
    </row>
    <row r="369" ht="15.75" customHeight="1">
      <c r="C369" s="218"/>
      <c r="D369" s="218"/>
    </row>
    <row r="370" ht="15.75" customHeight="1">
      <c r="C370" s="218"/>
      <c r="D370" s="218"/>
    </row>
    <row r="371" ht="15.75" customHeight="1">
      <c r="C371" s="218"/>
      <c r="D371" s="218"/>
    </row>
    <row r="372" ht="15.75" customHeight="1">
      <c r="C372" s="218"/>
      <c r="D372" s="218"/>
    </row>
    <row r="373" ht="15.75" customHeight="1">
      <c r="C373" s="218"/>
      <c r="D373" s="218"/>
    </row>
    <row r="374" ht="15.75" customHeight="1">
      <c r="C374" s="218"/>
      <c r="D374" s="218"/>
    </row>
    <row r="375" ht="15.75" customHeight="1">
      <c r="C375" s="218"/>
      <c r="D375" s="218"/>
    </row>
    <row r="376" ht="15.75" customHeight="1">
      <c r="C376" s="218"/>
      <c r="D376" s="218"/>
    </row>
    <row r="377" ht="15.75" customHeight="1">
      <c r="C377" s="218"/>
      <c r="D377" s="218"/>
    </row>
    <row r="378" ht="15.75" customHeight="1">
      <c r="C378" s="218"/>
      <c r="D378" s="218"/>
    </row>
    <row r="379" ht="15.75" customHeight="1">
      <c r="C379" s="218"/>
      <c r="D379" s="218"/>
    </row>
    <row r="380" ht="15.75" customHeight="1">
      <c r="C380" s="218"/>
      <c r="D380" s="218"/>
    </row>
    <row r="381" ht="15.75" customHeight="1">
      <c r="C381" s="218"/>
      <c r="D381" s="218"/>
    </row>
    <row r="382" ht="15.75" customHeight="1">
      <c r="C382" s="218"/>
      <c r="D382" s="218"/>
    </row>
    <row r="383" ht="15.75" customHeight="1">
      <c r="C383" s="218"/>
      <c r="D383" s="218"/>
    </row>
    <row r="384" ht="15.75" customHeight="1">
      <c r="C384" s="218"/>
      <c r="D384" s="218"/>
    </row>
    <row r="385" ht="15.75" customHeight="1">
      <c r="C385" s="218"/>
      <c r="D385" s="218"/>
    </row>
    <row r="386" ht="15.75" customHeight="1">
      <c r="C386" s="218"/>
      <c r="D386" s="218"/>
    </row>
    <row r="387" ht="15.75" customHeight="1">
      <c r="C387" s="218"/>
      <c r="D387" s="218"/>
    </row>
    <row r="388" ht="15.75" customHeight="1">
      <c r="C388" s="218"/>
      <c r="D388" s="218"/>
    </row>
    <row r="389" ht="15.75" customHeight="1">
      <c r="C389" s="218"/>
      <c r="D389" s="218"/>
    </row>
    <row r="390" ht="15.75" customHeight="1">
      <c r="C390" s="218"/>
      <c r="D390" s="218"/>
    </row>
    <row r="391" ht="15.75" customHeight="1">
      <c r="C391" s="218"/>
      <c r="D391" s="218"/>
    </row>
    <row r="392" ht="15.75" customHeight="1">
      <c r="C392" s="218"/>
      <c r="D392" s="218"/>
    </row>
    <row r="393" ht="15.75" customHeight="1">
      <c r="C393" s="218"/>
      <c r="D393" s="218"/>
    </row>
    <row r="394" ht="15.75" customHeight="1">
      <c r="C394" s="218"/>
      <c r="D394" s="218"/>
    </row>
    <row r="395" ht="15.75" customHeight="1">
      <c r="C395" s="218"/>
      <c r="D395" s="218"/>
    </row>
    <row r="396" ht="15.75" customHeight="1">
      <c r="C396" s="218"/>
      <c r="D396" s="218"/>
    </row>
    <row r="397" ht="15.75" customHeight="1">
      <c r="C397" s="218"/>
      <c r="D397" s="218"/>
    </row>
    <row r="398" ht="15.75" customHeight="1">
      <c r="C398" s="218"/>
      <c r="D398" s="218"/>
    </row>
    <row r="399" ht="15.75" customHeight="1">
      <c r="C399" s="218"/>
      <c r="D399" s="218"/>
    </row>
    <row r="400" ht="15.75" customHeight="1">
      <c r="C400" s="218"/>
      <c r="D400" s="218"/>
    </row>
    <row r="401" ht="15.75" customHeight="1">
      <c r="C401" s="218"/>
      <c r="D401" s="218"/>
    </row>
    <row r="402" ht="15.75" customHeight="1">
      <c r="C402" s="218"/>
      <c r="D402" s="218"/>
    </row>
    <row r="403" ht="15.75" customHeight="1">
      <c r="C403" s="218"/>
      <c r="D403" s="218"/>
    </row>
    <row r="404" ht="15.75" customHeight="1">
      <c r="C404" s="218"/>
      <c r="D404" s="218"/>
    </row>
    <row r="405" ht="15.75" customHeight="1">
      <c r="C405" s="218"/>
      <c r="D405" s="218"/>
    </row>
    <row r="406" ht="15.75" customHeight="1">
      <c r="C406" s="218"/>
      <c r="D406" s="218"/>
    </row>
    <row r="407" ht="15.75" customHeight="1">
      <c r="C407" s="218"/>
      <c r="D407" s="218"/>
    </row>
    <row r="408" ht="15.75" customHeight="1">
      <c r="C408" s="218"/>
      <c r="D408" s="218"/>
    </row>
    <row r="409" ht="15.75" customHeight="1">
      <c r="C409" s="218"/>
      <c r="D409" s="218"/>
    </row>
    <row r="410" ht="15.75" customHeight="1">
      <c r="C410" s="218"/>
      <c r="D410" s="218"/>
    </row>
    <row r="411" ht="15.75" customHeight="1">
      <c r="C411" s="218"/>
      <c r="D411" s="218"/>
    </row>
    <row r="412" ht="15.75" customHeight="1">
      <c r="C412" s="218"/>
      <c r="D412" s="218"/>
    </row>
    <row r="413" ht="15.75" customHeight="1">
      <c r="C413" s="218"/>
      <c r="D413" s="218"/>
    </row>
    <row r="414" ht="15.75" customHeight="1">
      <c r="C414" s="218"/>
      <c r="D414" s="218"/>
    </row>
    <row r="415" ht="15.75" customHeight="1">
      <c r="C415" s="218"/>
      <c r="D415" s="218"/>
    </row>
    <row r="416" ht="15.75" customHeight="1">
      <c r="C416" s="218"/>
      <c r="D416" s="218"/>
    </row>
    <row r="417" ht="15.75" customHeight="1">
      <c r="C417" s="218"/>
      <c r="D417" s="218"/>
    </row>
    <row r="418" ht="15.75" customHeight="1">
      <c r="C418" s="218"/>
      <c r="D418" s="218"/>
    </row>
    <row r="419" ht="15.75" customHeight="1">
      <c r="C419" s="218"/>
      <c r="D419" s="218"/>
    </row>
    <row r="420" ht="15.75" customHeight="1">
      <c r="C420" s="218"/>
      <c r="D420" s="218"/>
    </row>
    <row r="421" ht="15.75" customHeight="1">
      <c r="C421" s="218"/>
      <c r="D421" s="218"/>
    </row>
    <row r="422" ht="15.75" customHeight="1">
      <c r="C422" s="218"/>
      <c r="D422" s="218"/>
    </row>
    <row r="423" ht="15.75" customHeight="1">
      <c r="C423" s="218"/>
      <c r="D423" s="218"/>
    </row>
    <row r="424" ht="15.75" customHeight="1">
      <c r="C424" s="218"/>
      <c r="D424" s="218"/>
    </row>
    <row r="425" ht="15.75" customHeight="1">
      <c r="C425" s="218"/>
      <c r="D425" s="218"/>
    </row>
    <row r="426" ht="15.75" customHeight="1">
      <c r="C426" s="218"/>
      <c r="D426" s="218"/>
    </row>
    <row r="427" ht="15.75" customHeight="1">
      <c r="C427" s="218"/>
      <c r="D427" s="218"/>
    </row>
    <row r="428" ht="15.75" customHeight="1">
      <c r="C428" s="218"/>
      <c r="D428" s="218"/>
    </row>
    <row r="429" ht="15.75" customHeight="1">
      <c r="C429" s="218"/>
      <c r="D429" s="218"/>
    </row>
    <row r="430" ht="15.75" customHeight="1">
      <c r="C430" s="218"/>
      <c r="D430" s="218"/>
    </row>
    <row r="431" ht="15.75" customHeight="1">
      <c r="C431" s="218"/>
      <c r="D431" s="218"/>
    </row>
    <row r="432" ht="15.75" customHeight="1">
      <c r="C432" s="218"/>
      <c r="D432" s="218"/>
    </row>
    <row r="433" ht="15.75" customHeight="1">
      <c r="C433" s="218"/>
      <c r="D433" s="218"/>
    </row>
    <row r="434" ht="15.75" customHeight="1">
      <c r="C434" s="218"/>
      <c r="D434" s="218"/>
    </row>
    <row r="435" ht="15.75" customHeight="1">
      <c r="C435" s="218"/>
      <c r="D435" s="218"/>
    </row>
    <row r="436" ht="15.75" customHeight="1">
      <c r="C436" s="218"/>
      <c r="D436" s="218"/>
    </row>
    <row r="437" ht="15.75" customHeight="1">
      <c r="C437" s="218"/>
      <c r="D437" s="218"/>
    </row>
    <row r="438" ht="15.75" customHeight="1">
      <c r="C438" s="218"/>
      <c r="D438" s="218"/>
    </row>
    <row r="439" ht="15.75" customHeight="1">
      <c r="C439" s="218"/>
      <c r="D439" s="218"/>
    </row>
    <row r="440" ht="15.75" customHeight="1">
      <c r="C440" s="218"/>
      <c r="D440" s="218"/>
    </row>
    <row r="441" ht="15.75" customHeight="1">
      <c r="C441" s="218"/>
      <c r="D441" s="218"/>
    </row>
    <row r="442" ht="15.75" customHeight="1">
      <c r="C442" s="218"/>
      <c r="D442" s="218"/>
    </row>
    <row r="443" ht="15.75" customHeight="1">
      <c r="C443" s="218"/>
      <c r="D443" s="218"/>
    </row>
    <row r="444" ht="15.75" customHeight="1">
      <c r="C444" s="218"/>
      <c r="D444" s="218"/>
    </row>
    <row r="445" ht="15.75" customHeight="1">
      <c r="C445" s="218"/>
      <c r="D445" s="218"/>
    </row>
    <row r="446" ht="15.75" customHeight="1">
      <c r="C446" s="218"/>
      <c r="D446" s="218"/>
    </row>
    <row r="447" ht="15.75" customHeight="1">
      <c r="C447" s="218"/>
      <c r="D447" s="218"/>
    </row>
    <row r="448" ht="15.75" customHeight="1">
      <c r="C448" s="218"/>
      <c r="D448" s="218"/>
    </row>
    <row r="449" ht="15.75" customHeight="1">
      <c r="C449" s="218"/>
      <c r="D449" s="218"/>
    </row>
    <row r="450" ht="15.75" customHeight="1">
      <c r="C450" s="218"/>
      <c r="D450" s="218"/>
    </row>
    <row r="451" ht="15.75" customHeight="1">
      <c r="C451" s="218"/>
      <c r="D451" s="218"/>
    </row>
    <row r="452" ht="15.75" customHeight="1">
      <c r="C452" s="218"/>
      <c r="D452" s="218"/>
    </row>
    <row r="453" ht="15.75" customHeight="1">
      <c r="C453" s="218"/>
      <c r="D453" s="218"/>
    </row>
    <row r="454" ht="15.75" customHeight="1">
      <c r="C454" s="218"/>
      <c r="D454" s="218"/>
    </row>
    <row r="455" ht="15.75" customHeight="1">
      <c r="C455" s="218"/>
      <c r="D455" s="218"/>
    </row>
    <row r="456" ht="15.75" customHeight="1">
      <c r="C456" s="218"/>
      <c r="D456" s="218"/>
    </row>
    <row r="457" ht="15.75" customHeight="1">
      <c r="C457" s="218"/>
      <c r="D457" s="218"/>
    </row>
    <row r="458" ht="15.75" customHeight="1">
      <c r="C458" s="218"/>
      <c r="D458" s="218"/>
    </row>
    <row r="459" ht="15.75" customHeight="1">
      <c r="C459" s="218"/>
      <c r="D459" s="218"/>
    </row>
    <row r="460" ht="15.75" customHeight="1">
      <c r="C460" s="218"/>
      <c r="D460" s="218"/>
    </row>
    <row r="461" ht="15.75" customHeight="1">
      <c r="C461" s="218"/>
      <c r="D461" s="218"/>
    </row>
    <row r="462" ht="15.75" customHeight="1">
      <c r="C462" s="218"/>
      <c r="D462" s="218"/>
    </row>
    <row r="463" ht="15.75" customHeight="1">
      <c r="C463" s="218"/>
      <c r="D463" s="218"/>
    </row>
    <row r="464" ht="15.75" customHeight="1">
      <c r="C464" s="218"/>
      <c r="D464" s="218"/>
    </row>
    <row r="465" ht="15.75" customHeight="1">
      <c r="C465" s="218"/>
      <c r="D465" s="218"/>
    </row>
    <row r="466" ht="15.75" customHeight="1">
      <c r="C466" s="218"/>
      <c r="D466" s="218"/>
    </row>
    <row r="467" ht="15.75" customHeight="1">
      <c r="C467" s="218"/>
      <c r="D467" s="218"/>
    </row>
    <row r="468" ht="15.75" customHeight="1">
      <c r="C468" s="218"/>
      <c r="D468" s="218"/>
    </row>
    <row r="469" ht="15.75" customHeight="1">
      <c r="C469" s="218"/>
      <c r="D469" s="218"/>
    </row>
    <row r="470" ht="15.75" customHeight="1">
      <c r="C470" s="218"/>
      <c r="D470" s="218"/>
    </row>
    <row r="471" ht="15.75" customHeight="1">
      <c r="C471" s="218"/>
      <c r="D471" s="218"/>
    </row>
    <row r="472" ht="15.75" customHeight="1">
      <c r="C472" s="218"/>
      <c r="D472" s="218"/>
    </row>
    <row r="473" ht="15.75" customHeight="1">
      <c r="C473" s="218"/>
      <c r="D473" s="218"/>
    </row>
    <row r="474" ht="15.75" customHeight="1">
      <c r="C474" s="218"/>
      <c r="D474" s="218"/>
    </row>
    <row r="475" ht="15.75" customHeight="1">
      <c r="C475" s="218"/>
      <c r="D475" s="218"/>
    </row>
    <row r="476" ht="15.75" customHeight="1">
      <c r="C476" s="218"/>
      <c r="D476" s="218"/>
    </row>
    <row r="477" ht="15.75" customHeight="1">
      <c r="C477" s="218"/>
      <c r="D477" s="218"/>
    </row>
    <row r="478" ht="15.75" customHeight="1">
      <c r="C478" s="218"/>
      <c r="D478" s="218"/>
    </row>
    <row r="479" ht="15.75" customHeight="1">
      <c r="C479" s="218"/>
      <c r="D479" s="218"/>
    </row>
    <row r="480" ht="15.75" customHeight="1">
      <c r="C480" s="218"/>
      <c r="D480" s="218"/>
    </row>
    <row r="481" ht="15.75" customHeight="1">
      <c r="C481" s="218"/>
      <c r="D481" s="218"/>
    </row>
    <row r="482" ht="15.75" customHeight="1">
      <c r="C482" s="218"/>
      <c r="D482" s="218"/>
    </row>
    <row r="483" ht="15.75" customHeight="1">
      <c r="C483" s="218"/>
      <c r="D483" s="218"/>
    </row>
    <row r="484" ht="15.75" customHeight="1">
      <c r="C484" s="218"/>
      <c r="D484" s="218"/>
    </row>
    <row r="485" ht="15.75" customHeight="1">
      <c r="C485" s="218"/>
      <c r="D485" s="218"/>
    </row>
    <row r="486" ht="15.75" customHeight="1">
      <c r="C486" s="218"/>
      <c r="D486" s="218"/>
    </row>
    <row r="487" ht="15.75" customHeight="1">
      <c r="C487" s="218"/>
      <c r="D487" s="218"/>
    </row>
    <row r="488" ht="15.75" customHeight="1">
      <c r="C488" s="218"/>
      <c r="D488" s="218"/>
    </row>
    <row r="489" ht="15.75" customHeight="1">
      <c r="C489" s="218"/>
      <c r="D489" s="218"/>
    </row>
    <row r="490" ht="15.75" customHeight="1">
      <c r="C490" s="218"/>
      <c r="D490" s="218"/>
    </row>
    <row r="491" ht="15.75" customHeight="1">
      <c r="C491" s="218"/>
      <c r="D491" s="218"/>
    </row>
    <row r="492" ht="15.75" customHeight="1">
      <c r="C492" s="218"/>
      <c r="D492" s="218"/>
    </row>
    <row r="493" ht="15.75" customHeight="1">
      <c r="C493" s="218"/>
      <c r="D493" s="218"/>
    </row>
    <row r="494" ht="15.75" customHeight="1">
      <c r="C494" s="218"/>
      <c r="D494" s="218"/>
    </row>
    <row r="495" ht="15.75" customHeight="1">
      <c r="C495" s="218"/>
      <c r="D495" s="218"/>
    </row>
    <row r="496" ht="15.75" customHeight="1">
      <c r="C496" s="218"/>
      <c r="D496" s="218"/>
    </row>
    <row r="497" ht="15.75" customHeight="1">
      <c r="C497" s="218"/>
      <c r="D497" s="218"/>
    </row>
    <row r="498" ht="15.75" customHeight="1">
      <c r="C498" s="218"/>
      <c r="D498" s="218"/>
    </row>
    <row r="499" ht="15.75" customHeight="1">
      <c r="C499" s="218"/>
      <c r="D499" s="218"/>
    </row>
    <row r="500" ht="15.75" customHeight="1">
      <c r="C500" s="218"/>
      <c r="D500" s="218"/>
    </row>
    <row r="501" ht="15.75" customHeight="1">
      <c r="C501" s="218"/>
      <c r="D501" s="218"/>
    </row>
    <row r="502" ht="15.75" customHeight="1">
      <c r="C502" s="218"/>
      <c r="D502" s="218"/>
    </row>
    <row r="503" ht="15.75" customHeight="1">
      <c r="C503" s="218"/>
      <c r="D503" s="218"/>
    </row>
    <row r="504" ht="15.75" customHeight="1">
      <c r="C504" s="218"/>
      <c r="D504" s="218"/>
    </row>
    <row r="505" ht="15.75" customHeight="1">
      <c r="C505" s="218"/>
      <c r="D505" s="218"/>
    </row>
    <row r="506" ht="15.75" customHeight="1">
      <c r="C506" s="218"/>
      <c r="D506" s="218"/>
    </row>
    <row r="507" ht="15.75" customHeight="1">
      <c r="C507" s="218"/>
      <c r="D507" s="218"/>
    </row>
    <row r="508" ht="15.75" customHeight="1">
      <c r="C508" s="218"/>
      <c r="D508" s="218"/>
    </row>
    <row r="509" ht="15.75" customHeight="1">
      <c r="C509" s="218"/>
      <c r="D509" s="218"/>
    </row>
    <row r="510" ht="15.75" customHeight="1">
      <c r="C510" s="218"/>
      <c r="D510" s="218"/>
    </row>
    <row r="511" ht="15.75" customHeight="1">
      <c r="C511" s="218"/>
      <c r="D511" s="218"/>
    </row>
    <row r="512" ht="15.75" customHeight="1">
      <c r="C512" s="218"/>
      <c r="D512" s="218"/>
    </row>
    <row r="513" ht="15.75" customHeight="1">
      <c r="C513" s="218"/>
      <c r="D513" s="218"/>
    </row>
    <row r="514" ht="15.75" customHeight="1">
      <c r="C514" s="218"/>
      <c r="D514" s="218"/>
    </row>
    <row r="515" ht="15.75" customHeight="1">
      <c r="C515" s="218"/>
      <c r="D515" s="218"/>
    </row>
    <row r="516" ht="15.75" customHeight="1">
      <c r="C516" s="218"/>
      <c r="D516" s="218"/>
    </row>
    <row r="517" ht="15.75" customHeight="1">
      <c r="C517" s="218"/>
      <c r="D517" s="218"/>
    </row>
    <row r="518" ht="15.75" customHeight="1">
      <c r="C518" s="218"/>
      <c r="D518" s="218"/>
    </row>
    <row r="519" ht="15.75" customHeight="1">
      <c r="C519" s="218"/>
      <c r="D519" s="218"/>
    </row>
    <row r="520" ht="15.75" customHeight="1">
      <c r="C520" s="218"/>
      <c r="D520" s="218"/>
    </row>
    <row r="521" ht="15.75" customHeight="1">
      <c r="C521" s="218"/>
      <c r="D521" s="218"/>
    </row>
    <row r="522" ht="15.75" customHeight="1">
      <c r="C522" s="218"/>
      <c r="D522" s="218"/>
    </row>
    <row r="523" ht="15.75" customHeight="1">
      <c r="C523" s="218"/>
      <c r="D523" s="218"/>
    </row>
    <row r="524" ht="15.75" customHeight="1">
      <c r="C524" s="218"/>
      <c r="D524" s="218"/>
    </row>
    <row r="525" ht="15.75" customHeight="1">
      <c r="C525" s="218"/>
      <c r="D525" s="218"/>
    </row>
    <row r="526" ht="15.75" customHeight="1">
      <c r="C526" s="218"/>
      <c r="D526" s="218"/>
    </row>
    <row r="527" ht="15.75" customHeight="1">
      <c r="C527" s="218"/>
      <c r="D527" s="218"/>
    </row>
    <row r="528" ht="15.75" customHeight="1">
      <c r="C528" s="218"/>
      <c r="D528" s="218"/>
    </row>
    <row r="529" ht="15.75" customHeight="1">
      <c r="C529" s="218"/>
      <c r="D529" s="218"/>
    </row>
    <row r="530" ht="15.75" customHeight="1">
      <c r="C530" s="218"/>
      <c r="D530" s="218"/>
    </row>
    <row r="531" ht="15.75" customHeight="1">
      <c r="C531" s="218"/>
      <c r="D531" s="218"/>
    </row>
    <row r="532" ht="15.75" customHeight="1">
      <c r="C532" s="218"/>
      <c r="D532" s="218"/>
    </row>
    <row r="533" ht="15.75" customHeight="1">
      <c r="C533" s="218"/>
      <c r="D533" s="218"/>
    </row>
    <row r="534" ht="15.75" customHeight="1">
      <c r="C534" s="218"/>
      <c r="D534" s="218"/>
    </row>
    <row r="535" ht="15.75" customHeight="1">
      <c r="C535" s="218"/>
      <c r="D535" s="218"/>
    </row>
    <row r="536" ht="15.75" customHeight="1">
      <c r="C536" s="218"/>
      <c r="D536" s="218"/>
    </row>
    <row r="537" ht="15.75" customHeight="1">
      <c r="C537" s="218"/>
      <c r="D537" s="218"/>
    </row>
    <row r="538" ht="15.75" customHeight="1">
      <c r="C538" s="218"/>
      <c r="D538" s="218"/>
    </row>
    <row r="539" ht="15.75" customHeight="1">
      <c r="C539" s="218"/>
      <c r="D539" s="218"/>
    </row>
    <row r="540" ht="15.75" customHeight="1">
      <c r="C540" s="218"/>
      <c r="D540" s="218"/>
    </row>
    <row r="541" ht="15.75" customHeight="1">
      <c r="C541" s="218"/>
      <c r="D541" s="218"/>
    </row>
    <row r="542" ht="15.75" customHeight="1">
      <c r="C542" s="218"/>
      <c r="D542" s="218"/>
    </row>
    <row r="543" ht="15.75" customHeight="1">
      <c r="C543" s="218"/>
      <c r="D543" s="218"/>
    </row>
    <row r="544" ht="15.75" customHeight="1">
      <c r="C544" s="218"/>
      <c r="D544" s="218"/>
    </row>
    <row r="545" ht="15.75" customHeight="1">
      <c r="C545" s="218"/>
      <c r="D545" s="218"/>
    </row>
    <row r="546" ht="15.75" customHeight="1">
      <c r="C546" s="218"/>
      <c r="D546" s="218"/>
    </row>
    <row r="547" ht="15.75" customHeight="1">
      <c r="C547" s="218"/>
      <c r="D547" s="218"/>
    </row>
    <row r="548" ht="15.75" customHeight="1">
      <c r="C548" s="218"/>
      <c r="D548" s="218"/>
    </row>
    <row r="549" ht="15.75" customHeight="1">
      <c r="C549" s="218"/>
      <c r="D549" s="218"/>
    </row>
    <row r="550" ht="15.75" customHeight="1">
      <c r="C550" s="218"/>
      <c r="D550" s="218"/>
    </row>
    <row r="551" ht="15.75" customHeight="1">
      <c r="C551" s="218"/>
      <c r="D551" s="218"/>
    </row>
    <row r="552" ht="15.75" customHeight="1">
      <c r="C552" s="218"/>
      <c r="D552" s="218"/>
    </row>
    <row r="553" ht="15.75" customHeight="1">
      <c r="C553" s="218"/>
      <c r="D553" s="218"/>
    </row>
    <row r="554" ht="15.75" customHeight="1">
      <c r="C554" s="218"/>
      <c r="D554" s="218"/>
    </row>
    <row r="555" ht="15.75" customHeight="1">
      <c r="C555" s="218"/>
      <c r="D555" s="218"/>
    </row>
    <row r="556" ht="15.75" customHeight="1">
      <c r="C556" s="218"/>
      <c r="D556" s="218"/>
    </row>
    <row r="557" ht="15.75" customHeight="1">
      <c r="C557" s="218"/>
      <c r="D557" s="218"/>
    </row>
    <row r="558" ht="15.75" customHeight="1">
      <c r="C558" s="218"/>
      <c r="D558" s="218"/>
    </row>
    <row r="559" ht="15.75" customHeight="1">
      <c r="C559" s="218"/>
      <c r="D559" s="218"/>
    </row>
    <row r="560" ht="15.75" customHeight="1">
      <c r="C560" s="218"/>
      <c r="D560" s="218"/>
    </row>
    <row r="561" ht="15.75" customHeight="1">
      <c r="C561" s="218"/>
      <c r="D561" s="218"/>
    </row>
    <row r="562" ht="15.75" customHeight="1">
      <c r="C562" s="218"/>
      <c r="D562" s="218"/>
    </row>
    <row r="563" ht="15.75" customHeight="1">
      <c r="C563" s="218"/>
      <c r="D563" s="218"/>
    </row>
    <row r="564" ht="15.75" customHeight="1">
      <c r="C564" s="218"/>
      <c r="D564" s="218"/>
    </row>
    <row r="565" ht="15.75" customHeight="1">
      <c r="C565" s="218"/>
      <c r="D565" s="218"/>
    </row>
    <row r="566" ht="15.75" customHeight="1">
      <c r="C566" s="218"/>
      <c r="D566" s="218"/>
    </row>
    <row r="567" ht="15.75" customHeight="1">
      <c r="C567" s="218"/>
      <c r="D567" s="218"/>
    </row>
    <row r="568" ht="15.75" customHeight="1">
      <c r="C568" s="218"/>
      <c r="D568" s="218"/>
    </row>
    <row r="569" ht="15.75" customHeight="1">
      <c r="C569" s="218"/>
      <c r="D569" s="218"/>
    </row>
    <row r="570" ht="15.75" customHeight="1">
      <c r="C570" s="218"/>
      <c r="D570" s="218"/>
    </row>
    <row r="571" ht="15.75" customHeight="1">
      <c r="C571" s="218"/>
      <c r="D571" s="218"/>
    </row>
    <row r="572" ht="15.75" customHeight="1">
      <c r="C572" s="218"/>
      <c r="D572" s="218"/>
    </row>
    <row r="573" ht="15.75" customHeight="1">
      <c r="C573" s="218"/>
      <c r="D573" s="218"/>
    </row>
    <row r="574" ht="15.75" customHeight="1">
      <c r="C574" s="218"/>
      <c r="D574" s="218"/>
    </row>
    <row r="575" ht="15.75" customHeight="1">
      <c r="C575" s="218"/>
      <c r="D575" s="218"/>
    </row>
    <row r="576" ht="15.75" customHeight="1">
      <c r="C576" s="218"/>
      <c r="D576" s="218"/>
    </row>
    <row r="577" ht="15.75" customHeight="1">
      <c r="C577" s="218"/>
      <c r="D577" s="218"/>
    </row>
    <row r="578" ht="15.75" customHeight="1">
      <c r="C578" s="218"/>
      <c r="D578" s="218"/>
    </row>
    <row r="579" ht="15.75" customHeight="1">
      <c r="C579" s="218"/>
      <c r="D579" s="218"/>
    </row>
    <row r="580" ht="15.75" customHeight="1">
      <c r="C580" s="218"/>
      <c r="D580" s="218"/>
    </row>
    <row r="581" ht="15.75" customHeight="1">
      <c r="C581" s="218"/>
      <c r="D581" s="218"/>
    </row>
    <row r="582" ht="15.75" customHeight="1">
      <c r="C582" s="218"/>
      <c r="D582" s="218"/>
    </row>
    <row r="583" ht="15.75" customHeight="1">
      <c r="C583" s="218"/>
      <c r="D583" s="218"/>
    </row>
    <row r="584" ht="15.75" customHeight="1">
      <c r="C584" s="218"/>
      <c r="D584" s="218"/>
    </row>
    <row r="585" ht="15.75" customHeight="1">
      <c r="C585" s="218"/>
      <c r="D585" s="218"/>
    </row>
    <row r="586" ht="15.75" customHeight="1">
      <c r="C586" s="218"/>
      <c r="D586" s="218"/>
    </row>
    <row r="587" ht="15.75" customHeight="1">
      <c r="C587" s="218"/>
      <c r="D587" s="218"/>
    </row>
    <row r="588" ht="15.75" customHeight="1">
      <c r="C588" s="218"/>
      <c r="D588" s="218"/>
    </row>
    <row r="589" ht="15.75" customHeight="1">
      <c r="C589" s="218"/>
      <c r="D589" s="218"/>
    </row>
    <row r="590" ht="15.75" customHeight="1">
      <c r="C590" s="218"/>
      <c r="D590" s="218"/>
    </row>
    <row r="591" ht="15.75" customHeight="1">
      <c r="C591" s="218"/>
      <c r="D591" s="218"/>
    </row>
    <row r="592" ht="15.75" customHeight="1">
      <c r="C592" s="218"/>
      <c r="D592" s="218"/>
    </row>
    <row r="593" ht="15.75" customHeight="1">
      <c r="C593" s="218"/>
      <c r="D593" s="218"/>
    </row>
    <row r="594" ht="15.75" customHeight="1">
      <c r="C594" s="218"/>
      <c r="D594" s="218"/>
    </row>
    <row r="595" ht="15.75" customHeight="1">
      <c r="C595" s="218"/>
      <c r="D595" s="218"/>
    </row>
    <row r="596" ht="15.75" customHeight="1">
      <c r="C596" s="218"/>
      <c r="D596" s="218"/>
    </row>
    <row r="597" ht="15.75" customHeight="1">
      <c r="C597" s="218"/>
      <c r="D597" s="218"/>
    </row>
    <row r="598" ht="15.75" customHeight="1">
      <c r="C598" s="218"/>
      <c r="D598" s="218"/>
    </row>
    <row r="599" ht="15.75" customHeight="1">
      <c r="C599" s="218"/>
      <c r="D599" s="218"/>
    </row>
    <row r="600" ht="15.75" customHeight="1">
      <c r="C600" s="218"/>
      <c r="D600" s="218"/>
    </row>
    <row r="601" ht="15.75" customHeight="1">
      <c r="C601" s="218"/>
      <c r="D601" s="218"/>
    </row>
    <row r="602" ht="15.75" customHeight="1">
      <c r="C602" s="218"/>
      <c r="D602" s="218"/>
    </row>
    <row r="603" ht="15.75" customHeight="1">
      <c r="C603" s="218"/>
      <c r="D603" s="218"/>
    </row>
    <row r="604" ht="15.75" customHeight="1">
      <c r="C604" s="218"/>
      <c r="D604" s="218"/>
    </row>
    <row r="605" ht="15.75" customHeight="1">
      <c r="C605" s="218"/>
      <c r="D605" s="218"/>
    </row>
    <row r="606" ht="15.75" customHeight="1">
      <c r="C606" s="218"/>
      <c r="D606" s="218"/>
    </row>
    <row r="607" ht="15.75" customHeight="1">
      <c r="C607" s="218"/>
      <c r="D607" s="218"/>
    </row>
    <row r="608" ht="15.75" customHeight="1">
      <c r="C608" s="218"/>
      <c r="D608" s="218"/>
    </row>
    <row r="609" ht="15.75" customHeight="1">
      <c r="C609" s="218"/>
      <c r="D609" s="218"/>
    </row>
    <row r="610" ht="15.75" customHeight="1">
      <c r="C610" s="218"/>
      <c r="D610" s="218"/>
    </row>
    <row r="611" ht="15.75" customHeight="1">
      <c r="C611" s="218"/>
      <c r="D611" s="218"/>
    </row>
    <row r="612" ht="15.75" customHeight="1">
      <c r="C612" s="218"/>
      <c r="D612" s="218"/>
    </row>
    <row r="613" ht="15.75" customHeight="1">
      <c r="C613" s="218"/>
      <c r="D613" s="218"/>
    </row>
    <row r="614" ht="15.75" customHeight="1">
      <c r="C614" s="218"/>
      <c r="D614" s="218"/>
    </row>
    <row r="615" ht="15.75" customHeight="1">
      <c r="C615" s="218"/>
      <c r="D615" s="218"/>
    </row>
    <row r="616" ht="15.75" customHeight="1">
      <c r="C616" s="218"/>
      <c r="D616" s="218"/>
    </row>
    <row r="617" ht="15.75" customHeight="1">
      <c r="C617" s="218"/>
      <c r="D617" s="218"/>
    </row>
    <row r="618" ht="15.75" customHeight="1">
      <c r="C618" s="218"/>
      <c r="D618" s="218"/>
    </row>
    <row r="619" ht="15.75" customHeight="1">
      <c r="C619" s="218"/>
      <c r="D619" s="218"/>
    </row>
    <row r="620" ht="15.75" customHeight="1">
      <c r="C620" s="218"/>
      <c r="D620" s="218"/>
    </row>
    <row r="621" ht="15.75" customHeight="1">
      <c r="C621" s="218"/>
      <c r="D621" s="218"/>
    </row>
    <row r="622" ht="15.75" customHeight="1">
      <c r="C622" s="218"/>
      <c r="D622" s="218"/>
    </row>
    <row r="623" ht="15.75" customHeight="1">
      <c r="C623" s="218"/>
      <c r="D623" s="218"/>
    </row>
    <row r="624" ht="15.75" customHeight="1">
      <c r="C624" s="218"/>
      <c r="D624" s="218"/>
    </row>
    <row r="625" ht="15.75" customHeight="1">
      <c r="C625" s="218"/>
      <c r="D625" s="218"/>
    </row>
    <row r="626" ht="15.75" customHeight="1">
      <c r="C626" s="218"/>
      <c r="D626" s="218"/>
    </row>
    <row r="627" ht="15.75" customHeight="1">
      <c r="C627" s="218"/>
      <c r="D627" s="218"/>
    </row>
    <row r="628" ht="15.75" customHeight="1">
      <c r="C628" s="218"/>
      <c r="D628" s="218"/>
    </row>
    <row r="629" ht="15.75" customHeight="1">
      <c r="C629" s="218"/>
      <c r="D629" s="218"/>
    </row>
    <row r="630" ht="15.75" customHeight="1">
      <c r="C630" s="218"/>
      <c r="D630" s="218"/>
    </row>
    <row r="631" ht="15.75" customHeight="1">
      <c r="C631" s="218"/>
      <c r="D631" s="218"/>
    </row>
    <row r="632" ht="15.75" customHeight="1">
      <c r="C632" s="218"/>
      <c r="D632" s="218"/>
    </row>
    <row r="633" ht="15.75" customHeight="1">
      <c r="C633" s="218"/>
      <c r="D633" s="218"/>
    </row>
    <row r="634" ht="15.75" customHeight="1">
      <c r="C634" s="218"/>
      <c r="D634" s="218"/>
    </row>
    <row r="635" ht="15.75" customHeight="1">
      <c r="C635" s="218"/>
      <c r="D635" s="218"/>
    </row>
    <row r="636" ht="15.75" customHeight="1">
      <c r="C636" s="218"/>
      <c r="D636" s="218"/>
    </row>
    <row r="637" ht="15.75" customHeight="1">
      <c r="C637" s="218"/>
      <c r="D637" s="218"/>
    </row>
    <row r="638" ht="15.75" customHeight="1">
      <c r="C638" s="218"/>
      <c r="D638" s="218"/>
    </row>
    <row r="639" ht="15.75" customHeight="1">
      <c r="C639" s="218"/>
      <c r="D639" s="218"/>
    </row>
    <row r="640" ht="15.75" customHeight="1">
      <c r="C640" s="218"/>
      <c r="D640" s="218"/>
    </row>
    <row r="641" ht="15.75" customHeight="1">
      <c r="C641" s="218"/>
      <c r="D641" s="218"/>
    </row>
    <row r="642" ht="15.75" customHeight="1">
      <c r="C642" s="218"/>
      <c r="D642" s="218"/>
    </row>
    <row r="643" ht="15.75" customHeight="1">
      <c r="C643" s="218"/>
      <c r="D643" s="218"/>
    </row>
    <row r="644" ht="15.75" customHeight="1">
      <c r="C644" s="218"/>
      <c r="D644" s="218"/>
    </row>
    <row r="645" ht="15.75" customHeight="1">
      <c r="C645" s="218"/>
      <c r="D645" s="218"/>
    </row>
    <row r="646" ht="15.75" customHeight="1">
      <c r="C646" s="218"/>
      <c r="D646" s="218"/>
    </row>
    <row r="647" ht="15.75" customHeight="1">
      <c r="C647" s="218"/>
      <c r="D647" s="218"/>
    </row>
    <row r="648" ht="15.75" customHeight="1">
      <c r="C648" s="218"/>
      <c r="D648" s="218"/>
    </row>
    <row r="649" ht="15.75" customHeight="1">
      <c r="C649" s="218"/>
      <c r="D649" s="218"/>
    </row>
    <row r="650" ht="15.75" customHeight="1">
      <c r="C650" s="218"/>
      <c r="D650" s="218"/>
    </row>
    <row r="651" ht="15.75" customHeight="1">
      <c r="C651" s="218"/>
      <c r="D651" s="218"/>
    </row>
    <row r="652" ht="15.75" customHeight="1">
      <c r="C652" s="218"/>
      <c r="D652" s="218"/>
    </row>
    <row r="653" ht="15.75" customHeight="1">
      <c r="C653" s="218"/>
      <c r="D653" s="218"/>
    </row>
    <row r="654" ht="15.75" customHeight="1">
      <c r="C654" s="218"/>
      <c r="D654" s="218"/>
    </row>
    <row r="655" ht="15.75" customHeight="1">
      <c r="C655" s="218"/>
      <c r="D655" s="218"/>
    </row>
    <row r="656" ht="15.75" customHeight="1">
      <c r="C656" s="218"/>
      <c r="D656" s="218"/>
    </row>
    <row r="657" ht="15.75" customHeight="1">
      <c r="C657" s="218"/>
      <c r="D657" s="218"/>
    </row>
    <row r="658" ht="15.75" customHeight="1">
      <c r="C658" s="218"/>
      <c r="D658" s="218"/>
    </row>
    <row r="659" ht="15.75" customHeight="1">
      <c r="C659" s="218"/>
      <c r="D659" s="218"/>
    </row>
    <row r="660" ht="15.75" customHeight="1">
      <c r="C660" s="218"/>
      <c r="D660" s="218"/>
    </row>
    <row r="661" ht="15.75" customHeight="1">
      <c r="C661" s="218"/>
      <c r="D661" s="218"/>
    </row>
    <row r="662" ht="15.75" customHeight="1">
      <c r="C662" s="218"/>
      <c r="D662" s="218"/>
    </row>
    <row r="663" ht="15.75" customHeight="1">
      <c r="C663" s="218"/>
      <c r="D663" s="218"/>
    </row>
    <row r="664" ht="15.75" customHeight="1">
      <c r="C664" s="218"/>
      <c r="D664" s="218"/>
    </row>
    <row r="665" ht="15.75" customHeight="1">
      <c r="C665" s="218"/>
      <c r="D665" s="218"/>
    </row>
    <row r="666" ht="15.75" customHeight="1">
      <c r="C666" s="218"/>
      <c r="D666" s="218"/>
    </row>
    <row r="667" ht="15.75" customHeight="1">
      <c r="C667" s="218"/>
      <c r="D667" s="218"/>
    </row>
    <row r="668" ht="15.75" customHeight="1">
      <c r="C668" s="218"/>
      <c r="D668" s="218"/>
    </row>
    <row r="669" ht="15.75" customHeight="1">
      <c r="C669" s="218"/>
      <c r="D669" s="218"/>
    </row>
    <row r="670" ht="15.75" customHeight="1">
      <c r="C670" s="218"/>
      <c r="D670" s="218"/>
    </row>
    <row r="671" ht="15.75" customHeight="1">
      <c r="C671" s="218"/>
      <c r="D671" s="218"/>
    </row>
    <row r="672" ht="15.75" customHeight="1">
      <c r="C672" s="218"/>
      <c r="D672" s="218"/>
    </row>
    <row r="673" ht="15.75" customHeight="1">
      <c r="C673" s="218"/>
      <c r="D673" s="218"/>
    </row>
    <row r="674" ht="15.75" customHeight="1">
      <c r="C674" s="218"/>
      <c r="D674" s="218"/>
    </row>
    <row r="675" ht="15.75" customHeight="1">
      <c r="C675" s="218"/>
      <c r="D675" s="218"/>
    </row>
    <row r="676" ht="15.75" customHeight="1">
      <c r="C676" s="218"/>
      <c r="D676" s="218"/>
    </row>
    <row r="677" ht="15.75" customHeight="1">
      <c r="C677" s="218"/>
      <c r="D677" s="218"/>
    </row>
    <row r="678" ht="15.75" customHeight="1">
      <c r="C678" s="218"/>
      <c r="D678" s="218"/>
    </row>
    <row r="679" ht="15.75" customHeight="1">
      <c r="C679" s="218"/>
      <c r="D679" s="218"/>
    </row>
    <row r="680" ht="15.75" customHeight="1">
      <c r="C680" s="218"/>
      <c r="D680" s="218"/>
    </row>
    <row r="681" ht="15.75" customHeight="1">
      <c r="C681" s="218"/>
      <c r="D681" s="218"/>
    </row>
    <row r="682" ht="15.75" customHeight="1">
      <c r="C682" s="218"/>
      <c r="D682" s="218"/>
    </row>
    <row r="683" ht="15.75" customHeight="1">
      <c r="C683" s="218"/>
      <c r="D683" s="218"/>
    </row>
    <row r="684" ht="15.75" customHeight="1">
      <c r="C684" s="218"/>
      <c r="D684" s="218"/>
    </row>
    <row r="685" ht="15.75" customHeight="1">
      <c r="C685" s="218"/>
      <c r="D685" s="218"/>
    </row>
    <row r="686" ht="15.75" customHeight="1">
      <c r="C686" s="218"/>
      <c r="D686" s="218"/>
    </row>
    <row r="687" ht="15.75" customHeight="1">
      <c r="C687" s="218"/>
      <c r="D687" s="218"/>
    </row>
    <row r="688" ht="15.75" customHeight="1">
      <c r="C688" s="218"/>
      <c r="D688" s="218"/>
    </row>
    <row r="689" ht="15.75" customHeight="1">
      <c r="C689" s="218"/>
      <c r="D689" s="218"/>
    </row>
    <row r="690" ht="15.75" customHeight="1">
      <c r="C690" s="218"/>
      <c r="D690" s="218"/>
    </row>
    <row r="691" ht="15.75" customHeight="1">
      <c r="C691" s="218"/>
      <c r="D691" s="218"/>
    </row>
    <row r="692" ht="15.75" customHeight="1">
      <c r="C692" s="218"/>
      <c r="D692" s="218"/>
    </row>
    <row r="693" ht="15.75" customHeight="1">
      <c r="C693" s="218"/>
      <c r="D693" s="218"/>
    </row>
    <row r="694" ht="15.75" customHeight="1">
      <c r="C694" s="218"/>
      <c r="D694" s="218"/>
    </row>
    <row r="695" ht="15.75" customHeight="1">
      <c r="C695" s="218"/>
      <c r="D695" s="218"/>
    </row>
    <row r="696" ht="15.75" customHeight="1">
      <c r="C696" s="218"/>
      <c r="D696" s="218"/>
    </row>
    <row r="697" ht="15.75" customHeight="1">
      <c r="C697" s="218"/>
      <c r="D697" s="218"/>
    </row>
    <row r="698" ht="15.75" customHeight="1">
      <c r="C698" s="218"/>
      <c r="D698" s="218"/>
    </row>
    <row r="699" ht="15.75" customHeight="1">
      <c r="C699" s="218"/>
      <c r="D699" s="218"/>
    </row>
    <row r="700" ht="15.75" customHeight="1">
      <c r="C700" s="218"/>
      <c r="D700" s="218"/>
    </row>
    <row r="701" ht="15.75" customHeight="1">
      <c r="C701" s="218"/>
      <c r="D701" s="218"/>
    </row>
    <row r="702" ht="15.75" customHeight="1">
      <c r="C702" s="218"/>
      <c r="D702" s="218"/>
    </row>
    <row r="703" ht="15.75" customHeight="1">
      <c r="C703" s="218"/>
      <c r="D703" s="218"/>
    </row>
    <row r="704" ht="15.75" customHeight="1">
      <c r="C704" s="218"/>
      <c r="D704" s="218"/>
    </row>
    <row r="705" ht="15.75" customHeight="1">
      <c r="C705" s="218"/>
      <c r="D705" s="218"/>
    </row>
    <row r="706" ht="15.75" customHeight="1">
      <c r="C706" s="218"/>
      <c r="D706" s="218"/>
    </row>
    <row r="707" ht="15.75" customHeight="1">
      <c r="C707" s="218"/>
      <c r="D707" s="218"/>
    </row>
    <row r="708" ht="15.75" customHeight="1">
      <c r="C708" s="218"/>
      <c r="D708" s="218"/>
    </row>
    <row r="709" ht="15.75" customHeight="1">
      <c r="C709" s="218"/>
      <c r="D709" s="218"/>
    </row>
    <row r="710" ht="15.75" customHeight="1">
      <c r="C710" s="218"/>
      <c r="D710" s="218"/>
    </row>
    <row r="711" ht="15.75" customHeight="1">
      <c r="C711" s="218"/>
      <c r="D711" s="218"/>
    </row>
    <row r="712" ht="15.75" customHeight="1">
      <c r="C712" s="218"/>
      <c r="D712" s="218"/>
    </row>
    <row r="713" ht="15.75" customHeight="1">
      <c r="C713" s="218"/>
      <c r="D713" s="218"/>
    </row>
    <row r="714" ht="15.75" customHeight="1">
      <c r="C714" s="218"/>
      <c r="D714" s="218"/>
    </row>
    <row r="715" ht="15.75" customHeight="1">
      <c r="C715" s="218"/>
      <c r="D715" s="218"/>
    </row>
    <row r="716" ht="15.75" customHeight="1">
      <c r="C716" s="218"/>
      <c r="D716" s="218"/>
    </row>
    <row r="717" ht="15.75" customHeight="1">
      <c r="C717" s="218"/>
      <c r="D717" s="218"/>
    </row>
    <row r="718" ht="15.75" customHeight="1">
      <c r="C718" s="218"/>
      <c r="D718" s="218"/>
    </row>
    <row r="719" ht="15.75" customHeight="1">
      <c r="C719" s="218"/>
      <c r="D719" s="218"/>
    </row>
    <row r="720" ht="15.75" customHeight="1">
      <c r="C720" s="218"/>
      <c r="D720" s="218"/>
    </row>
    <row r="721" ht="15.75" customHeight="1">
      <c r="C721" s="218"/>
      <c r="D721" s="218"/>
    </row>
    <row r="722" ht="15.75" customHeight="1">
      <c r="C722" s="218"/>
      <c r="D722" s="218"/>
    </row>
    <row r="723" ht="15.75" customHeight="1">
      <c r="C723" s="218"/>
      <c r="D723" s="218"/>
    </row>
    <row r="724" ht="15.75" customHeight="1">
      <c r="C724" s="218"/>
      <c r="D724" s="218"/>
    </row>
    <row r="725" ht="15.75" customHeight="1">
      <c r="C725" s="218"/>
      <c r="D725" s="218"/>
    </row>
    <row r="726" ht="15.75" customHeight="1">
      <c r="C726" s="218"/>
      <c r="D726" s="218"/>
    </row>
    <row r="727" ht="15.75" customHeight="1">
      <c r="C727" s="218"/>
      <c r="D727" s="218"/>
    </row>
    <row r="728" ht="15.75" customHeight="1">
      <c r="C728" s="218"/>
      <c r="D728" s="218"/>
    </row>
    <row r="729" ht="15.75" customHeight="1">
      <c r="C729" s="218"/>
      <c r="D729" s="218"/>
    </row>
    <row r="730" ht="15.75" customHeight="1">
      <c r="C730" s="218"/>
      <c r="D730" s="218"/>
    </row>
    <row r="731" ht="15.75" customHeight="1">
      <c r="C731" s="218"/>
      <c r="D731" s="218"/>
    </row>
    <row r="732" ht="15.75" customHeight="1">
      <c r="C732" s="218"/>
      <c r="D732" s="218"/>
    </row>
    <row r="733" ht="15.75" customHeight="1">
      <c r="C733" s="218"/>
      <c r="D733" s="218"/>
    </row>
    <row r="734" ht="15.75" customHeight="1">
      <c r="C734" s="218"/>
      <c r="D734" s="218"/>
    </row>
    <row r="735" ht="15.75" customHeight="1">
      <c r="C735" s="218"/>
      <c r="D735" s="218"/>
    </row>
    <row r="736" ht="15.75" customHeight="1">
      <c r="C736" s="218"/>
      <c r="D736" s="218"/>
    </row>
    <row r="737" ht="15.75" customHeight="1">
      <c r="C737" s="218"/>
      <c r="D737" s="218"/>
    </row>
    <row r="738" ht="15.75" customHeight="1">
      <c r="C738" s="218"/>
      <c r="D738" s="218"/>
    </row>
    <row r="739" ht="15.75" customHeight="1">
      <c r="C739" s="218"/>
      <c r="D739" s="218"/>
    </row>
    <row r="740" ht="15.75" customHeight="1">
      <c r="C740" s="218"/>
      <c r="D740" s="218"/>
    </row>
    <row r="741" ht="15.75" customHeight="1">
      <c r="C741" s="218"/>
      <c r="D741" s="218"/>
    </row>
    <row r="742" ht="15.75" customHeight="1">
      <c r="C742" s="218"/>
      <c r="D742" s="218"/>
    </row>
    <row r="743" ht="15.75" customHeight="1">
      <c r="C743" s="218"/>
      <c r="D743" s="218"/>
    </row>
    <row r="744" ht="15.75" customHeight="1">
      <c r="C744" s="218"/>
      <c r="D744" s="218"/>
    </row>
    <row r="745" ht="15.75" customHeight="1">
      <c r="C745" s="218"/>
      <c r="D745" s="218"/>
    </row>
    <row r="746" ht="15.75" customHeight="1">
      <c r="C746" s="218"/>
      <c r="D746" s="218"/>
    </row>
    <row r="747" ht="15.75" customHeight="1">
      <c r="C747" s="218"/>
      <c r="D747" s="218"/>
    </row>
    <row r="748" ht="15.75" customHeight="1">
      <c r="C748" s="218"/>
      <c r="D748" s="218"/>
    </row>
    <row r="749" ht="15.75" customHeight="1">
      <c r="C749" s="218"/>
      <c r="D749" s="218"/>
    </row>
    <row r="750" ht="15.75" customHeight="1">
      <c r="C750" s="218"/>
      <c r="D750" s="218"/>
    </row>
    <row r="751" ht="15.75" customHeight="1">
      <c r="C751" s="218"/>
      <c r="D751" s="218"/>
    </row>
    <row r="752" ht="15.75" customHeight="1">
      <c r="C752" s="218"/>
      <c r="D752" s="218"/>
    </row>
    <row r="753" ht="15.75" customHeight="1">
      <c r="C753" s="218"/>
      <c r="D753" s="218"/>
    </row>
    <row r="754" ht="15.75" customHeight="1">
      <c r="C754" s="218"/>
      <c r="D754" s="218"/>
    </row>
    <row r="755" ht="15.75" customHeight="1">
      <c r="C755" s="218"/>
      <c r="D755" s="218"/>
    </row>
    <row r="756" ht="15.75" customHeight="1">
      <c r="C756" s="218"/>
      <c r="D756" s="218"/>
    </row>
    <row r="757" ht="15.75" customHeight="1">
      <c r="C757" s="218"/>
      <c r="D757" s="218"/>
    </row>
    <row r="758" ht="15.75" customHeight="1">
      <c r="C758" s="218"/>
      <c r="D758" s="218"/>
    </row>
    <row r="759" ht="15.75" customHeight="1">
      <c r="C759" s="218"/>
      <c r="D759" s="218"/>
    </row>
    <row r="760" ht="15.75" customHeight="1">
      <c r="C760" s="218"/>
      <c r="D760" s="218"/>
    </row>
    <row r="761" ht="15.75" customHeight="1">
      <c r="C761" s="218"/>
      <c r="D761" s="218"/>
    </row>
    <row r="762" ht="15.75" customHeight="1">
      <c r="C762" s="218"/>
      <c r="D762" s="218"/>
    </row>
    <row r="763" ht="15.75" customHeight="1">
      <c r="C763" s="218"/>
      <c r="D763" s="218"/>
    </row>
    <row r="764" ht="15.75" customHeight="1">
      <c r="C764" s="218"/>
      <c r="D764" s="218"/>
    </row>
    <row r="765" ht="15.75" customHeight="1">
      <c r="C765" s="218"/>
      <c r="D765" s="218"/>
    </row>
    <row r="766" ht="15.75" customHeight="1">
      <c r="C766" s="218"/>
      <c r="D766" s="218"/>
    </row>
    <row r="767" ht="15.75" customHeight="1">
      <c r="C767" s="218"/>
      <c r="D767" s="218"/>
    </row>
    <row r="768" ht="15.75" customHeight="1">
      <c r="C768" s="218"/>
      <c r="D768" s="218"/>
    </row>
    <row r="769" ht="15.75" customHeight="1">
      <c r="C769" s="218"/>
      <c r="D769" s="218"/>
    </row>
    <row r="770" ht="15.75" customHeight="1">
      <c r="C770" s="218"/>
      <c r="D770" s="218"/>
    </row>
    <row r="771" ht="15.75" customHeight="1">
      <c r="C771" s="218"/>
      <c r="D771" s="218"/>
    </row>
    <row r="772" ht="15.75" customHeight="1">
      <c r="C772" s="218"/>
      <c r="D772" s="218"/>
    </row>
    <row r="773" ht="15.75" customHeight="1">
      <c r="C773" s="218"/>
      <c r="D773" s="218"/>
    </row>
    <row r="774" ht="15.75" customHeight="1">
      <c r="C774" s="218"/>
      <c r="D774" s="218"/>
    </row>
    <row r="775" ht="15.75" customHeight="1">
      <c r="C775" s="218"/>
      <c r="D775" s="218"/>
    </row>
    <row r="776" ht="15.75" customHeight="1">
      <c r="C776" s="218"/>
      <c r="D776" s="218"/>
    </row>
    <row r="777" ht="15.75" customHeight="1">
      <c r="C777" s="218"/>
      <c r="D777" s="218"/>
    </row>
    <row r="778" ht="15.75" customHeight="1">
      <c r="C778" s="218"/>
      <c r="D778" s="218"/>
    </row>
    <row r="779" ht="15.75" customHeight="1">
      <c r="C779" s="218"/>
      <c r="D779" s="218"/>
    </row>
    <row r="780" ht="15.75" customHeight="1">
      <c r="C780" s="218"/>
      <c r="D780" s="218"/>
    </row>
    <row r="781" ht="15.75" customHeight="1">
      <c r="C781" s="218"/>
      <c r="D781" s="218"/>
    </row>
    <row r="782" ht="15.75" customHeight="1">
      <c r="C782" s="218"/>
      <c r="D782" s="218"/>
    </row>
    <row r="783" ht="15.75" customHeight="1">
      <c r="C783" s="218"/>
      <c r="D783" s="218"/>
    </row>
    <row r="784" ht="15.75" customHeight="1">
      <c r="C784" s="218"/>
      <c r="D784" s="218"/>
    </row>
    <row r="785" ht="15.75" customHeight="1">
      <c r="C785" s="218"/>
      <c r="D785" s="218"/>
    </row>
    <row r="786" ht="15.75" customHeight="1">
      <c r="C786" s="218"/>
      <c r="D786" s="218"/>
    </row>
    <row r="787" ht="15.75" customHeight="1">
      <c r="C787" s="218"/>
      <c r="D787" s="218"/>
    </row>
    <row r="788" ht="15.75" customHeight="1">
      <c r="C788" s="218"/>
      <c r="D788" s="218"/>
    </row>
    <row r="789" ht="15.75" customHeight="1">
      <c r="C789" s="218"/>
      <c r="D789" s="218"/>
    </row>
    <row r="790" ht="15.75" customHeight="1">
      <c r="C790" s="218"/>
      <c r="D790" s="218"/>
    </row>
    <row r="791" ht="15.75" customHeight="1">
      <c r="C791" s="218"/>
      <c r="D791" s="218"/>
    </row>
    <row r="792" ht="15.75" customHeight="1">
      <c r="C792" s="218"/>
      <c r="D792" s="218"/>
    </row>
    <row r="793" ht="15.75" customHeight="1">
      <c r="C793" s="218"/>
      <c r="D793" s="218"/>
    </row>
    <row r="794" ht="15.75" customHeight="1">
      <c r="C794" s="218"/>
      <c r="D794" s="218"/>
    </row>
    <row r="795" ht="15.75" customHeight="1">
      <c r="C795" s="218"/>
      <c r="D795" s="218"/>
    </row>
    <row r="796" ht="15.75" customHeight="1">
      <c r="C796" s="218"/>
      <c r="D796" s="218"/>
    </row>
    <row r="797" ht="15.75" customHeight="1">
      <c r="C797" s="218"/>
      <c r="D797" s="218"/>
    </row>
    <row r="798" ht="15.75" customHeight="1">
      <c r="C798" s="218"/>
      <c r="D798" s="218"/>
    </row>
    <row r="799" ht="15.75" customHeight="1">
      <c r="C799" s="218"/>
      <c r="D799" s="218"/>
    </row>
    <row r="800" ht="15.75" customHeight="1">
      <c r="C800" s="218"/>
      <c r="D800" s="218"/>
    </row>
    <row r="801" ht="15.75" customHeight="1">
      <c r="C801" s="218"/>
      <c r="D801" s="218"/>
    </row>
    <row r="802" ht="15.75" customHeight="1">
      <c r="C802" s="218"/>
      <c r="D802" s="218"/>
    </row>
    <row r="803" ht="15.75" customHeight="1">
      <c r="C803" s="218"/>
      <c r="D803" s="218"/>
    </row>
    <row r="804" ht="15.75" customHeight="1">
      <c r="C804" s="218"/>
      <c r="D804" s="218"/>
    </row>
    <row r="805" ht="15.75" customHeight="1">
      <c r="C805" s="218"/>
      <c r="D805" s="218"/>
    </row>
    <row r="806" ht="15.75" customHeight="1">
      <c r="C806" s="218"/>
      <c r="D806" s="218"/>
    </row>
    <row r="807" ht="15.75" customHeight="1">
      <c r="C807" s="218"/>
      <c r="D807" s="218"/>
    </row>
    <row r="808" ht="15.75" customHeight="1">
      <c r="C808" s="218"/>
      <c r="D808" s="218"/>
    </row>
    <row r="809" ht="15.75" customHeight="1">
      <c r="C809" s="218"/>
      <c r="D809" s="218"/>
    </row>
    <row r="810" ht="15.75" customHeight="1">
      <c r="C810" s="218"/>
      <c r="D810" s="218"/>
    </row>
    <row r="811" ht="15.75" customHeight="1">
      <c r="C811" s="218"/>
      <c r="D811" s="218"/>
    </row>
    <row r="812" ht="15.75" customHeight="1">
      <c r="C812" s="218"/>
      <c r="D812" s="218"/>
    </row>
    <row r="813" ht="15.75" customHeight="1">
      <c r="C813" s="218"/>
      <c r="D813" s="218"/>
    </row>
    <row r="814" ht="15.75" customHeight="1">
      <c r="C814" s="218"/>
      <c r="D814" s="218"/>
    </row>
    <row r="815" ht="15.75" customHeight="1">
      <c r="C815" s="218"/>
      <c r="D815" s="218"/>
    </row>
    <row r="816" ht="15.75" customHeight="1">
      <c r="C816" s="218"/>
      <c r="D816" s="218"/>
    </row>
    <row r="817" ht="15.75" customHeight="1">
      <c r="C817" s="218"/>
      <c r="D817" s="218"/>
    </row>
    <row r="818" ht="15.75" customHeight="1">
      <c r="C818" s="218"/>
      <c r="D818" s="218"/>
    </row>
    <row r="819" ht="15.75" customHeight="1">
      <c r="C819" s="218"/>
      <c r="D819" s="218"/>
    </row>
    <row r="820" ht="15.75" customHeight="1">
      <c r="C820" s="218"/>
      <c r="D820" s="218"/>
    </row>
    <row r="821" ht="15.75" customHeight="1">
      <c r="C821" s="218"/>
      <c r="D821" s="218"/>
    </row>
    <row r="822" ht="15.75" customHeight="1">
      <c r="C822" s="218"/>
      <c r="D822" s="218"/>
    </row>
    <row r="823" ht="15.75" customHeight="1">
      <c r="C823" s="218"/>
      <c r="D823" s="218"/>
    </row>
    <row r="824" ht="15.75" customHeight="1">
      <c r="C824" s="218"/>
      <c r="D824" s="218"/>
    </row>
    <row r="825" ht="15.75" customHeight="1">
      <c r="C825" s="218"/>
      <c r="D825" s="218"/>
    </row>
    <row r="826" ht="15.75" customHeight="1">
      <c r="C826" s="218"/>
      <c r="D826" s="218"/>
    </row>
    <row r="827" ht="15.75" customHeight="1">
      <c r="C827" s="218"/>
      <c r="D827" s="218"/>
    </row>
    <row r="828" ht="15.75" customHeight="1">
      <c r="C828" s="218"/>
      <c r="D828" s="218"/>
    </row>
    <row r="829" ht="15.75" customHeight="1">
      <c r="C829" s="218"/>
      <c r="D829" s="218"/>
    </row>
    <row r="830" ht="15.75" customHeight="1">
      <c r="C830" s="218"/>
      <c r="D830" s="218"/>
    </row>
    <row r="831" ht="15.75" customHeight="1">
      <c r="C831" s="218"/>
      <c r="D831" s="218"/>
    </row>
    <row r="832" ht="15.75" customHeight="1">
      <c r="C832" s="218"/>
      <c r="D832" s="218"/>
    </row>
    <row r="833" ht="15.75" customHeight="1">
      <c r="C833" s="218"/>
      <c r="D833" s="218"/>
    </row>
    <row r="834" ht="15.75" customHeight="1">
      <c r="C834" s="218"/>
      <c r="D834" s="218"/>
    </row>
    <row r="835" ht="15.75" customHeight="1">
      <c r="C835" s="218"/>
      <c r="D835" s="218"/>
    </row>
    <row r="836" ht="15.75" customHeight="1">
      <c r="C836" s="218"/>
      <c r="D836" s="218"/>
    </row>
    <row r="837" ht="15.75" customHeight="1">
      <c r="C837" s="218"/>
      <c r="D837" s="218"/>
    </row>
    <row r="838" ht="15.75" customHeight="1">
      <c r="C838" s="218"/>
      <c r="D838" s="218"/>
    </row>
    <row r="839" ht="15.75" customHeight="1">
      <c r="C839" s="218"/>
      <c r="D839" s="218"/>
    </row>
    <row r="840" ht="15.75" customHeight="1">
      <c r="C840" s="218"/>
      <c r="D840" s="218"/>
    </row>
    <row r="841" ht="15.75" customHeight="1">
      <c r="C841" s="218"/>
      <c r="D841" s="218"/>
    </row>
    <row r="842" ht="15.75" customHeight="1">
      <c r="C842" s="218"/>
      <c r="D842" s="218"/>
    </row>
    <row r="843" ht="15.75" customHeight="1">
      <c r="C843" s="218"/>
      <c r="D843" s="218"/>
    </row>
    <row r="844" ht="15.75" customHeight="1">
      <c r="C844" s="218"/>
      <c r="D844" s="218"/>
    </row>
    <row r="845" ht="15.75" customHeight="1">
      <c r="C845" s="218"/>
      <c r="D845" s="218"/>
    </row>
    <row r="846" ht="15.75" customHeight="1">
      <c r="C846" s="218"/>
      <c r="D846" s="218"/>
    </row>
    <row r="847" ht="15.75" customHeight="1">
      <c r="C847" s="218"/>
      <c r="D847" s="218"/>
    </row>
    <row r="848" ht="15.75" customHeight="1">
      <c r="C848" s="218"/>
      <c r="D848" s="218"/>
    </row>
    <row r="849" ht="15.75" customHeight="1">
      <c r="C849" s="218"/>
      <c r="D849" s="218"/>
    </row>
    <row r="850" ht="15.75" customHeight="1">
      <c r="C850" s="218"/>
      <c r="D850" s="218"/>
    </row>
    <row r="851" ht="15.75" customHeight="1">
      <c r="C851" s="218"/>
      <c r="D851" s="218"/>
    </row>
    <row r="852" ht="15.75" customHeight="1">
      <c r="C852" s="218"/>
      <c r="D852" s="218"/>
    </row>
    <row r="853" ht="15.75" customHeight="1">
      <c r="C853" s="218"/>
      <c r="D853" s="218"/>
    </row>
    <row r="854" ht="15.75" customHeight="1">
      <c r="C854" s="218"/>
      <c r="D854" s="218"/>
    </row>
    <row r="855" ht="15.75" customHeight="1">
      <c r="C855" s="218"/>
      <c r="D855" s="218"/>
    </row>
    <row r="856" ht="15.75" customHeight="1">
      <c r="C856" s="218"/>
      <c r="D856" s="218"/>
    </row>
    <row r="857" ht="15.75" customHeight="1">
      <c r="C857" s="218"/>
      <c r="D857" s="218"/>
    </row>
    <row r="858" ht="15.75" customHeight="1">
      <c r="C858" s="218"/>
      <c r="D858" s="218"/>
    </row>
    <row r="859" ht="15.75" customHeight="1">
      <c r="C859" s="218"/>
      <c r="D859" s="218"/>
    </row>
    <row r="860" ht="15.75" customHeight="1">
      <c r="C860" s="218"/>
      <c r="D860" s="218"/>
    </row>
    <row r="861" ht="15.75" customHeight="1">
      <c r="C861" s="218"/>
      <c r="D861" s="218"/>
    </row>
    <row r="862" ht="15.75" customHeight="1">
      <c r="C862" s="218"/>
      <c r="D862" s="218"/>
    </row>
    <row r="863" ht="15.75" customHeight="1">
      <c r="C863" s="218"/>
      <c r="D863" s="218"/>
    </row>
    <row r="864" ht="15.75" customHeight="1">
      <c r="C864" s="218"/>
      <c r="D864" s="218"/>
    </row>
    <row r="865" ht="15.75" customHeight="1">
      <c r="C865" s="218"/>
      <c r="D865" s="218"/>
    </row>
    <row r="866" ht="15.75" customHeight="1">
      <c r="C866" s="218"/>
      <c r="D866" s="218"/>
    </row>
    <row r="867" ht="15.75" customHeight="1">
      <c r="C867" s="218"/>
      <c r="D867" s="218"/>
    </row>
    <row r="868" ht="15.75" customHeight="1">
      <c r="C868" s="218"/>
      <c r="D868" s="218"/>
    </row>
    <row r="869" ht="15.75" customHeight="1">
      <c r="C869" s="218"/>
      <c r="D869" s="218"/>
    </row>
    <row r="870" ht="15.75" customHeight="1">
      <c r="C870" s="218"/>
      <c r="D870" s="218"/>
    </row>
    <row r="871" ht="15.75" customHeight="1">
      <c r="C871" s="218"/>
      <c r="D871" s="218"/>
    </row>
    <row r="872" ht="15.75" customHeight="1">
      <c r="C872" s="218"/>
      <c r="D872" s="218"/>
    </row>
    <row r="873" ht="15.75" customHeight="1">
      <c r="C873" s="218"/>
      <c r="D873" s="218"/>
    </row>
    <row r="874" ht="15.75" customHeight="1">
      <c r="C874" s="218"/>
      <c r="D874" s="218"/>
    </row>
    <row r="875" ht="15.75" customHeight="1">
      <c r="C875" s="218"/>
      <c r="D875" s="218"/>
    </row>
    <row r="876" ht="15.75" customHeight="1">
      <c r="C876" s="218"/>
      <c r="D876" s="218"/>
    </row>
    <row r="877" ht="15.75" customHeight="1">
      <c r="C877" s="218"/>
      <c r="D877" s="218"/>
    </row>
    <row r="878" ht="15.75" customHeight="1">
      <c r="C878" s="218"/>
      <c r="D878" s="218"/>
    </row>
    <row r="879" ht="15.75" customHeight="1">
      <c r="C879" s="218"/>
      <c r="D879" s="218"/>
    </row>
    <row r="880" ht="15.75" customHeight="1">
      <c r="C880" s="218"/>
      <c r="D880" s="218"/>
    </row>
    <row r="881" ht="15.75" customHeight="1">
      <c r="C881" s="218"/>
      <c r="D881" s="218"/>
    </row>
    <row r="882" ht="15.75" customHeight="1">
      <c r="C882" s="218"/>
      <c r="D882" s="218"/>
    </row>
    <row r="883" ht="15.75" customHeight="1">
      <c r="C883" s="218"/>
      <c r="D883" s="218"/>
    </row>
    <row r="884" ht="15.75" customHeight="1">
      <c r="C884" s="218"/>
      <c r="D884" s="218"/>
    </row>
    <row r="885" ht="15.75" customHeight="1">
      <c r="C885" s="218"/>
      <c r="D885" s="218"/>
    </row>
    <row r="886" ht="15.75" customHeight="1">
      <c r="C886" s="218"/>
      <c r="D886" s="218"/>
    </row>
    <row r="887" ht="15.75" customHeight="1">
      <c r="C887" s="218"/>
      <c r="D887" s="218"/>
    </row>
    <row r="888" ht="15.75" customHeight="1">
      <c r="C888" s="218"/>
      <c r="D888" s="218"/>
    </row>
    <row r="889" ht="15.75" customHeight="1">
      <c r="C889" s="218"/>
      <c r="D889" s="218"/>
    </row>
    <row r="890" ht="15.75" customHeight="1">
      <c r="C890" s="218"/>
      <c r="D890" s="218"/>
    </row>
    <row r="891" ht="15.75" customHeight="1">
      <c r="C891" s="218"/>
      <c r="D891" s="218"/>
    </row>
    <row r="892" ht="15.75" customHeight="1">
      <c r="C892" s="218"/>
      <c r="D892" s="218"/>
    </row>
    <row r="893" ht="15.75" customHeight="1">
      <c r="C893" s="218"/>
      <c r="D893" s="218"/>
    </row>
    <row r="894" ht="15.75" customHeight="1">
      <c r="C894" s="218"/>
      <c r="D894" s="218"/>
    </row>
    <row r="895" ht="15.75" customHeight="1">
      <c r="C895" s="218"/>
      <c r="D895" s="218"/>
    </row>
    <row r="896" ht="15.75" customHeight="1">
      <c r="C896" s="218"/>
      <c r="D896" s="218"/>
    </row>
    <row r="897" ht="15.75" customHeight="1">
      <c r="C897" s="218"/>
      <c r="D897" s="218"/>
    </row>
    <row r="898" ht="15.75" customHeight="1">
      <c r="C898" s="218"/>
      <c r="D898" s="218"/>
    </row>
    <row r="899" ht="15.75" customHeight="1">
      <c r="C899" s="218"/>
      <c r="D899" s="218"/>
    </row>
    <row r="900" ht="15.75" customHeight="1">
      <c r="C900" s="218"/>
      <c r="D900" s="218"/>
    </row>
    <row r="901" ht="15.75" customHeight="1">
      <c r="C901" s="218"/>
      <c r="D901" s="218"/>
    </row>
    <row r="902" ht="15.75" customHeight="1">
      <c r="C902" s="218"/>
      <c r="D902" s="218"/>
    </row>
    <row r="903" ht="15.75" customHeight="1">
      <c r="C903" s="218"/>
      <c r="D903" s="218"/>
    </row>
    <row r="904" ht="15.75" customHeight="1">
      <c r="C904" s="218"/>
      <c r="D904" s="218"/>
    </row>
    <row r="905" ht="15.75" customHeight="1">
      <c r="C905" s="218"/>
      <c r="D905" s="218"/>
    </row>
    <row r="906" ht="15.75" customHeight="1">
      <c r="C906" s="218"/>
      <c r="D906" s="218"/>
    </row>
    <row r="907" ht="15.75" customHeight="1">
      <c r="C907" s="218"/>
      <c r="D907" s="218"/>
    </row>
    <row r="908" ht="15.75" customHeight="1">
      <c r="C908" s="218"/>
      <c r="D908" s="218"/>
    </row>
    <row r="909" ht="15.75" customHeight="1">
      <c r="C909" s="218"/>
      <c r="D909" s="218"/>
    </row>
    <row r="910" ht="15.75" customHeight="1">
      <c r="C910" s="218"/>
      <c r="D910" s="218"/>
    </row>
    <row r="911" ht="15.75" customHeight="1">
      <c r="C911" s="218"/>
      <c r="D911" s="218"/>
    </row>
    <row r="912" ht="15.75" customHeight="1">
      <c r="C912" s="218"/>
      <c r="D912" s="218"/>
    </row>
    <row r="913" ht="15.75" customHeight="1">
      <c r="C913" s="218"/>
      <c r="D913" s="218"/>
    </row>
    <row r="914" ht="15.75" customHeight="1">
      <c r="C914" s="218"/>
      <c r="D914" s="218"/>
    </row>
    <row r="915" ht="15.75" customHeight="1">
      <c r="C915" s="218"/>
      <c r="D915" s="218"/>
    </row>
    <row r="916" ht="15.75" customHeight="1">
      <c r="C916" s="218"/>
      <c r="D916" s="218"/>
    </row>
    <row r="917" ht="15.75" customHeight="1">
      <c r="C917" s="218"/>
      <c r="D917" s="218"/>
    </row>
    <row r="918" ht="15.75" customHeight="1">
      <c r="C918" s="218"/>
      <c r="D918" s="218"/>
    </row>
    <row r="919" ht="15.75" customHeight="1">
      <c r="C919" s="218"/>
      <c r="D919" s="218"/>
    </row>
    <row r="920" ht="15.75" customHeight="1">
      <c r="C920" s="218"/>
      <c r="D920" s="218"/>
    </row>
    <row r="921" ht="15.75" customHeight="1">
      <c r="C921" s="218"/>
      <c r="D921" s="218"/>
    </row>
    <row r="922" ht="15.75" customHeight="1">
      <c r="C922" s="218"/>
      <c r="D922" s="218"/>
    </row>
    <row r="923" ht="15.75" customHeight="1">
      <c r="C923" s="218"/>
      <c r="D923" s="218"/>
    </row>
    <row r="924" ht="15.75" customHeight="1">
      <c r="C924" s="218"/>
      <c r="D924" s="218"/>
    </row>
    <row r="925" ht="15.75" customHeight="1">
      <c r="C925" s="218"/>
      <c r="D925" s="218"/>
    </row>
    <row r="926" ht="15.75" customHeight="1">
      <c r="C926" s="218"/>
      <c r="D926" s="218"/>
    </row>
    <row r="927" ht="15.75" customHeight="1">
      <c r="C927" s="218"/>
      <c r="D927" s="218"/>
    </row>
    <row r="928" ht="15.75" customHeight="1">
      <c r="C928" s="218"/>
      <c r="D928" s="218"/>
    </row>
    <row r="929" ht="15.75" customHeight="1">
      <c r="C929" s="218"/>
      <c r="D929" s="218"/>
    </row>
    <row r="930" ht="15.75" customHeight="1">
      <c r="C930" s="218"/>
      <c r="D930" s="218"/>
    </row>
    <row r="931" ht="15.75" customHeight="1">
      <c r="C931" s="218"/>
      <c r="D931" s="218"/>
    </row>
    <row r="932" ht="15.75" customHeight="1">
      <c r="C932" s="218"/>
      <c r="D932" s="218"/>
    </row>
    <row r="933" ht="15.75" customHeight="1">
      <c r="C933" s="218"/>
      <c r="D933" s="218"/>
    </row>
    <row r="934" ht="15.75" customHeight="1">
      <c r="C934" s="218"/>
      <c r="D934" s="218"/>
    </row>
    <row r="935" ht="15.75" customHeight="1">
      <c r="C935" s="218"/>
      <c r="D935" s="218"/>
    </row>
    <row r="936" ht="15.75" customHeight="1">
      <c r="C936" s="218"/>
      <c r="D936" s="218"/>
    </row>
    <row r="937" ht="15.75" customHeight="1">
      <c r="C937" s="218"/>
      <c r="D937" s="218"/>
    </row>
    <row r="938" ht="15.75" customHeight="1">
      <c r="C938" s="218"/>
      <c r="D938" s="218"/>
    </row>
    <row r="939" ht="15.75" customHeight="1">
      <c r="C939" s="218"/>
      <c r="D939" s="218"/>
    </row>
    <row r="940" ht="15.75" customHeight="1">
      <c r="C940" s="218"/>
      <c r="D940" s="218"/>
    </row>
    <row r="941" ht="15.75" customHeight="1">
      <c r="C941" s="218"/>
      <c r="D941" s="218"/>
    </row>
    <row r="942" ht="15.75" customHeight="1">
      <c r="C942" s="218"/>
      <c r="D942" s="218"/>
    </row>
    <row r="943" ht="15.75" customHeight="1">
      <c r="C943" s="218"/>
      <c r="D943" s="218"/>
    </row>
    <row r="944" ht="15.75" customHeight="1">
      <c r="C944" s="218"/>
      <c r="D944" s="218"/>
    </row>
    <row r="945" ht="15.75" customHeight="1">
      <c r="C945" s="218"/>
      <c r="D945" s="218"/>
    </row>
    <row r="946" ht="15.75" customHeight="1">
      <c r="C946" s="218"/>
      <c r="D946" s="218"/>
    </row>
    <row r="947" ht="15.75" customHeight="1">
      <c r="C947" s="218"/>
      <c r="D947" s="218"/>
    </row>
    <row r="948" ht="15.75" customHeight="1">
      <c r="C948" s="218"/>
      <c r="D948" s="218"/>
    </row>
    <row r="949" ht="15.75" customHeight="1">
      <c r="C949" s="218"/>
      <c r="D949" s="218"/>
    </row>
    <row r="950" ht="15.75" customHeight="1">
      <c r="C950" s="218"/>
      <c r="D950" s="218"/>
    </row>
    <row r="951" ht="15.75" customHeight="1">
      <c r="C951" s="218"/>
      <c r="D951" s="218"/>
    </row>
    <row r="952" ht="15.75" customHeight="1">
      <c r="C952" s="218"/>
      <c r="D952" s="218"/>
    </row>
    <row r="953" ht="15.75" customHeight="1">
      <c r="C953" s="218"/>
      <c r="D953" s="218"/>
    </row>
    <row r="954" ht="15.75" customHeight="1">
      <c r="C954" s="218"/>
      <c r="D954" s="218"/>
    </row>
    <row r="955" ht="15.75" customHeight="1">
      <c r="C955" s="218"/>
      <c r="D955" s="218"/>
    </row>
    <row r="956" ht="15.75" customHeight="1">
      <c r="C956" s="218"/>
      <c r="D956" s="218"/>
    </row>
    <row r="957" ht="15.75" customHeight="1">
      <c r="C957" s="218"/>
      <c r="D957" s="218"/>
    </row>
    <row r="958" ht="15.75" customHeight="1">
      <c r="C958" s="218"/>
      <c r="D958" s="218"/>
    </row>
    <row r="959" ht="15.75" customHeight="1">
      <c r="C959" s="218"/>
      <c r="D959" s="218"/>
    </row>
    <row r="960" ht="15.75" customHeight="1">
      <c r="C960" s="218"/>
      <c r="D960" s="218"/>
    </row>
    <row r="961" ht="15.75" customHeight="1">
      <c r="C961" s="218"/>
      <c r="D961" s="218"/>
    </row>
    <row r="962" ht="15.75" customHeight="1">
      <c r="C962" s="218"/>
      <c r="D962" s="218"/>
    </row>
    <row r="963" ht="15.75" customHeight="1">
      <c r="C963" s="218"/>
      <c r="D963" s="218"/>
    </row>
    <row r="964" ht="15.75" customHeight="1">
      <c r="C964" s="218"/>
      <c r="D964" s="218"/>
    </row>
    <row r="965" ht="15.75" customHeight="1">
      <c r="C965" s="218"/>
      <c r="D965" s="218"/>
    </row>
    <row r="966" ht="15.75" customHeight="1">
      <c r="C966" s="218"/>
      <c r="D966" s="218"/>
    </row>
    <row r="967" ht="15.75" customHeight="1">
      <c r="C967" s="218"/>
      <c r="D967" s="218"/>
    </row>
    <row r="968" ht="15.75" customHeight="1">
      <c r="C968" s="218"/>
      <c r="D968" s="218"/>
    </row>
    <row r="969" ht="15.75" customHeight="1">
      <c r="C969" s="218"/>
      <c r="D969" s="218"/>
    </row>
    <row r="970" ht="15.75" customHeight="1">
      <c r="C970" s="218"/>
      <c r="D970" s="218"/>
    </row>
    <row r="971" ht="15.75" customHeight="1">
      <c r="C971" s="218"/>
      <c r="D971" s="218"/>
    </row>
    <row r="972" ht="15.75" customHeight="1">
      <c r="C972" s="218"/>
      <c r="D972" s="218"/>
    </row>
    <row r="973" ht="15.75" customHeight="1">
      <c r="C973" s="218"/>
      <c r="D973" s="218"/>
    </row>
    <row r="974" ht="15.75" customHeight="1">
      <c r="C974" s="218"/>
      <c r="D974" s="218"/>
    </row>
    <row r="975" ht="15.75" customHeight="1">
      <c r="C975" s="218"/>
      <c r="D975" s="218"/>
    </row>
    <row r="976" ht="15.75" customHeight="1">
      <c r="C976" s="218"/>
      <c r="D976" s="218"/>
    </row>
    <row r="977" ht="15.75" customHeight="1">
      <c r="C977" s="218"/>
      <c r="D977" s="218"/>
    </row>
    <row r="978" ht="15.75" customHeight="1">
      <c r="C978" s="218"/>
      <c r="D978" s="218"/>
    </row>
    <row r="979" ht="15.75" customHeight="1">
      <c r="C979" s="218"/>
      <c r="D979" s="218"/>
    </row>
    <row r="980" ht="15.75" customHeight="1">
      <c r="C980" s="218"/>
      <c r="D980" s="218"/>
    </row>
    <row r="981" ht="15.75" customHeight="1">
      <c r="C981" s="218"/>
      <c r="D981" s="218"/>
    </row>
    <row r="982" ht="15.75" customHeight="1">
      <c r="C982" s="218"/>
      <c r="D982" s="218"/>
    </row>
    <row r="983" ht="15.75" customHeight="1">
      <c r="C983" s="218"/>
      <c r="D983" s="218"/>
    </row>
    <row r="984" ht="15.75" customHeight="1">
      <c r="C984" s="218"/>
      <c r="D984" s="218"/>
    </row>
    <row r="985" ht="15.75" customHeight="1">
      <c r="C985" s="218"/>
      <c r="D985" s="218"/>
    </row>
    <row r="986" ht="15.75" customHeight="1">
      <c r="C986" s="218"/>
      <c r="D986" s="218"/>
    </row>
    <row r="987" ht="15.75" customHeight="1">
      <c r="C987" s="218"/>
      <c r="D987" s="218"/>
    </row>
    <row r="988" ht="15.75" customHeight="1">
      <c r="C988" s="218"/>
      <c r="D988" s="218"/>
    </row>
    <row r="989" ht="15.75" customHeight="1">
      <c r="C989" s="218"/>
      <c r="D989" s="218"/>
    </row>
    <row r="990" ht="15.75" customHeight="1">
      <c r="C990" s="218"/>
      <c r="D990" s="218"/>
    </row>
    <row r="991" ht="15.75" customHeight="1">
      <c r="C991" s="218"/>
      <c r="D991" s="218"/>
    </row>
    <row r="992" ht="15.75" customHeight="1">
      <c r="C992" s="218"/>
      <c r="D992" s="218"/>
    </row>
    <row r="993" ht="15.75" customHeight="1">
      <c r="C993" s="218"/>
      <c r="D993" s="218"/>
    </row>
    <row r="994" ht="15.75" customHeight="1">
      <c r="C994" s="218"/>
      <c r="D994" s="218"/>
    </row>
    <row r="995" ht="15.75" customHeight="1">
      <c r="C995" s="218"/>
      <c r="D995" s="218"/>
    </row>
    <row r="996" ht="15.75" customHeight="1">
      <c r="C996" s="218"/>
      <c r="D996" s="218"/>
    </row>
    <row r="997" ht="15.75" customHeight="1">
      <c r="C997" s="218"/>
      <c r="D997" s="218"/>
    </row>
    <row r="998" ht="15.75" customHeight="1">
      <c r="C998" s="218"/>
      <c r="D998" s="218"/>
    </row>
    <row r="999" ht="15.75" customHeight="1">
      <c r="C999" s="218"/>
      <c r="D999" s="218"/>
    </row>
    <row r="1000" ht="15.75" customHeight="1">
      <c r="C1000" s="218"/>
      <c r="D1000" s="218"/>
    </row>
  </sheetData>
  <mergeCells count="5">
    <mergeCell ref="A2:D2"/>
    <mergeCell ref="F2:I2"/>
    <mergeCell ref="K2:N2"/>
    <mergeCell ref="P2:S2"/>
    <mergeCell ref="A26:B26"/>
  </mergeCells>
  <dataValidations>
    <dataValidation type="list" allowBlank="1" showErrorMessage="1" sqref="D4:D22 I4:I22 N4:N22 S4:S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4.38"/>
    <col customWidth="1" min="7" max="7" width="13.38"/>
    <col customWidth="1" min="8" max="8" width="14.38"/>
    <col customWidth="1" min="9" max="9" width="39.88"/>
  </cols>
  <sheetData>
    <row r="1">
      <c r="H1" s="218"/>
    </row>
    <row r="2">
      <c r="A2" s="14"/>
      <c r="B2" s="14"/>
      <c r="C2" s="14"/>
      <c r="D2" s="487"/>
      <c r="E2" s="35"/>
      <c r="H2" s="218"/>
    </row>
    <row r="3">
      <c r="A3" s="577" t="s">
        <v>671</v>
      </c>
      <c r="B3" s="284"/>
      <c r="C3" s="284"/>
      <c r="D3" s="284"/>
      <c r="E3" s="280"/>
      <c r="G3" s="578" t="s">
        <v>672</v>
      </c>
      <c r="H3" s="54"/>
    </row>
    <row r="4">
      <c r="A4" s="490">
        <v>45674.0</v>
      </c>
      <c r="B4" s="194">
        <v>2.0</v>
      </c>
      <c r="C4" s="491">
        <v>500.0</v>
      </c>
      <c r="D4" s="491">
        <f t="shared" ref="D4:D23" si="1">C4*B4</f>
        <v>1000</v>
      </c>
      <c r="E4" s="491">
        <f t="shared" ref="E4:E23" si="2">D4</f>
        <v>1000</v>
      </c>
      <c r="G4" s="579" t="s">
        <v>673</v>
      </c>
      <c r="H4" s="580" t="str">
        <f>F16</f>
        <v/>
      </c>
    </row>
    <row r="5">
      <c r="A5" s="490">
        <v>45674.0</v>
      </c>
      <c r="B5" s="194">
        <v>1.0</v>
      </c>
      <c r="C5" s="491">
        <v>5000.0</v>
      </c>
      <c r="D5" s="491">
        <f t="shared" si="1"/>
        <v>5000</v>
      </c>
      <c r="E5" s="491">
        <f t="shared" si="2"/>
        <v>5000</v>
      </c>
      <c r="F5" s="64"/>
      <c r="G5" s="579" t="s">
        <v>674</v>
      </c>
      <c r="H5" s="581">
        <v>9500.0</v>
      </c>
      <c r="I5" s="35" t="s">
        <v>13</v>
      </c>
    </row>
    <row r="6">
      <c r="A6" s="490">
        <v>45875.0</v>
      </c>
      <c r="B6" s="194">
        <v>4.0</v>
      </c>
      <c r="C6" s="491">
        <v>5000.0</v>
      </c>
      <c r="D6" s="491">
        <f t="shared" si="1"/>
        <v>20000</v>
      </c>
      <c r="E6" s="491">
        <f t="shared" si="2"/>
        <v>20000</v>
      </c>
      <c r="G6" s="579"/>
      <c r="H6" s="581"/>
      <c r="I6" s="64"/>
    </row>
    <row r="7">
      <c r="A7" s="490">
        <v>45875.0</v>
      </c>
      <c r="B7" s="194">
        <v>1.0</v>
      </c>
      <c r="C7" s="491">
        <v>3000.0</v>
      </c>
      <c r="D7" s="491">
        <f t="shared" si="1"/>
        <v>3000</v>
      </c>
      <c r="E7" s="491">
        <f t="shared" si="2"/>
        <v>3000</v>
      </c>
      <c r="G7" s="579"/>
      <c r="H7" s="580"/>
    </row>
    <row r="8">
      <c r="A8" s="490">
        <v>45875.0</v>
      </c>
      <c r="B8" s="194">
        <v>2.0</v>
      </c>
      <c r="C8" s="491">
        <v>4000.0</v>
      </c>
      <c r="D8" s="491">
        <f t="shared" si="1"/>
        <v>8000</v>
      </c>
      <c r="E8" s="491">
        <f t="shared" si="2"/>
        <v>8000</v>
      </c>
      <c r="G8" s="579"/>
      <c r="H8" s="582"/>
    </row>
    <row r="9" ht="15.75" customHeight="1">
      <c r="A9" s="583">
        <v>45876.0</v>
      </c>
      <c r="B9" s="194">
        <v>4.0</v>
      </c>
      <c r="C9" s="491">
        <v>5000.0</v>
      </c>
      <c r="D9" s="491">
        <f t="shared" si="1"/>
        <v>20000</v>
      </c>
      <c r="E9" s="491">
        <f t="shared" si="2"/>
        <v>20000</v>
      </c>
      <c r="G9" s="584" t="s">
        <v>675</v>
      </c>
      <c r="H9" s="585">
        <f>SUM(H4:H8)</f>
        <v>9500</v>
      </c>
    </row>
    <row r="10" ht="15.75" customHeight="1">
      <c r="A10" s="583">
        <v>45876.0</v>
      </c>
      <c r="B10" s="194">
        <v>3.0</v>
      </c>
      <c r="C10" s="491">
        <v>4000.0</v>
      </c>
      <c r="D10" s="491">
        <f t="shared" si="1"/>
        <v>12000</v>
      </c>
      <c r="E10" s="491">
        <f t="shared" si="2"/>
        <v>12000</v>
      </c>
      <c r="H10" s="218"/>
    </row>
    <row r="11" ht="15.75" customHeight="1">
      <c r="A11" s="583">
        <v>45876.0</v>
      </c>
      <c r="B11" s="194">
        <v>2.0</v>
      </c>
      <c r="C11" s="491">
        <v>3000.0</v>
      </c>
      <c r="D11" s="491">
        <f t="shared" si="1"/>
        <v>6000</v>
      </c>
      <c r="E11" s="491">
        <f t="shared" si="2"/>
        <v>6000</v>
      </c>
      <c r="H11" s="218"/>
      <c r="I11" s="586"/>
    </row>
    <row r="12" ht="15.75" customHeight="1">
      <c r="A12" s="583">
        <v>45877.0</v>
      </c>
      <c r="B12" s="194">
        <v>2.0</v>
      </c>
      <c r="C12" s="491">
        <v>4000.0</v>
      </c>
      <c r="D12" s="491">
        <f t="shared" si="1"/>
        <v>8000</v>
      </c>
      <c r="E12" s="491">
        <f t="shared" si="2"/>
        <v>8000</v>
      </c>
      <c r="H12" s="218"/>
    </row>
    <row r="13" ht="15.75" customHeight="1">
      <c r="A13" s="583">
        <v>45877.0</v>
      </c>
      <c r="B13" s="194">
        <v>6.0</v>
      </c>
      <c r="C13" s="491">
        <v>5000.0</v>
      </c>
      <c r="D13" s="491">
        <f t="shared" si="1"/>
        <v>30000</v>
      </c>
      <c r="E13" s="491">
        <f t="shared" si="2"/>
        <v>30000</v>
      </c>
      <c r="H13" s="218"/>
    </row>
    <row r="14" ht="15.75" customHeight="1">
      <c r="A14" s="583">
        <v>45877.0</v>
      </c>
      <c r="B14" s="194">
        <v>4.0</v>
      </c>
      <c r="C14" s="491">
        <v>3000.0</v>
      </c>
      <c r="D14" s="491">
        <f t="shared" si="1"/>
        <v>12000</v>
      </c>
      <c r="E14" s="491">
        <f t="shared" si="2"/>
        <v>12000</v>
      </c>
      <c r="H14" s="218"/>
    </row>
    <row r="15" ht="15.75" customHeight="1">
      <c r="A15" s="490">
        <v>45880.0</v>
      </c>
      <c r="B15" s="194">
        <v>11.0</v>
      </c>
      <c r="C15" s="491">
        <v>5000.0</v>
      </c>
      <c r="D15" s="491">
        <f t="shared" si="1"/>
        <v>55000</v>
      </c>
      <c r="E15" s="491">
        <f t="shared" si="2"/>
        <v>55000</v>
      </c>
      <c r="F15" s="25" t="s">
        <v>13</v>
      </c>
      <c r="H15" s="218"/>
    </row>
    <row r="16" ht="15.75" customHeight="1">
      <c r="A16" s="490">
        <v>45880.0</v>
      </c>
      <c r="B16" s="194">
        <v>1.0</v>
      </c>
      <c r="C16" s="491">
        <v>1000.0</v>
      </c>
      <c r="D16" s="491">
        <f t="shared" si="1"/>
        <v>1000</v>
      </c>
      <c r="E16" s="491">
        <f t="shared" si="2"/>
        <v>1000</v>
      </c>
      <c r="H16" s="218"/>
    </row>
    <row r="17" ht="15.75" customHeight="1">
      <c r="A17" s="490">
        <v>45880.0</v>
      </c>
      <c r="B17" s="194">
        <v>2.0</v>
      </c>
      <c r="C17" s="491">
        <v>4000.0</v>
      </c>
      <c r="D17" s="491">
        <f t="shared" si="1"/>
        <v>8000</v>
      </c>
      <c r="E17" s="491">
        <f t="shared" si="2"/>
        <v>8000</v>
      </c>
      <c r="H17" s="218"/>
    </row>
    <row r="18" ht="15.75" customHeight="1">
      <c r="A18" s="490"/>
      <c r="B18" s="194"/>
      <c r="C18" s="491"/>
      <c r="D18" s="491">
        <f t="shared" si="1"/>
        <v>0</v>
      </c>
      <c r="E18" s="491">
        <f t="shared" si="2"/>
        <v>0</v>
      </c>
      <c r="H18" s="218"/>
    </row>
    <row r="19" ht="15.75" customHeight="1">
      <c r="A19" s="490"/>
      <c r="B19" s="194"/>
      <c r="C19" s="491"/>
      <c r="D19" s="491">
        <f t="shared" si="1"/>
        <v>0</v>
      </c>
      <c r="E19" s="491">
        <f t="shared" si="2"/>
        <v>0</v>
      </c>
      <c r="H19" s="218"/>
    </row>
    <row r="20" ht="15.75" customHeight="1">
      <c r="A20" s="490"/>
      <c r="B20" s="194"/>
      <c r="C20" s="491"/>
      <c r="D20" s="491">
        <f t="shared" si="1"/>
        <v>0</v>
      </c>
      <c r="E20" s="491">
        <f t="shared" si="2"/>
        <v>0</v>
      </c>
      <c r="H20" s="218"/>
    </row>
    <row r="21" ht="15.75" customHeight="1">
      <c r="A21" s="490"/>
      <c r="B21" s="194"/>
      <c r="C21" s="491"/>
      <c r="D21" s="491">
        <f t="shared" si="1"/>
        <v>0</v>
      </c>
      <c r="E21" s="491">
        <f t="shared" si="2"/>
        <v>0</v>
      </c>
      <c r="H21" s="218"/>
    </row>
    <row r="22" ht="15.75" customHeight="1">
      <c r="A22" s="490"/>
      <c r="B22" s="194"/>
      <c r="C22" s="491"/>
      <c r="D22" s="491">
        <f t="shared" si="1"/>
        <v>0</v>
      </c>
      <c r="E22" s="491">
        <f t="shared" si="2"/>
        <v>0</v>
      </c>
      <c r="H22" s="218"/>
    </row>
    <row r="23" ht="15.75" customHeight="1">
      <c r="A23" s="490"/>
      <c r="B23" s="194"/>
      <c r="C23" s="491"/>
      <c r="D23" s="491">
        <f t="shared" si="1"/>
        <v>0</v>
      </c>
      <c r="E23" s="491">
        <f t="shared" si="2"/>
        <v>0</v>
      </c>
      <c r="H23" s="218"/>
    </row>
    <row r="24" ht="15.75" customHeight="1">
      <c r="H24" s="218"/>
    </row>
    <row r="25" ht="15.75" customHeight="1">
      <c r="H25" s="218"/>
    </row>
    <row r="26" ht="15.75" customHeight="1">
      <c r="H26" s="218"/>
    </row>
    <row r="27" ht="15.75" customHeight="1">
      <c r="H27" s="218"/>
    </row>
    <row r="28" ht="15.75" customHeight="1">
      <c r="H28" s="218"/>
    </row>
    <row r="29" ht="15.75" customHeight="1">
      <c r="H29" s="218"/>
    </row>
    <row r="30" ht="15.75" customHeight="1">
      <c r="E30" s="25">
        <f>SUM(E4:E23)</f>
        <v>189000</v>
      </c>
      <c r="H30" s="218"/>
    </row>
    <row r="31" ht="15.75" customHeight="1">
      <c r="H31" s="218"/>
    </row>
    <row r="32" ht="15.75" customHeight="1">
      <c r="H32" s="218"/>
    </row>
    <row r="33" ht="15.75" customHeight="1">
      <c r="H33" s="218"/>
    </row>
    <row r="34" ht="15.75" customHeight="1">
      <c r="H34" s="218"/>
    </row>
    <row r="35" ht="15.75" customHeight="1">
      <c r="H35" s="218"/>
    </row>
    <row r="36" ht="15.75" customHeight="1">
      <c r="H36" s="218"/>
    </row>
    <row r="37" ht="15.75" customHeight="1">
      <c r="H37" s="218"/>
    </row>
    <row r="38" ht="15.75" customHeight="1">
      <c r="H38" s="218"/>
    </row>
    <row r="39" ht="15.75" customHeight="1">
      <c r="H39" s="218"/>
    </row>
    <row r="40" ht="15.75" customHeight="1">
      <c r="H40" s="218"/>
    </row>
    <row r="41" ht="15.75" customHeight="1">
      <c r="H41" s="218"/>
    </row>
    <row r="42" ht="15.75" customHeight="1">
      <c r="H42" s="218"/>
    </row>
    <row r="43" ht="15.75" customHeight="1">
      <c r="H43" s="218"/>
    </row>
    <row r="44" ht="15.75" customHeight="1">
      <c r="H44" s="218"/>
    </row>
    <row r="45" ht="15.75" customHeight="1">
      <c r="H45" s="218"/>
    </row>
    <row r="46" ht="15.75" customHeight="1">
      <c r="H46" s="218"/>
    </row>
    <row r="47" ht="15.75" customHeight="1">
      <c r="H47" s="218"/>
    </row>
    <row r="48" ht="15.75" customHeight="1">
      <c r="H48" s="218"/>
    </row>
    <row r="49" ht="15.75" customHeight="1">
      <c r="H49" s="218"/>
    </row>
    <row r="50" ht="15.75" customHeight="1">
      <c r="H50" s="218"/>
    </row>
    <row r="51" ht="15.75" customHeight="1">
      <c r="H51" s="218"/>
    </row>
    <row r="52" ht="15.75" customHeight="1">
      <c r="H52" s="218"/>
    </row>
    <row r="53" ht="15.75" customHeight="1">
      <c r="H53" s="218"/>
    </row>
    <row r="54" ht="15.75" customHeight="1">
      <c r="H54" s="218"/>
    </row>
    <row r="55" ht="15.75" customHeight="1">
      <c r="H55" s="218"/>
    </row>
    <row r="56" ht="15.75" customHeight="1">
      <c r="H56" s="218"/>
    </row>
    <row r="57" ht="15.75" customHeight="1">
      <c r="H57" s="218"/>
    </row>
    <row r="58" ht="15.75" customHeight="1">
      <c r="H58" s="218"/>
    </row>
    <row r="59" ht="15.75" customHeight="1">
      <c r="H59" s="218"/>
    </row>
    <row r="60" ht="15.75" customHeight="1">
      <c r="H60" s="218"/>
    </row>
    <row r="61" ht="15.75" customHeight="1">
      <c r="H61" s="218"/>
    </row>
    <row r="62" ht="15.75" customHeight="1">
      <c r="H62" s="218"/>
    </row>
    <row r="63" ht="15.75" customHeight="1">
      <c r="H63" s="218"/>
    </row>
    <row r="64" ht="15.75" customHeight="1">
      <c r="H64" s="218"/>
    </row>
    <row r="65" ht="15.75" customHeight="1">
      <c r="H65" s="218"/>
    </row>
    <row r="66" ht="15.75" customHeight="1">
      <c r="H66" s="218"/>
    </row>
    <row r="67" ht="15.75" customHeight="1">
      <c r="H67" s="218"/>
    </row>
    <row r="68" ht="15.75" customHeight="1">
      <c r="H68" s="218"/>
    </row>
    <row r="69" ht="15.75" customHeight="1">
      <c r="H69" s="218"/>
    </row>
    <row r="70" ht="15.75" customHeight="1">
      <c r="H70" s="218"/>
    </row>
    <row r="71" ht="15.75" customHeight="1">
      <c r="H71" s="218"/>
    </row>
    <row r="72" ht="15.75" customHeight="1">
      <c r="H72" s="218"/>
    </row>
    <row r="73" ht="15.75" customHeight="1">
      <c r="H73" s="218"/>
    </row>
    <row r="74" ht="15.75" customHeight="1">
      <c r="H74" s="218"/>
    </row>
    <row r="75" ht="15.75" customHeight="1">
      <c r="H75" s="218"/>
    </row>
    <row r="76" ht="15.75" customHeight="1">
      <c r="H76" s="218"/>
    </row>
    <row r="77" ht="15.75" customHeight="1">
      <c r="H77" s="218"/>
    </row>
    <row r="78" ht="15.75" customHeight="1">
      <c r="H78" s="218"/>
    </row>
    <row r="79" ht="15.75" customHeight="1">
      <c r="H79" s="218"/>
    </row>
    <row r="80" ht="15.75" customHeight="1">
      <c r="H80" s="218"/>
    </row>
    <row r="81" ht="15.75" customHeight="1">
      <c r="H81" s="218"/>
    </row>
    <row r="82" ht="15.75" customHeight="1">
      <c r="H82" s="218"/>
    </row>
    <row r="83" ht="15.75" customHeight="1">
      <c r="H83" s="218"/>
    </row>
    <row r="84" ht="15.75" customHeight="1">
      <c r="H84" s="218"/>
    </row>
    <row r="85" ht="15.75" customHeight="1">
      <c r="H85" s="218"/>
    </row>
    <row r="86" ht="15.75" customHeight="1">
      <c r="H86" s="218"/>
    </row>
    <row r="87" ht="15.75" customHeight="1">
      <c r="H87" s="218"/>
    </row>
    <row r="88" ht="15.75" customHeight="1">
      <c r="H88" s="218"/>
    </row>
    <row r="89" ht="15.75" customHeight="1">
      <c r="H89" s="218"/>
    </row>
    <row r="90" ht="15.75" customHeight="1">
      <c r="H90" s="218"/>
    </row>
    <row r="91" ht="15.75" customHeight="1">
      <c r="H91" s="218"/>
    </row>
    <row r="92" ht="15.75" customHeight="1">
      <c r="H92" s="218"/>
    </row>
    <row r="93" ht="15.75" customHeight="1">
      <c r="H93" s="218"/>
    </row>
    <row r="94" ht="15.75" customHeight="1">
      <c r="H94" s="218"/>
    </row>
    <row r="95" ht="15.75" customHeight="1">
      <c r="H95" s="218"/>
    </row>
    <row r="96" ht="15.75" customHeight="1">
      <c r="H96" s="218"/>
    </row>
    <row r="97" ht="15.75" customHeight="1">
      <c r="H97" s="218"/>
    </row>
    <row r="98" ht="15.75" customHeight="1">
      <c r="H98" s="218"/>
    </row>
    <row r="99" ht="15.75" customHeight="1">
      <c r="H99" s="218"/>
    </row>
    <row r="100" ht="15.75" customHeight="1">
      <c r="H100" s="218"/>
    </row>
    <row r="101" ht="15.75" customHeight="1">
      <c r="H101" s="218"/>
    </row>
    <row r="102" ht="15.75" customHeight="1">
      <c r="H102" s="218"/>
    </row>
    <row r="103" ht="15.75" customHeight="1">
      <c r="H103" s="218"/>
    </row>
    <row r="104" ht="15.75" customHeight="1">
      <c r="H104" s="218"/>
    </row>
    <row r="105" ht="15.75" customHeight="1">
      <c r="H105" s="218"/>
    </row>
    <row r="106" ht="15.75" customHeight="1">
      <c r="H106" s="218"/>
    </row>
    <row r="107" ht="15.75" customHeight="1">
      <c r="H107" s="218"/>
    </row>
    <row r="108" ht="15.75" customHeight="1">
      <c r="H108" s="218"/>
    </row>
    <row r="109" ht="15.75" customHeight="1">
      <c r="H109" s="218"/>
    </row>
    <row r="110" ht="15.75" customHeight="1">
      <c r="H110" s="218"/>
    </row>
    <row r="111" ht="15.75" customHeight="1">
      <c r="H111" s="218"/>
    </row>
    <row r="112" ht="15.75" customHeight="1">
      <c r="H112" s="218"/>
    </row>
    <row r="113" ht="15.75" customHeight="1">
      <c r="H113" s="218"/>
    </row>
    <row r="114" ht="15.75" customHeight="1">
      <c r="H114" s="218"/>
    </row>
    <row r="115" ht="15.75" customHeight="1">
      <c r="H115" s="218"/>
    </row>
    <row r="116" ht="15.75" customHeight="1">
      <c r="H116" s="218"/>
    </row>
    <row r="117" ht="15.75" customHeight="1">
      <c r="H117" s="218"/>
    </row>
    <row r="118" ht="15.75" customHeight="1">
      <c r="H118" s="218"/>
    </row>
    <row r="119" ht="15.75" customHeight="1">
      <c r="H119" s="218"/>
    </row>
    <row r="120" ht="15.75" customHeight="1">
      <c r="H120" s="218"/>
    </row>
    <row r="121" ht="15.75" customHeight="1">
      <c r="H121" s="218"/>
    </row>
    <row r="122" ht="15.75" customHeight="1">
      <c r="H122" s="218"/>
    </row>
    <row r="123" ht="15.75" customHeight="1">
      <c r="H123" s="218"/>
    </row>
    <row r="124" ht="15.75" customHeight="1">
      <c r="H124" s="218"/>
    </row>
    <row r="125" ht="15.75" customHeight="1">
      <c r="H125" s="218"/>
    </row>
    <row r="126" ht="15.75" customHeight="1">
      <c r="H126" s="218"/>
    </row>
    <row r="127" ht="15.75" customHeight="1">
      <c r="H127" s="218"/>
    </row>
    <row r="128" ht="15.75" customHeight="1">
      <c r="H128" s="218"/>
    </row>
    <row r="129" ht="15.75" customHeight="1">
      <c r="H129" s="218"/>
    </row>
    <row r="130" ht="15.75" customHeight="1">
      <c r="H130" s="218"/>
    </row>
    <row r="131" ht="15.75" customHeight="1">
      <c r="H131" s="218"/>
    </row>
    <row r="132" ht="15.75" customHeight="1">
      <c r="H132" s="218"/>
    </row>
    <row r="133" ht="15.75" customHeight="1">
      <c r="H133" s="218"/>
    </row>
    <row r="134" ht="15.75" customHeight="1">
      <c r="H134" s="218"/>
    </row>
    <row r="135" ht="15.75" customHeight="1">
      <c r="H135" s="218"/>
    </row>
    <row r="136" ht="15.75" customHeight="1">
      <c r="H136" s="218"/>
    </row>
    <row r="137" ht="15.75" customHeight="1">
      <c r="H137" s="218"/>
    </row>
    <row r="138" ht="15.75" customHeight="1">
      <c r="H138" s="218"/>
    </row>
    <row r="139" ht="15.75" customHeight="1">
      <c r="H139" s="218"/>
    </row>
    <row r="140" ht="15.75" customHeight="1">
      <c r="H140" s="218"/>
    </row>
    <row r="141" ht="15.75" customHeight="1">
      <c r="H141" s="218"/>
    </row>
    <row r="142" ht="15.75" customHeight="1">
      <c r="H142" s="218"/>
    </row>
    <row r="143" ht="15.75" customHeight="1">
      <c r="H143" s="218"/>
    </row>
    <row r="144" ht="15.75" customHeight="1">
      <c r="H144" s="218"/>
    </row>
    <row r="145" ht="15.75" customHeight="1">
      <c r="H145" s="218"/>
    </row>
    <row r="146" ht="15.75" customHeight="1">
      <c r="H146" s="218"/>
    </row>
    <row r="147" ht="15.75" customHeight="1">
      <c r="H147" s="218"/>
    </row>
    <row r="148" ht="15.75" customHeight="1">
      <c r="H148" s="218"/>
    </row>
    <row r="149" ht="15.75" customHeight="1">
      <c r="H149" s="218"/>
    </row>
    <row r="150" ht="15.75" customHeight="1">
      <c r="H150" s="218"/>
    </row>
    <row r="151" ht="15.75" customHeight="1">
      <c r="H151" s="218"/>
    </row>
    <row r="152" ht="15.75" customHeight="1">
      <c r="H152" s="218"/>
    </row>
    <row r="153" ht="15.75" customHeight="1">
      <c r="H153" s="218"/>
    </row>
    <row r="154" ht="15.75" customHeight="1">
      <c r="H154" s="218"/>
    </row>
    <row r="155" ht="15.75" customHeight="1">
      <c r="H155" s="218"/>
    </row>
    <row r="156" ht="15.75" customHeight="1">
      <c r="H156" s="218"/>
    </row>
    <row r="157" ht="15.75" customHeight="1">
      <c r="H157" s="218"/>
    </row>
    <row r="158" ht="15.75" customHeight="1">
      <c r="H158" s="218"/>
    </row>
    <row r="159" ht="15.75" customHeight="1">
      <c r="H159" s="218"/>
    </row>
    <row r="160" ht="15.75" customHeight="1">
      <c r="H160" s="218"/>
    </row>
    <row r="161" ht="15.75" customHeight="1">
      <c r="H161" s="218"/>
    </row>
    <row r="162" ht="15.75" customHeight="1">
      <c r="H162" s="218"/>
    </row>
    <row r="163" ht="15.75" customHeight="1">
      <c r="H163" s="218"/>
    </row>
    <row r="164" ht="15.75" customHeight="1">
      <c r="H164" s="218"/>
    </row>
    <row r="165" ht="15.75" customHeight="1">
      <c r="H165" s="218"/>
    </row>
    <row r="166" ht="15.75" customHeight="1">
      <c r="H166" s="218"/>
    </row>
    <row r="167" ht="15.75" customHeight="1">
      <c r="H167" s="218"/>
    </row>
    <row r="168" ht="15.75" customHeight="1">
      <c r="H168" s="218"/>
    </row>
    <row r="169" ht="15.75" customHeight="1">
      <c r="H169" s="218"/>
    </row>
    <row r="170" ht="15.75" customHeight="1">
      <c r="H170" s="218"/>
    </row>
    <row r="171" ht="15.75" customHeight="1">
      <c r="H171" s="218"/>
    </row>
    <row r="172" ht="15.75" customHeight="1">
      <c r="H172" s="218"/>
    </row>
    <row r="173" ht="15.75" customHeight="1">
      <c r="H173" s="218"/>
    </row>
    <row r="174" ht="15.75" customHeight="1">
      <c r="H174" s="218"/>
    </row>
    <row r="175" ht="15.75" customHeight="1">
      <c r="H175" s="218"/>
    </row>
    <row r="176" ht="15.75" customHeight="1">
      <c r="H176" s="218"/>
    </row>
    <row r="177" ht="15.75" customHeight="1">
      <c r="H177" s="218"/>
    </row>
    <row r="178" ht="15.75" customHeight="1">
      <c r="H178" s="218"/>
    </row>
    <row r="179" ht="15.75" customHeight="1">
      <c r="H179" s="218"/>
    </row>
    <row r="180" ht="15.75" customHeight="1">
      <c r="H180" s="218"/>
    </row>
    <row r="181" ht="15.75" customHeight="1">
      <c r="H181" s="218"/>
    </row>
    <row r="182" ht="15.75" customHeight="1">
      <c r="H182" s="218"/>
    </row>
    <row r="183" ht="15.75" customHeight="1">
      <c r="H183" s="218"/>
    </row>
    <row r="184" ht="15.75" customHeight="1">
      <c r="H184" s="218"/>
    </row>
    <row r="185" ht="15.75" customHeight="1">
      <c r="H185" s="218"/>
    </row>
    <row r="186" ht="15.75" customHeight="1">
      <c r="H186" s="218"/>
    </row>
    <row r="187" ht="15.75" customHeight="1">
      <c r="H187" s="218"/>
    </row>
    <row r="188" ht="15.75" customHeight="1">
      <c r="H188" s="218"/>
    </row>
    <row r="189" ht="15.75" customHeight="1">
      <c r="H189" s="218"/>
    </row>
    <row r="190" ht="15.75" customHeight="1">
      <c r="H190" s="218"/>
    </row>
    <row r="191" ht="15.75" customHeight="1">
      <c r="H191" s="218"/>
    </row>
    <row r="192" ht="15.75" customHeight="1">
      <c r="H192" s="218"/>
    </row>
    <row r="193" ht="15.75" customHeight="1">
      <c r="H193" s="218"/>
    </row>
    <row r="194" ht="15.75" customHeight="1">
      <c r="H194" s="218"/>
    </row>
    <row r="195" ht="15.75" customHeight="1">
      <c r="H195" s="218"/>
    </row>
    <row r="196" ht="15.75" customHeight="1">
      <c r="H196" s="218"/>
    </row>
    <row r="197" ht="15.75" customHeight="1">
      <c r="H197" s="218"/>
    </row>
    <row r="198" ht="15.75" customHeight="1">
      <c r="H198" s="218"/>
    </row>
    <row r="199" ht="15.75" customHeight="1">
      <c r="H199" s="218"/>
    </row>
    <row r="200" ht="15.75" customHeight="1">
      <c r="H200" s="218"/>
    </row>
    <row r="201" ht="15.75" customHeight="1">
      <c r="H201" s="218"/>
    </row>
    <row r="202" ht="15.75" customHeight="1">
      <c r="H202" s="218"/>
    </row>
    <row r="203" ht="15.75" customHeight="1">
      <c r="H203" s="218"/>
    </row>
    <row r="204" ht="15.75" customHeight="1">
      <c r="H204" s="218"/>
    </row>
    <row r="205" ht="15.75" customHeight="1">
      <c r="H205" s="218"/>
    </row>
    <row r="206" ht="15.75" customHeight="1">
      <c r="H206" s="218"/>
    </row>
    <row r="207" ht="15.75" customHeight="1">
      <c r="H207" s="218"/>
    </row>
    <row r="208" ht="15.75" customHeight="1">
      <c r="H208" s="218"/>
    </row>
    <row r="209" ht="15.75" customHeight="1">
      <c r="H209" s="218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2">
    <mergeCell ref="A3:E3"/>
    <mergeCell ref="G3:H3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6.38"/>
    <col customWidth="1" min="3" max="3" width="16.13"/>
    <col customWidth="1" min="4" max="4" width="16.25"/>
    <col customWidth="1" min="5" max="5" width="16.0"/>
    <col customWidth="1" min="6" max="6" width="11.38"/>
    <col customWidth="1" min="7" max="7" width="13.25"/>
    <col customWidth="1" min="8" max="25" width="10.75"/>
  </cols>
  <sheetData>
    <row r="1" ht="15.75" customHeight="1">
      <c r="A1" s="587"/>
      <c r="B1" s="588" t="s">
        <v>676</v>
      </c>
      <c r="C1" s="53"/>
      <c r="D1" s="53"/>
      <c r="E1" s="54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7"/>
    </row>
    <row r="2" ht="15.75" customHeight="1">
      <c r="A2" s="587"/>
      <c r="B2" s="589"/>
      <c r="C2" s="590" t="s">
        <v>677</v>
      </c>
      <c r="D2" s="590" t="s">
        <v>663</v>
      </c>
      <c r="E2" s="591" t="s">
        <v>678</v>
      </c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  <c r="V2" s="587"/>
      <c r="W2" s="587"/>
      <c r="X2" s="587"/>
      <c r="Y2" s="587"/>
      <c r="Z2" s="587"/>
    </row>
    <row r="3" ht="15.75" customHeight="1">
      <c r="A3" s="592" t="s">
        <v>679</v>
      </c>
      <c r="B3" s="593" t="s">
        <v>680</v>
      </c>
      <c r="C3" s="594">
        <v>800550.0</v>
      </c>
      <c r="D3" s="594">
        <v>400550.0</v>
      </c>
      <c r="E3" s="595">
        <f t="shared" ref="E3:E7" si="1">C3-D3</f>
        <v>400000</v>
      </c>
      <c r="F3" s="587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7"/>
      <c r="T3" s="587"/>
      <c r="U3" s="587"/>
      <c r="V3" s="587"/>
      <c r="W3" s="587"/>
      <c r="X3" s="587"/>
      <c r="Y3" s="587"/>
      <c r="Z3" s="587"/>
    </row>
    <row r="4" ht="15.75" customHeight="1">
      <c r="A4" s="592" t="s">
        <v>679</v>
      </c>
      <c r="B4" s="593" t="s">
        <v>681</v>
      </c>
      <c r="C4" s="594">
        <v>50000.0</v>
      </c>
      <c r="D4" s="594">
        <v>25000.0</v>
      </c>
      <c r="E4" s="595">
        <f t="shared" si="1"/>
        <v>25000</v>
      </c>
      <c r="F4" s="587"/>
      <c r="G4" s="587"/>
      <c r="H4" s="587"/>
      <c r="I4" s="587"/>
      <c r="J4" s="587"/>
      <c r="K4" s="587"/>
      <c r="L4" s="587"/>
      <c r="M4" s="587"/>
      <c r="N4" s="587"/>
      <c r="O4" s="587"/>
      <c r="P4" s="587"/>
      <c r="Q4" s="587"/>
      <c r="R4" s="587"/>
      <c r="S4" s="587"/>
      <c r="T4" s="587"/>
      <c r="U4" s="587"/>
      <c r="V4" s="587"/>
      <c r="W4" s="587"/>
      <c r="X4" s="587"/>
      <c r="Y4" s="587"/>
      <c r="Z4" s="587"/>
    </row>
    <row r="5" ht="15.75" customHeight="1">
      <c r="A5" s="592" t="s">
        <v>679</v>
      </c>
      <c r="B5" s="593" t="s">
        <v>682</v>
      </c>
      <c r="C5" s="594">
        <v>30636.0</v>
      </c>
      <c r="D5" s="594">
        <v>15400.0</v>
      </c>
      <c r="E5" s="595">
        <f t="shared" si="1"/>
        <v>15236</v>
      </c>
      <c r="F5" s="587"/>
      <c r="G5" s="587"/>
      <c r="H5" s="587"/>
      <c r="I5" s="587"/>
      <c r="J5" s="587"/>
      <c r="K5" s="587"/>
      <c r="L5" s="587"/>
      <c r="M5" s="587"/>
      <c r="N5" s="587"/>
      <c r="O5" s="587"/>
      <c r="P5" s="587"/>
      <c r="Q5" s="587"/>
      <c r="R5" s="587"/>
      <c r="S5" s="587"/>
      <c r="T5" s="587"/>
      <c r="U5" s="587"/>
      <c r="V5" s="587"/>
      <c r="W5" s="587"/>
      <c r="X5" s="587"/>
      <c r="Y5" s="587"/>
      <c r="Z5" s="587"/>
    </row>
    <row r="6" ht="15.75" customHeight="1">
      <c r="A6" s="592" t="s">
        <v>679</v>
      </c>
      <c r="B6" s="593" t="s">
        <v>683</v>
      </c>
      <c r="C6" s="594">
        <v>396500.0</v>
      </c>
      <c r="D6" s="594">
        <v>198500.0</v>
      </c>
      <c r="E6" s="595">
        <f t="shared" si="1"/>
        <v>198000</v>
      </c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  <c r="Q6" s="587"/>
      <c r="R6" s="587"/>
      <c r="S6" s="587"/>
      <c r="T6" s="587"/>
      <c r="U6" s="587"/>
      <c r="V6" s="587"/>
      <c r="W6" s="587"/>
      <c r="X6" s="587"/>
      <c r="Y6" s="587"/>
      <c r="Z6" s="587"/>
    </row>
    <row r="7" ht="15.75" customHeight="1">
      <c r="A7" s="592" t="s">
        <v>679</v>
      </c>
      <c r="B7" s="593" t="s">
        <v>684</v>
      </c>
      <c r="C7" s="594">
        <v>95000.0</v>
      </c>
      <c r="D7" s="594">
        <v>95000.0</v>
      </c>
      <c r="E7" s="595">
        <f t="shared" si="1"/>
        <v>0</v>
      </c>
      <c r="F7" s="587"/>
      <c r="G7" s="587"/>
      <c r="H7" s="587"/>
      <c r="I7" s="587"/>
      <c r="J7" s="587"/>
      <c r="K7" s="587"/>
      <c r="L7" s="587"/>
      <c r="M7" s="587"/>
      <c r="N7" s="587"/>
      <c r="O7" s="587"/>
      <c r="P7" s="587"/>
      <c r="Q7" s="587"/>
      <c r="R7" s="587"/>
      <c r="S7" s="587"/>
      <c r="T7" s="587"/>
      <c r="U7" s="587"/>
      <c r="V7" s="587"/>
      <c r="W7" s="587"/>
      <c r="X7" s="587"/>
      <c r="Y7" s="587"/>
      <c r="Z7" s="587"/>
    </row>
    <row r="8" ht="15.75" customHeight="1">
      <c r="A8" s="592" t="s">
        <v>679</v>
      </c>
      <c r="B8" s="596" t="s">
        <v>685</v>
      </c>
      <c r="C8" s="597">
        <v>332461.0</v>
      </c>
      <c r="D8" s="597">
        <v>129100.0</v>
      </c>
      <c r="E8" s="598">
        <v>203361.0</v>
      </c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587"/>
      <c r="R8" s="587"/>
      <c r="S8" s="587"/>
      <c r="T8" s="587"/>
      <c r="U8" s="587"/>
      <c r="V8" s="587"/>
      <c r="W8" s="587"/>
      <c r="X8" s="587"/>
      <c r="Y8" s="587"/>
      <c r="Z8" s="587"/>
    </row>
    <row r="9" ht="15.75" customHeight="1">
      <c r="A9" s="592" t="s">
        <v>679</v>
      </c>
      <c r="B9" s="596" t="s">
        <v>686</v>
      </c>
      <c r="C9" s="597">
        <f t="shared" ref="C9:C12" si="2">D9+E9</f>
        <v>762593</v>
      </c>
      <c r="D9" s="597">
        <v>455600.0</v>
      </c>
      <c r="E9" s="598">
        <f>59035+60000+180583+7375</f>
        <v>306993</v>
      </c>
      <c r="F9" s="587"/>
      <c r="G9" s="587"/>
      <c r="H9" s="587"/>
      <c r="I9" s="587"/>
      <c r="J9" s="587"/>
      <c r="K9" s="587"/>
      <c r="L9" s="587"/>
      <c r="M9" s="587"/>
      <c r="N9" s="587"/>
      <c r="O9" s="587"/>
      <c r="P9" s="587"/>
      <c r="Q9" s="587"/>
      <c r="R9" s="587"/>
      <c r="S9" s="587"/>
      <c r="T9" s="587"/>
      <c r="U9" s="587"/>
      <c r="V9" s="587"/>
      <c r="W9" s="587"/>
      <c r="X9" s="587"/>
      <c r="Y9" s="587"/>
      <c r="Z9" s="587"/>
    </row>
    <row r="10" ht="15.75" customHeight="1">
      <c r="A10" s="592" t="s">
        <v>679</v>
      </c>
      <c r="B10" s="596" t="s">
        <v>687</v>
      </c>
      <c r="C10" s="597">
        <f t="shared" si="2"/>
        <v>475464</v>
      </c>
      <c r="D10" s="597">
        <f>120000+129500</f>
        <v>249500</v>
      </c>
      <c r="E10" s="598">
        <v>225964.0</v>
      </c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587"/>
      <c r="Q10" s="587"/>
      <c r="R10" s="587"/>
      <c r="S10" s="587"/>
      <c r="T10" s="587"/>
      <c r="U10" s="587"/>
      <c r="V10" s="587"/>
      <c r="W10" s="587"/>
      <c r="X10" s="587"/>
      <c r="Y10" s="587"/>
      <c r="Z10" s="587"/>
    </row>
    <row r="11" ht="15.75" customHeight="1">
      <c r="A11" s="592" t="s">
        <v>679</v>
      </c>
      <c r="B11" s="596" t="s">
        <v>688</v>
      </c>
      <c r="C11" s="597">
        <f t="shared" si="2"/>
        <v>459464</v>
      </c>
      <c r="D11" s="597">
        <v>151800.0</v>
      </c>
      <c r="E11" s="598">
        <v>307664.0</v>
      </c>
      <c r="F11" s="587"/>
      <c r="G11" s="587"/>
      <c r="H11" s="587"/>
      <c r="I11" s="587"/>
      <c r="J11" s="587"/>
      <c r="K11" s="587"/>
      <c r="L11" s="587"/>
      <c r="M11" s="587"/>
      <c r="N11" s="587"/>
      <c r="O11" s="587"/>
      <c r="P11" s="587"/>
      <c r="Q11" s="587"/>
      <c r="R11" s="587"/>
      <c r="S11" s="587"/>
      <c r="T11" s="587"/>
      <c r="U11" s="587"/>
      <c r="V11" s="587"/>
      <c r="W11" s="587"/>
      <c r="X11" s="587"/>
      <c r="Y11" s="587"/>
      <c r="Z11" s="587"/>
    </row>
    <row r="12" ht="15.75" customHeight="1">
      <c r="A12" s="592" t="s">
        <v>679</v>
      </c>
      <c r="B12" s="596" t="s">
        <v>689</v>
      </c>
      <c r="C12" s="597">
        <f t="shared" si="2"/>
        <v>604471</v>
      </c>
      <c r="D12" s="597">
        <v>548000.0</v>
      </c>
      <c r="E12" s="598">
        <v>56471.0</v>
      </c>
      <c r="F12" s="587"/>
      <c r="G12" s="587"/>
      <c r="H12" s="587"/>
      <c r="I12" s="587"/>
      <c r="J12" s="587"/>
      <c r="K12" s="587"/>
      <c r="L12" s="587"/>
      <c r="M12" s="587"/>
      <c r="N12" s="587"/>
      <c r="O12" s="587"/>
      <c r="P12" s="587"/>
      <c r="Q12" s="587"/>
      <c r="R12" s="587"/>
      <c r="S12" s="587"/>
      <c r="T12" s="587"/>
      <c r="U12" s="587"/>
      <c r="V12" s="587"/>
      <c r="W12" s="587"/>
      <c r="X12" s="587"/>
      <c r="Y12" s="587"/>
      <c r="Z12" s="587"/>
    </row>
    <row r="13" ht="15.75" customHeight="1">
      <c r="A13" s="592" t="s">
        <v>679</v>
      </c>
      <c r="B13" s="596" t="s">
        <v>690</v>
      </c>
      <c r="C13" s="597"/>
      <c r="D13" s="597">
        <v>270000.0</v>
      </c>
      <c r="E13" s="598">
        <v>-50000.0</v>
      </c>
      <c r="F13" s="587"/>
      <c r="G13" s="587"/>
      <c r="H13" s="587"/>
      <c r="I13" s="587"/>
      <c r="J13" s="587"/>
      <c r="K13" s="587"/>
      <c r="L13" s="587"/>
      <c r="M13" s="587"/>
      <c r="N13" s="587"/>
      <c r="O13" s="587"/>
      <c r="P13" s="587"/>
      <c r="Q13" s="587"/>
      <c r="R13" s="587"/>
      <c r="S13" s="587"/>
      <c r="T13" s="587"/>
      <c r="U13" s="587"/>
      <c r="V13" s="587"/>
      <c r="W13" s="587"/>
      <c r="X13" s="587"/>
      <c r="Y13" s="587"/>
      <c r="Z13" s="587"/>
    </row>
    <row r="14" ht="15.75" customHeight="1">
      <c r="A14" s="592"/>
      <c r="B14" s="596" t="s">
        <v>691</v>
      </c>
      <c r="C14" s="597"/>
      <c r="D14" s="597">
        <v>852724.0</v>
      </c>
      <c r="E14" s="598">
        <v>-150000.0</v>
      </c>
      <c r="F14" s="587"/>
      <c r="G14" s="587"/>
      <c r="H14" s="587"/>
      <c r="I14" s="587"/>
      <c r="J14" s="587"/>
      <c r="K14" s="587"/>
      <c r="L14" s="587"/>
      <c r="M14" s="587"/>
      <c r="N14" s="587"/>
      <c r="O14" s="587"/>
      <c r="P14" s="587"/>
      <c r="Q14" s="587"/>
      <c r="R14" s="587"/>
      <c r="S14" s="587"/>
      <c r="T14" s="587"/>
      <c r="U14" s="587"/>
      <c r="V14" s="587"/>
      <c r="W14" s="587"/>
      <c r="X14" s="587"/>
      <c r="Y14" s="587"/>
      <c r="Z14" s="587"/>
    </row>
    <row r="15" ht="15.75" customHeight="1">
      <c r="A15" s="592"/>
      <c r="B15" s="596" t="s">
        <v>692</v>
      </c>
      <c r="C15" s="597"/>
      <c r="D15" s="597">
        <v>224000.0</v>
      </c>
      <c r="E15" s="598">
        <v>-20000.0</v>
      </c>
      <c r="F15" s="587"/>
      <c r="G15" s="587"/>
      <c r="H15" s="587"/>
      <c r="I15" s="587"/>
      <c r="J15" s="587"/>
      <c r="K15" s="587"/>
      <c r="L15" s="587"/>
      <c r="M15" s="587"/>
      <c r="N15" s="587"/>
      <c r="O15" s="587"/>
      <c r="P15" s="587"/>
      <c r="Q15" s="587"/>
      <c r="R15" s="587"/>
      <c r="S15" s="587"/>
      <c r="T15" s="587"/>
      <c r="U15" s="587"/>
      <c r="V15" s="587"/>
      <c r="W15" s="587"/>
      <c r="X15" s="587"/>
      <c r="Y15" s="587"/>
      <c r="Z15" s="587"/>
    </row>
    <row r="16" ht="15.75" customHeight="1">
      <c r="A16" s="592"/>
      <c r="B16" s="596" t="s">
        <v>693</v>
      </c>
      <c r="C16" s="597"/>
      <c r="D16" s="597">
        <v>-509000.0</v>
      </c>
      <c r="E16" s="598">
        <v>-400000.0</v>
      </c>
      <c r="F16" s="587"/>
      <c r="G16" s="587"/>
      <c r="H16" s="587"/>
      <c r="I16" s="587"/>
      <c r="J16" s="587"/>
      <c r="K16" s="587"/>
      <c r="L16" s="587"/>
      <c r="M16" s="587"/>
      <c r="N16" s="587"/>
      <c r="O16" s="587"/>
      <c r="P16" s="587"/>
      <c r="Q16" s="587"/>
      <c r="R16" s="587"/>
      <c r="S16" s="587"/>
      <c r="T16" s="587"/>
      <c r="U16" s="587"/>
      <c r="V16" s="587"/>
      <c r="W16" s="587"/>
      <c r="X16" s="587"/>
      <c r="Y16" s="587"/>
      <c r="Z16" s="587"/>
    </row>
    <row r="17" ht="15.75" customHeight="1">
      <c r="A17" s="592"/>
      <c r="B17" s="596"/>
      <c r="C17" s="597"/>
      <c r="D17" s="597"/>
      <c r="E17" s="598"/>
      <c r="F17" s="587"/>
      <c r="G17" s="587"/>
      <c r="H17" s="587"/>
      <c r="I17" s="587"/>
      <c r="J17" s="587"/>
      <c r="K17" s="587"/>
      <c r="L17" s="587"/>
      <c r="M17" s="587"/>
      <c r="N17" s="587"/>
      <c r="O17" s="587"/>
      <c r="P17" s="587"/>
      <c r="Q17" s="587"/>
      <c r="R17" s="587"/>
      <c r="S17" s="587"/>
      <c r="T17" s="587"/>
      <c r="U17" s="587"/>
      <c r="V17" s="587"/>
      <c r="W17" s="587"/>
      <c r="X17" s="587"/>
      <c r="Y17" s="587"/>
      <c r="Z17" s="587"/>
    </row>
    <row r="18" ht="15.75" customHeight="1">
      <c r="A18" s="592"/>
      <c r="B18" s="596"/>
      <c r="C18" s="597"/>
      <c r="D18" s="597"/>
      <c r="E18" s="598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87"/>
      <c r="Q18" s="587"/>
      <c r="R18" s="587"/>
      <c r="S18" s="587"/>
      <c r="T18" s="587"/>
      <c r="U18" s="587"/>
      <c r="V18" s="587"/>
      <c r="W18" s="587"/>
      <c r="X18" s="587"/>
      <c r="Y18" s="587"/>
      <c r="Z18" s="587"/>
    </row>
    <row r="19" ht="15.75" customHeight="1">
      <c r="A19" s="592" t="s">
        <v>679</v>
      </c>
      <c r="B19" s="599" t="s">
        <v>13</v>
      </c>
      <c r="C19" s="600">
        <v>0.0</v>
      </c>
      <c r="D19" s="600">
        <v>0.0</v>
      </c>
      <c r="E19" s="601">
        <v>0.0</v>
      </c>
      <c r="F19" s="587"/>
      <c r="G19" s="587"/>
      <c r="H19" s="587"/>
      <c r="I19" s="587"/>
      <c r="J19" s="587"/>
      <c r="K19" s="587"/>
      <c r="L19" s="587"/>
      <c r="M19" s="587"/>
      <c r="N19" s="587"/>
      <c r="O19" s="587"/>
      <c r="P19" s="587"/>
      <c r="Q19" s="587"/>
      <c r="R19" s="587"/>
      <c r="S19" s="587"/>
      <c r="T19" s="587"/>
      <c r="U19" s="587"/>
      <c r="V19" s="587"/>
      <c r="W19" s="587"/>
      <c r="X19" s="587"/>
      <c r="Y19" s="587"/>
      <c r="Z19" s="587"/>
    </row>
    <row r="20" ht="15.75" customHeight="1">
      <c r="A20" s="587"/>
      <c r="B20" s="587"/>
      <c r="C20" s="602"/>
      <c r="D20" s="602"/>
      <c r="E20" s="602"/>
      <c r="F20" s="587"/>
      <c r="G20" s="587"/>
      <c r="H20" s="587"/>
      <c r="I20" s="587"/>
      <c r="K20" s="587"/>
      <c r="L20" s="587"/>
      <c r="M20" s="587"/>
      <c r="N20" s="587"/>
      <c r="O20" s="587"/>
      <c r="P20" s="587"/>
      <c r="Q20" s="587"/>
      <c r="R20" s="587"/>
      <c r="S20" s="587"/>
      <c r="T20" s="587"/>
      <c r="U20" s="587"/>
      <c r="V20" s="587"/>
      <c r="W20" s="587"/>
      <c r="X20" s="587"/>
      <c r="Y20" s="587"/>
      <c r="Z20" s="587"/>
    </row>
    <row r="21" ht="15.75" customHeight="1">
      <c r="A21" s="587"/>
      <c r="B21" s="587"/>
      <c r="C21" s="603">
        <f>D21+E21</f>
        <v>4224863</v>
      </c>
      <c r="D21" s="603">
        <f>SUM(D3:D19)</f>
        <v>3106174</v>
      </c>
      <c r="E21" s="603">
        <f>SUM(E3:E20)</f>
        <v>1118689</v>
      </c>
      <c r="F21" s="587"/>
      <c r="G21" s="602"/>
      <c r="H21" s="587"/>
      <c r="I21" s="587"/>
      <c r="J21" s="587"/>
      <c r="K21" s="587"/>
      <c r="L21" s="587"/>
      <c r="M21" s="587"/>
      <c r="N21" s="587"/>
      <c r="O21" s="587"/>
      <c r="P21" s="587"/>
      <c r="Q21" s="587"/>
      <c r="R21" s="587"/>
      <c r="S21" s="587"/>
      <c r="T21" s="587"/>
      <c r="U21" s="587"/>
      <c r="V21" s="587"/>
      <c r="W21" s="587"/>
      <c r="X21" s="587"/>
      <c r="Y21" s="587"/>
      <c r="Z21" s="587"/>
    </row>
    <row r="22" ht="15.75" customHeight="1">
      <c r="A22" s="587"/>
      <c r="B22" s="587"/>
      <c r="C22" s="602"/>
      <c r="D22" s="602"/>
      <c r="E22" s="602"/>
      <c r="F22" s="587"/>
      <c r="G22" s="587"/>
      <c r="H22" s="587"/>
      <c r="I22" s="587"/>
      <c r="J22" s="587"/>
      <c r="K22" s="587"/>
      <c r="L22" s="587"/>
      <c r="M22" s="587"/>
      <c r="N22" s="587"/>
      <c r="O22" s="587"/>
      <c r="P22" s="587"/>
      <c r="Q22" s="587"/>
      <c r="R22" s="587"/>
      <c r="S22" s="587"/>
      <c r="T22" s="587"/>
      <c r="U22" s="587"/>
      <c r="V22" s="587"/>
      <c r="W22" s="587"/>
      <c r="X22" s="587"/>
      <c r="Y22" s="587"/>
      <c r="Z22" s="587"/>
    </row>
    <row r="23" ht="15.75" customHeight="1">
      <c r="A23" s="587"/>
      <c r="B23" s="587"/>
      <c r="C23" s="602"/>
      <c r="D23" s="602"/>
      <c r="E23" s="602"/>
      <c r="F23" s="587"/>
      <c r="G23" s="587"/>
      <c r="H23" s="587"/>
      <c r="I23" s="587"/>
      <c r="J23" s="587"/>
      <c r="K23" s="587"/>
      <c r="L23" s="587"/>
      <c r="M23" s="587"/>
      <c r="N23" s="587"/>
      <c r="O23" s="587"/>
      <c r="P23" s="587"/>
      <c r="Q23" s="587"/>
      <c r="R23" s="587"/>
      <c r="S23" s="587"/>
      <c r="T23" s="587"/>
      <c r="U23" s="587"/>
      <c r="V23" s="587"/>
      <c r="W23" s="587"/>
      <c r="X23" s="587"/>
      <c r="Y23" s="587"/>
      <c r="Z23" s="587"/>
    </row>
    <row r="24" ht="15.75" customHeight="1">
      <c r="A24" s="587"/>
      <c r="B24" s="587" t="s">
        <v>694</v>
      </c>
      <c r="C24" s="602">
        <f>D21-E21</f>
        <v>1987485</v>
      </c>
      <c r="D24" s="602">
        <f>C24/C25</f>
        <v>1609.299595</v>
      </c>
      <c r="E24" s="602"/>
      <c r="F24" s="587"/>
      <c r="G24" s="587"/>
      <c r="H24" s="587"/>
      <c r="I24" s="587"/>
      <c r="J24" s="587"/>
      <c r="K24" s="587"/>
      <c r="L24" s="587"/>
      <c r="M24" s="587"/>
      <c r="N24" s="587"/>
      <c r="O24" s="587"/>
      <c r="P24" s="587"/>
      <c r="Q24" s="587"/>
      <c r="R24" s="587"/>
      <c r="S24" s="587"/>
      <c r="T24" s="587"/>
      <c r="U24" s="587"/>
      <c r="V24" s="587"/>
      <c r="W24" s="587"/>
      <c r="X24" s="587"/>
      <c r="Y24" s="587"/>
      <c r="Z24" s="587"/>
    </row>
    <row r="25" ht="15.75" customHeight="1">
      <c r="A25" s="587"/>
      <c r="B25" s="587" t="s">
        <v>695</v>
      </c>
      <c r="C25" s="602">
        <v>1235.0</v>
      </c>
      <c r="D25" s="587"/>
      <c r="E25" s="587"/>
      <c r="F25" s="587"/>
      <c r="G25" s="587"/>
      <c r="H25" s="587"/>
      <c r="I25" s="587"/>
      <c r="J25" s="587"/>
      <c r="K25" s="587"/>
      <c r="L25" s="587"/>
      <c r="M25" s="587"/>
      <c r="N25" s="587"/>
      <c r="O25" s="587"/>
      <c r="P25" s="587"/>
      <c r="Q25" s="587"/>
      <c r="R25" s="587"/>
      <c r="S25" s="587"/>
      <c r="T25" s="587"/>
      <c r="U25" s="587"/>
      <c r="V25" s="587"/>
      <c r="W25" s="587"/>
      <c r="X25" s="587"/>
      <c r="Y25" s="587"/>
      <c r="Z25" s="587"/>
    </row>
    <row r="26" ht="15.75" customHeight="1">
      <c r="A26" s="587"/>
      <c r="B26" s="587"/>
      <c r="C26" s="587"/>
      <c r="D26" s="587"/>
      <c r="E26" s="587"/>
      <c r="F26" s="587"/>
      <c r="G26" s="587"/>
      <c r="H26" s="587"/>
      <c r="I26" s="587"/>
      <c r="J26" s="587"/>
      <c r="K26" s="587"/>
      <c r="L26" s="587"/>
      <c r="M26" s="587"/>
      <c r="N26" s="587"/>
      <c r="O26" s="587"/>
      <c r="P26" s="587"/>
      <c r="Q26" s="587"/>
      <c r="R26" s="587"/>
      <c r="S26" s="587"/>
      <c r="T26" s="587"/>
      <c r="U26" s="587"/>
      <c r="V26" s="587"/>
      <c r="W26" s="587"/>
      <c r="X26" s="587"/>
      <c r="Y26" s="587"/>
      <c r="Z26" s="587"/>
    </row>
    <row r="27" ht="15.75" customHeight="1">
      <c r="A27" s="587"/>
      <c r="B27" s="587"/>
      <c r="C27" s="587"/>
      <c r="D27" s="587"/>
      <c r="E27" s="587"/>
      <c r="F27" s="587"/>
      <c r="G27" s="587"/>
      <c r="H27" s="587"/>
      <c r="I27" s="587"/>
      <c r="J27" s="587"/>
      <c r="K27" s="587"/>
      <c r="L27" s="587"/>
      <c r="M27" s="587"/>
      <c r="N27" s="587"/>
      <c r="O27" s="587"/>
      <c r="P27" s="587"/>
      <c r="Q27" s="587"/>
      <c r="R27" s="587"/>
      <c r="S27" s="587"/>
      <c r="T27" s="587"/>
      <c r="U27" s="587"/>
      <c r="V27" s="587"/>
      <c r="W27" s="587"/>
      <c r="X27" s="587"/>
      <c r="Y27" s="587"/>
      <c r="Z27" s="587"/>
    </row>
    <row r="28" ht="15.75" customHeight="1">
      <c r="A28" s="587"/>
      <c r="B28" s="587"/>
      <c r="C28" s="587"/>
      <c r="D28" s="587"/>
      <c r="E28" s="587"/>
      <c r="F28" s="587"/>
      <c r="G28" s="587"/>
      <c r="H28" s="587"/>
      <c r="I28" s="587"/>
      <c r="J28" s="587"/>
      <c r="K28" s="587"/>
      <c r="L28" s="587"/>
      <c r="M28" s="587"/>
      <c r="N28" s="587"/>
      <c r="O28" s="587"/>
      <c r="P28" s="587"/>
      <c r="Q28" s="587"/>
      <c r="R28" s="587"/>
      <c r="S28" s="587"/>
      <c r="T28" s="587"/>
      <c r="U28" s="587"/>
      <c r="V28" s="587"/>
      <c r="W28" s="587"/>
      <c r="X28" s="587"/>
      <c r="Y28" s="587"/>
      <c r="Z28" s="587"/>
    </row>
    <row r="29" ht="15.75" customHeight="1">
      <c r="A29" s="587"/>
      <c r="B29" s="587"/>
      <c r="C29" s="587"/>
      <c r="D29" s="587"/>
      <c r="E29" s="587"/>
      <c r="F29" s="587"/>
      <c r="G29" s="587"/>
      <c r="H29" s="587"/>
      <c r="I29" s="587"/>
      <c r="J29" s="587"/>
      <c r="K29" s="587"/>
      <c r="L29" s="587"/>
      <c r="M29" s="587"/>
      <c r="N29" s="587"/>
      <c r="O29" s="587"/>
      <c r="P29" s="587"/>
      <c r="Q29" s="587"/>
      <c r="R29" s="587"/>
      <c r="S29" s="587"/>
      <c r="T29" s="587"/>
      <c r="U29" s="587"/>
      <c r="V29" s="587"/>
      <c r="W29" s="587"/>
      <c r="X29" s="587"/>
      <c r="Y29" s="587"/>
      <c r="Z29" s="587"/>
    </row>
    <row r="30" ht="15.75" customHeight="1">
      <c r="A30" s="587"/>
      <c r="B30" s="587"/>
      <c r="C30" s="587"/>
      <c r="D30" s="587"/>
      <c r="E30" s="587"/>
      <c r="F30" s="587"/>
      <c r="G30" s="587"/>
      <c r="H30" s="587"/>
      <c r="I30" s="587"/>
      <c r="J30" s="587"/>
      <c r="K30" s="587"/>
      <c r="L30" s="587"/>
      <c r="M30" s="587"/>
      <c r="N30" s="587"/>
      <c r="O30" s="587"/>
      <c r="P30" s="587"/>
      <c r="Q30" s="587"/>
      <c r="R30" s="587"/>
      <c r="S30" s="587"/>
      <c r="T30" s="587"/>
      <c r="U30" s="587"/>
      <c r="V30" s="587"/>
      <c r="W30" s="587"/>
      <c r="X30" s="587"/>
      <c r="Y30" s="587"/>
      <c r="Z30" s="587"/>
    </row>
    <row r="31" ht="15.75" customHeight="1">
      <c r="A31" s="587"/>
      <c r="B31" s="587"/>
      <c r="C31" s="587"/>
      <c r="D31" s="587"/>
      <c r="E31" s="587"/>
      <c r="F31" s="587"/>
      <c r="G31" s="587"/>
      <c r="H31" s="587"/>
      <c r="I31" s="587"/>
      <c r="J31" s="587"/>
      <c r="K31" s="587"/>
      <c r="L31" s="587"/>
      <c r="M31" s="587"/>
      <c r="N31" s="587"/>
      <c r="O31" s="587"/>
      <c r="P31" s="587"/>
      <c r="Q31" s="587"/>
      <c r="R31" s="587"/>
      <c r="S31" s="587"/>
      <c r="T31" s="587"/>
      <c r="U31" s="587"/>
      <c r="V31" s="587"/>
      <c r="W31" s="587"/>
      <c r="X31" s="587"/>
      <c r="Y31" s="587"/>
      <c r="Z31" s="587"/>
    </row>
    <row r="32" ht="15.75" customHeight="1">
      <c r="A32" s="587"/>
      <c r="B32" s="587"/>
      <c r="C32" s="587"/>
      <c r="D32" s="587"/>
      <c r="E32" s="587"/>
      <c r="F32" s="587"/>
      <c r="G32" s="587"/>
      <c r="H32" s="587"/>
      <c r="I32" s="587"/>
      <c r="J32" s="587"/>
      <c r="K32" s="587"/>
      <c r="L32" s="587"/>
      <c r="M32" s="587"/>
      <c r="N32" s="587"/>
      <c r="O32" s="587"/>
      <c r="P32" s="587"/>
      <c r="Q32" s="587"/>
      <c r="R32" s="587"/>
      <c r="S32" s="587"/>
      <c r="T32" s="587"/>
      <c r="U32" s="587"/>
      <c r="V32" s="587"/>
      <c r="W32" s="587"/>
      <c r="X32" s="587"/>
      <c r="Y32" s="587"/>
      <c r="Z32" s="587"/>
    </row>
    <row r="33" ht="15.75" customHeight="1">
      <c r="A33" s="587"/>
      <c r="B33" s="587"/>
      <c r="C33" s="587"/>
      <c r="D33" s="587"/>
      <c r="E33" s="587"/>
      <c r="F33" s="587"/>
      <c r="G33" s="587"/>
      <c r="H33" s="587"/>
      <c r="I33" s="587"/>
      <c r="J33" s="587"/>
      <c r="K33" s="587"/>
      <c r="L33" s="587"/>
      <c r="M33" s="587"/>
      <c r="N33" s="587"/>
      <c r="O33" s="587"/>
      <c r="P33" s="587"/>
      <c r="Q33" s="587"/>
      <c r="R33" s="587"/>
      <c r="S33" s="587"/>
      <c r="T33" s="587"/>
      <c r="U33" s="587"/>
      <c r="V33" s="587"/>
      <c r="W33" s="587"/>
      <c r="X33" s="587"/>
      <c r="Y33" s="587"/>
      <c r="Z33" s="587"/>
    </row>
    <row r="34" ht="15.75" customHeight="1">
      <c r="A34" s="587"/>
      <c r="B34" s="587"/>
      <c r="C34" s="587"/>
      <c r="D34" s="587"/>
      <c r="E34" s="587"/>
      <c r="F34" s="587"/>
      <c r="G34" s="587"/>
      <c r="H34" s="587"/>
      <c r="I34" s="587"/>
      <c r="J34" s="587"/>
      <c r="K34" s="587"/>
      <c r="L34" s="587"/>
      <c r="M34" s="587"/>
      <c r="N34" s="587"/>
      <c r="O34" s="587"/>
      <c r="P34" s="587"/>
      <c r="Q34" s="587"/>
      <c r="R34" s="587"/>
      <c r="S34" s="587"/>
      <c r="T34" s="587"/>
      <c r="U34" s="587"/>
      <c r="V34" s="587"/>
      <c r="W34" s="587"/>
      <c r="X34" s="587"/>
      <c r="Y34" s="587"/>
      <c r="Z34" s="587"/>
    </row>
    <row r="35" ht="15.75" customHeight="1">
      <c r="A35" s="587"/>
      <c r="B35" s="587"/>
      <c r="C35" s="587"/>
      <c r="D35" s="587"/>
      <c r="E35" s="587"/>
      <c r="F35" s="587"/>
      <c r="G35" s="587"/>
      <c r="H35" s="587"/>
      <c r="I35" s="587"/>
      <c r="J35" s="587"/>
      <c r="K35" s="587"/>
      <c r="L35" s="587"/>
      <c r="M35" s="587"/>
      <c r="N35" s="587"/>
      <c r="O35" s="587"/>
      <c r="P35" s="587"/>
      <c r="Q35" s="587"/>
      <c r="R35" s="587"/>
      <c r="S35" s="587"/>
      <c r="T35" s="587"/>
      <c r="U35" s="587"/>
      <c r="V35" s="587"/>
      <c r="W35" s="587"/>
      <c r="X35" s="587"/>
      <c r="Y35" s="587"/>
      <c r="Z35" s="587"/>
    </row>
    <row r="36" ht="15.75" customHeight="1">
      <c r="A36" s="587"/>
      <c r="B36" s="587"/>
      <c r="C36" s="587"/>
      <c r="D36" s="587"/>
      <c r="E36" s="587"/>
      <c r="F36" s="587"/>
      <c r="G36" s="587"/>
      <c r="H36" s="587"/>
      <c r="I36" s="587"/>
      <c r="J36" s="587"/>
      <c r="K36" s="587"/>
      <c r="L36" s="587"/>
      <c r="M36" s="587"/>
      <c r="N36" s="587"/>
      <c r="O36" s="587"/>
      <c r="P36" s="587"/>
      <c r="Q36" s="587"/>
      <c r="R36" s="587"/>
      <c r="S36" s="587"/>
      <c r="T36" s="587"/>
      <c r="U36" s="587"/>
      <c r="V36" s="587"/>
      <c r="W36" s="587"/>
      <c r="X36" s="587"/>
      <c r="Y36" s="587"/>
      <c r="Z36" s="587"/>
    </row>
    <row r="37" ht="15.75" customHeight="1">
      <c r="A37" s="587"/>
      <c r="B37" s="587"/>
      <c r="C37" s="587"/>
      <c r="D37" s="587"/>
      <c r="E37" s="587"/>
      <c r="F37" s="587"/>
      <c r="G37" s="587"/>
      <c r="H37" s="587"/>
      <c r="I37" s="587"/>
      <c r="J37" s="587"/>
      <c r="K37" s="587"/>
      <c r="L37" s="587"/>
      <c r="M37" s="587"/>
      <c r="N37" s="587"/>
      <c r="O37" s="587"/>
      <c r="P37" s="587"/>
      <c r="Q37" s="587"/>
      <c r="R37" s="587"/>
      <c r="S37" s="587"/>
      <c r="T37" s="587"/>
      <c r="U37" s="587"/>
      <c r="V37" s="587"/>
      <c r="W37" s="587"/>
      <c r="X37" s="587"/>
      <c r="Y37" s="587"/>
      <c r="Z37" s="587"/>
    </row>
    <row r="38" ht="15.75" customHeight="1">
      <c r="A38" s="587"/>
      <c r="B38" s="587"/>
      <c r="C38" s="587"/>
      <c r="D38" s="587"/>
      <c r="E38" s="587"/>
      <c r="F38" s="587"/>
      <c r="G38" s="587"/>
      <c r="H38" s="587"/>
      <c r="I38" s="587"/>
      <c r="J38" s="587"/>
      <c r="K38" s="587"/>
      <c r="L38" s="587"/>
      <c r="M38" s="587"/>
      <c r="N38" s="587"/>
      <c r="O38" s="587"/>
      <c r="P38" s="587"/>
      <c r="Q38" s="587"/>
      <c r="R38" s="587"/>
      <c r="S38" s="587"/>
      <c r="T38" s="587"/>
      <c r="U38" s="587"/>
      <c r="V38" s="587"/>
      <c r="W38" s="587"/>
      <c r="X38" s="587"/>
      <c r="Y38" s="587"/>
      <c r="Z38" s="587"/>
    </row>
    <row r="39" ht="15.75" customHeight="1">
      <c r="A39" s="587"/>
      <c r="B39" s="587"/>
      <c r="C39" s="587"/>
      <c r="D39" s="587"/>
      <c r="E39" s="587"/>
      <c r="F39" s="587"/>
      <c r="G39" s="587"/>
      <c r="H39" s="587"/>
      <c r="I39" s="587"/>
      <c r="J39" s="587"/>
      <c r="K39" s="587"/>
      <c r="L39" s="587"/>
      <c r="M39" s="587"/>
      <c r="N39" s="587"/>
      <c r="O39" s="587"/>
      <c r="P39" s="587"/>
      <c r="Q39" s="587"/>
      <c r="R39" s="587"/>
      <c r="S39" s="587"/>
      <c r="T39" s="587"/>
      <c r="U39" s="587"/>
      <c r="V39" s="587"/>
      <c r="W39" s="587"/>
      <c r="X39" s="587"/>
      <c r="Y39" s="587"/>
      <c r="Z39" s="587"/>
    </row>
    <row r="40" ht="15.75" customHeight="1">
      <c r="A40" s="587"/>
      <c r="B40" s="587"/>
      <c r="C40" s="587"/>
      <c r="D40" s="587"/>
      <c r="E40" s="587"/>
      <c r="F40" s="587"/>
      <c r="G40" s="587"/>
      <c r="H40" s="587"/>
      <c r="I40" s="587"/>
      <c r="J40" s="587"/>
      <c r="K40" s="587"/>
      <c r="L40" s="587"/>
      <c r="M40" s="587"/>
      <c r="N40" s="587"/>
      <c r="O40" s="587"/>
      <c r="P40" s="587"/>
      <c r="Q40" s="587"/>
      <c r="R40" s="587"/>
      <c r="S40" s="587"/>
      <c r="T40" s="587"/>
      <c r="U40" s="587"/>
      <c r="V40" s="587"/>
      <c r="W40" s="587"/>
      <c r="X40" s="587"/>
      <c r="Y40" s="587"/>
      <c r="Z40" s="587"/>
    </row>
    <row r="41" ht="15.75" customHeight="1">
      <c r="A41" s="587"/>
      <c r="B41" s="587"/>
      <c r="C41" s="587"/>
      <c r="D41" s="587"/>
      <c r="E41" s="587"/>
      <c r="F41" s="587"/>
      <c r="G41" s="587"/>
      <c r="H41" s="587"/>
      <c r="I41" s="587"/>
      <c r="J41" s="587"/>
      <c r="K41" s="587"/>
      <c r="L41" s="587"/>
      <c r="M41" s="587"/>
      <c r="N41" s="587"/>
      <c r="O41" s="587"/>
      <c r="P41" s="587"/>
      <c r="Q41" s="587"/>
      <c r="R41" s="587"/>
      <c r="S41" s="587"/>
      <c r="T41" s="587"/>
      <c r="U41" s="587"/>
      <c r="V41" s="587"/>
      <c r="W41" s="587"/>
      <c r="X41" s="587"/>
      <c r="Y41" s="587"/>
      <c r="Z41" s="587"/>
    </row>
    <row r="42" ht="15.75" customHeight="1">
      <c r="A42" s="587"/>
      <c r="B42" s="587"/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587"/>
      <c r="N42" s="587"/>
      <c r="O42" s="587"/>
      <c r="P42" s="587"/>
      <c r="Q42" s="587"/>
      <c r="R42" s="587"/>
      <c r="S42" s="587"/>
      <c r="T42" s="587"/>
      <c r="U42" s="587"/>
      <c r="V42" s="587"/>
      <c r="W42" s="587"/>
      <c r="X42" s="587"/>
      <c r="Y42" s="587"/>
      <c r="Z42" s="587"/>
    </row>
    <row r="43" ht="15.75" customHeight="1">
      <c r="A43" s="587"/>
      <c r="B43" s="587"/>
      <c r="C43" s="587"/>
      <c r="D43" s="587"/>
      <c r="E43" s="587"/>
      <c r="F43" s="587"/>
      <c r="G43" s="587"/>
      <c r="H43" s="587"/>
      <c r="I43" s="587"/>
      <c r="J43" s="587"/>
      <c r="K43" s="587"/>
      <c r="L43" s="587"/>
      <c r="M43" s="587"/>
      <c r="N43" s="587"/>
      <c r="O43" s="587"/>
      <c r="P43" s="587"/>
      <c r="Q43" s="587"/>
      <c r="R43" s="587"/>
      <c r="S43" s="587"/>
      <c r="T43" s="587"/>
      <c r="U43" s="587"/>
      <c r="V43" s="587"/>
      <c r="W43" s="587"/>
      <c r="X43" s="587"/>
      <c r="Y43" s="587"/>
      <c r="Z43" s="587"/>
    </row>
    <row r="44" ht="15.75" customHeight="1">
      <c r="A44" s="587"/>
      <c r="B44" s="587"/>
      <c r="C44" s="587"/>
      <c r="D44" s="587"/>
      <c r="E44" s="587"/>
      <c r="F44" s="587"/>
      <c r="G44" s="587"/>
      <c r="H44" s="587"/>
      <c r="I44" s="587"/>
      <c r="J44" s="587"/>
      <c r="K44" s="587"/>
      <c r="L44" s="587"/>
      <c r="M44" s="587"/>
      <c r="N44" s="587"/>
      <c r="O44" s="587"/>
      <c r="P44" s="587"/>
      <c r="Q44" s="587"/>
      <c r="R44" s="587"/>
      <c r="S44" s="587"/>
      <c r="T44" s="587"/>
      <c r="U44" s="587"/>
      <c r="V44" s="587"/>
      <c r="W44" s="587"/>
      <c r="X44" s="587"/>
      <c r="Y44" s="587"/>
      <c r="Z44" s="587"/>
    </row>
    <row r="45" ht="15.75" customHeight="1">
      <c r="A45" s="587"/>
      <c r="B45" s="587"/>
      <c r="C45" s="587"/>
      <c r="D45" s="587"/>
      <c r="E45" s="587"/>
      <c r="F45" s="587"/>
      <c r="G45" s="587"/>
      <c r="H45" s="587"/>
      <c r="I45" s="587"/>
      <c r="J45" s="587"/>
      <c r="K45" s="587"/>
      <c r="L45" s="587"/>
      <c r="M45" s="587"/>
      <c r="N45" s="587"/>
      <c r="O45" s="587"/>
      <c r="P45" s="587"/>
      <c r="Q45" s="587"/>
      <c r="R45" s="587"/>
      <c r="S45" s="587"/>
      <c r="T45" s="587"/>
      <c r="U45" s="587"/>
      <c r="V45" s="587"/>
      <c r="W45" s="587"/>
      <c r="X45" s="587"/>
      <c r="Y45" s="587"/>
      <c r="Z45" s="587"/>
    </row>
    <row r="46" ht="15.75" customHeight="1">
      <c r="A46" s="587"/>
      <c r="B46" s="587"/>
      <c r="C46" s="587"/>
      <c r="D46" s="587"/>
      <c r="E46" s="587"/>
      <c r="F46" s="587"/>
      <c r="G46" s="587"/>
      <c r="H46" s="587"/>
      <c r="I46" s="587"/>
      <c r="J46" s="587"/>
      <c r="K46" s="587"/>
      <c r="L46" s="587"/>
      <c r="M46" s="587"/>
      <c r="N46" s="587"/>
      <c r="O46" s="587"/>
      <c r="P46" s="587"/>
      <c r="Q46" s="587"/>
      <c r="R46" s="587"/>
      <c r="S46" s="587"/>
      <c r="T46" s="587"/>
      <c r="U46" s="587"/>
      <c r="V46" s="587"/>
      <c r="W46" s="587"/>
      <c r="X46" s="587"/>
      <c r="Y46" s="587"/>
      <c r="Z46" s="587"/>
    </row>
    <row r="47" ht="15.75" customHeight="1">
      <c r="A47" s="587"/>
      <c r="B47" s="587"/>
      <c r="C47" s="587"/>
      <c r="D47" s="587"/>
      <c r="E47" s="587"/>
      <c r="F47" s="587"/>
      <c r="G47" s="587"/>
      <c r="H47" s="587"/>
      <c r="I47" s="587"/>
      <c r="J47" s="587"/>
      <c r="K47" s="587"/>
      <c r="L47" s="587"/>
      <c r="M47" s="587"/>
      <c r="N47" s="587"/>
      <c r="O47" s="587"/>
      <c r="P47" s="587"/>
      <c r="Q47" s="587"/>
      <c r="R47" s="587"/>
      <c r="S47" s="587"/>
      <c r="T47" s="587"/>
      <c r="U47" s="587"/>
      <c r="V47" s="587"/>
      <c r="W47" s="587"/>
      <c r="X47" s="587"/>
      <c r="Y47" s="587"/>
      <c r="Z47" s="587"/>
    </row>
    <row r="48" ht="15.75" customHeight="1">
      <c r="A48" s="587"/>
      <c r="B48" s="587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587"/>
      <c r="W48" s="587"/>
      <c r="X48" s="587"/>
      <c r="Y48" s="587"/>
      <c r="Z48" s="587"/>
    </row>
    <row r="49" ht="15.75" customHeight="1">
      <c r="A49" s="587"/>
      <c r="B49" s="587"/>
      <c r="C49" s="587"/>
      <c r="D49" s="587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587"/>
      <c r="W49" s="587"/>
      <c r="X49" s="587"/>
      <c r="Y49" s="587"/>
      <c r="Z49" s="587"/>
    </row>
    <row r="50" ht="15.75" customHeight="1">
      <c r="A50" s="587"/>
      <c r="B50" s="587"/>
      <c r="C50" s="587"/>
      <c r="D50" s="587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587"/>
      <c r="W50" s="587"/>
      <c r="X50" s="587"/>
      <c r="Y50" s="587"/>
      <c r="Z50" s="587"/>
    </row>
    <row r="51" ht="15.75" customHeight="1">
      <c r="A51" s="587"/>
      <c r="B51" s="587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</row>
    <row r="52" ht="15.75" customHeight="1">
      <c r="A52" s="587"/>
      <c r="B52" s="587"/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  <c r="R52" s="587"/>
      <c r="S52" s="587"/>
      <c r="T52" s="587"/>
      <c r="U52" s="587"/>
      <c r="V52" s="587"/>
      <c r="W52" s="587"/>
      <c r="X52" s="587"/>
      <c r="Y52" s="587"/>
      <c r="Z52" s="587"/>
    </row>
    <row r="53" ht="15.75" customHeight="1">
      <c r="A53" s="587"/>
      <c r="B53" s="587"/>
      <c r="C53" s="587"/>
      <c r="D53" s="587"/>
      <c r="E53" s="587"/>
      <c r="F53" s="587"/>
      <c r="G53" s="587"/>
      <c r="H53" s="587"/>
      <c r="I53" s="587"/>
      <c r="J53" s="587"/>
      <c r="K53" s="587"/>
      <c r="L53" s="587"/>
      <c r="M53" s="587"/>
      <c r="N53" s="587"/>
      <c r="O53" s="587"/>
      <c r="P53" s="587"/>
      <c r="Q53" s="587"/>
      <c r="R53" s="587"/>
      <c r="S53" s="587"/>
      <c r="T53" s="587"/>
      <c r="U53" s="587"/>
      <c r="V53" s="587"/>
      <c r="W53" s="587"/>
      <c r="X53" s="587"/>
      <c r="Y53" s="587"/>
      <c r="Z53" s="587"/>
    </row>
    <row r="54" ht="15.75" customHeight="1">
      <c r="A54" s="587"/>
      <c r="B54" s="587"/>
      <c r="C54" s="587"/>
      <c r="D54" s="587"/>
      <c r="E54" s="587"/>
      <c r="F54" s="587"/>
      <c r="G54" s="587"/>
      <c r="H54" s="587"/>
      <c r="I54" s="587"/>
      <c r="J54" s="587"/>
      <c r="K54" s="587"/>
      <c r="L54" s="587"/>
      <c r="M54" s="587"/>
      <c r="N54" s="587"/>
      <c r="O54" s="587"/>
      <c r="P54" s="587"/>
      <c r="Q54" s="587"/>
      <c r="R54" s="587"/>
      <c r="S54" s="587"/>
      <c r="T54" s="587"/>
      <c r="U54" s="587"/>
      <c r="V54" s="587"/>
      <c r="W54" s="587"/>
      <c r="X54" s="587"/>
      <c r="Y54" s="587"/>
      <c r="Z54" s="587"/>
    </row>
    <row r="55" ht="15.75" customHeight="1">
      <c r="A55" s="587"/>
      <c r="B55" s="587"/>
      <c r="C55" s="587"/>
      <c r="D55" s="587"/>
      <c r="E55" s="587"/>
      <c r="F55" s="587"/>
      <c r="G55" s="587"/>
      <c r="H55" s="587"/>
      <c r="I55" s="587"/>
      <c r="J55" s="587"/>
      <c r="K55" s="587"/>
      <c r="L55" s="587"/>
      <c r="M55" s="587"/>
      <c r="N55" s="587"/>
      <c r="O55" s="587"/>
      <c r="P55" s="587"/>
      <c r="Q55" s="587"/>
      <c r="R55" s="587"/>
      <c r="S55" s="587"/>
      <c r="T55" s="587"/>
      <c r="U55" s="587"/>
      <c r="V55" s="587"/>
      <c r="W55" s="587"/>
      <c r="X55" s="587"/>
      <c r="Y55" s="587"/>
      <c r="Z55" s="587"/>
    </row>
    <row r="56" ht="15.75" customHeight="1">
      <c r="A56" s="587"/>
      <c r="B56" s="587"/>
      <c r="C56" s="587"/>
      <c r="D56" s="587"/>
      <c r="E56" s="587"/>
      <c r="F56" s="587"/>
      <c r="G56" s="587"/>
      <c r="H56" s="587"/>
      <c r="I56" s="587"/>
      <c r="J56" s="587"/>
      <c r="K56" s="587"/>
      <c r="L56" s="587"/>
      <c r="M56" s="587"/>
      <c r="N56" s="587"/>
      <c r="O56" s="587"/>
      <c r="P56" s="587"/>
      <c r="Q56" s="587"/>
      <c r="R56" s="587"/>
      <c r="S56" s="587"/>
      <c r="T56" s="587"/>
      <c r="U56" s="587"/>
      <c r="V56" s="587"/>
      <c r="W56" s="587"/>
      <c r="X56" s="587"/>
      <c r="Y56" s="587"/>
      <c r="Z56" s="587"/>
    </row>
    <row r="57" ht="15.75" customHeight="1">
      <c r="A57" s="587"/>
      <c r="B57" s="587"/>
      <c r="C57" s="587"/>
      <c r="D57" s="587"/>
      <c r="E57" s="587"/>
      <c r="F57" s="587"/>
      <c r="G57" s="587"/>
      <c r="H57" s="587"/>
      <c r="I57" s="587"/>
      <c r="J57" s="587"/>
      <c r="K57" s="587"/>
      <c r="L57" s="587"/>
      <c r="M57" s="587"/>
      <c r="N57" s="587"/>
      <c r="O57" s="587"/>
      <c r="P57" s="587"/>
      <c r="Q57" s="587"/>
      <c r="R57" s="587"/>
      <c r="S57" s="587"/>
      <c r="T57" s="587"/>
      <c r="U57" s="587"/>
      <c r="V57" s="587"/>
      <c r="W57" s="587"/>
      <c r="X57" s="587"/>
      <c r="Y57" s="587"/>
      <c r="Z57" s="587"/>
    </row>
    <row r="58" ht="15.75" customHeight="1">
      <c r="A58" s="587"/>
      <c r="B58" s="587"/>
      <c r="C58" s="587"/>
      <c r="D58" s="587"/>
      <c r="E58" s="587"/>
      <c r="F58" s="587"/>
      <c r="G58" s="587"/>
      <c r="H58" s="587"/>
      <c r="I58" s="587"/>
      <c r="J58" s="587"/>
      <c r="K58" s="587"/>
      <c r="L58" s="587"/>
      <c r="M58" s="587"/>
      <c r="N58" s="587"/>
      <c r="O58" s="587"/>
      <c r="P58" s="587"/>
      <c r="Q58" s="587"/>
      <c r="R58" s="587"/>
      <c r="S58" s="587"/>
      <c r="T58" s="587"/>
      <c r="U58" s="587"/>
      <c r="V58" s="587"/>
      <c r="W58" s="587"/>
      <c r="X58" s="587"/>
      <c r="Y58" s="587"/>
      <c r="Z58" s="587"/>
    </row>
    <row r="59" ht="15.75" customHeight="1">
      <c r="A59" s="587"/>
      <c r="B59" s="587"/>
      <c r="C59" s="587"/>
      <c r="D59" s="587"/>
      <c r="E59" s="587"/>
      <c r="F59" s="587"/>
      <c r="G59" s="587"/>
      <c r="H59" s="587"/>
      <c r="I59" s="587"/>
      <c r="J59" s="587"/>
      <c r="K59" s="587"/>
      <c r="L59" s="587"/>
      <c r="M59" s="587"/>
      <c r="N59" s="587"/>
      <c r="O59" s="587"/>
      <c r="P59" s="587"/>
      <c r="Q59" s="587"/>
      <c r="R59" s="587"/>
      <c r="S59" s="587"/>
      <c r="T59" s="587"/>
      <c r="U59" s="587"/>
      <c r="V59" s="587"/>
      <c r="W59" s="587"/>
      <c r="X59" s="587"/>
      <c r="Y59" s="587"/>
      <c r="Z59" s="587"/>
    </row>
    <row r="60" ht="15.75" customHeight="1">
      <c r="A60" s="587"/>
      <c r="B60" s="587"/>
      <c r="C60" s="587"/>
      <c r="D60" s="587"/>
      <c r="E60" s="587"/>
      <c r="F60" s="587"/>
      <c r="G60" s="587"/>
      <c r="H60" s="587"/>
      <c r="I60" s="587"/>
      <c r="J60" s="587"/>
      <c r="K60" s="587"/>
      <c r="L60" s="587"/>
      <c r="M60" s="587"/>
      <c r="N60" s="587"/>
      <c r="O60" s="587"/>
      <c r="P60" s="587"/>
      <c r="Q60" s="587"/>
      <c r="R60" s="587"/>
      <c r="S60" s="587"/>
      <c r="T60" s="587"/>
      <c r="U60" s="587"/>
      <c r="V60" s="587"/>
      <c r="W60" s="587"/>
      <c r="X60" s="587"/>
      <c r="Y60" s="587"/>
      <c r="Z60" s="587"/>
    </row>
    <row r="61" ht="15.75" customHeight="1">
      <c r="A61" s="587"/>
      <c r="B61" s="587"/>
      <c r="C61" s="587"/>
      <c r="D61" s="587"/>
      <c r="E61" s="587"/>
      <c r="F61" s="587"/>
      <c r="G61" s="587"/>
      <c r="H61" s="587"/>
      <c r="I61" s="587"/>
      <c r="J61" s="587"/>
      <c r="K61" s="587"/>
      <c r="L61" s="587"/>
      <c r="M61" s="587"/>
      <c r="N61" s="587"/>
      <c r="O61" s="587"/>
      <c r="P61" s="587"/>
      <c r="Q61" s="587"/>
      <c r="R61" s="587"/>
      <c r="S61" s="587"/>
      <c r="T61" s="587"/>
      <c r="U61" s="587"/>
      <c r="V61" s="587"/>
      <c r="W61" s="587"/>
      <c r="X61" s="587"/>
      <c r="Y61" s="587"/>
      <c r="Z61" s="587"/>
    </row>
    <row r="62" ht="15.75" customHeight="1">
      <c r="A62" s="587"/>
      <c r="B62" s="587"/>
      <c r="C62" s="587"/>
      <c r="D62" s="587"/>
      <c r="E62" s="587"/>
      <c r="F62" s="587"/>
      <c r="G62" s="587"/>
      <c r="H62" s="587"/>
      <c r="I62" s="587"/>
      <c r="J62" s="587"/>
      <c r="K62" s="587"/>
      <c r="L62" s="587"/>
      <c r="M62" s="587"/>
      <c r="N62" s="587"/>
      <c r="O62" s="587"/>
      <c r="P62" s="587"/>
      <c r="Q62" s="587"/>
      <c r="R62" s="587"/>
      <c r="S62" s="587"/>
      <c r="T62" s="587"/>
      <c r="U62" s="587"/>
      <c r="V62" s="587"/>
      <c r="W62" s="587"/>
      <c r="X62" s="587"/>
      <c r="Y62" s="587"/>
      <c r="Z62" s="587"/>
    </row>
    <row r="63" ht="15.75" customHeight="1">
      <c r="A63" s="587"/>
      <c r="B63" s="587"/>
      <c r="C63" s="587"/>
      <c r="D63" s="587"/>
      <c r="E63" s="587"/>
      <c r="F63" s="587"/>
      <c r="G63" s="587"/>
      <c r="H63" s="587"/>
      <c r="I63" s="587"/>
      <c r="J63" s="587"/>
      <c r="K63" s="587"/>
      <c r="L63" s="587"/>
      <c r="M63" s="587"/>
      <c r="N63" s="587"/>
      <c r="O63" s="587"/>
      <c r="P63" s="587"/>
      <c r="Q63" s="587"/>
      <c r="R63" s="587"/>
      <c r="S63" s="587"/>
      <c r="T63" s="587"/>
      <c r="U63" s="587"/>
      <c r="V63" s="587"/>
      <c r="W63" s="587"/>
      <c r="X63" s="587"/>
      <c r="Y63" s="587"/>
      <c r="Z63" s="587"/>
    </row>
    <row r="64" ht="15.75" customHeight="1">
      <c r="A64" s="587"/>
      <c r="B64" s="587"/>
      <c r="C64" s="587"/>
      <c r="D64" s="587"/>
      <c r="E64" s="587"/>
      <c r="F64" s="587"/>
      <c r="G64" s="587"/>
      <c r="H64" s="587"/>
      <c r="I64" s="587"/>
      <c r="J64" s="587"/>
      <c r="K64" s="587"/>
      <c r="L64" s="587"/>
      <c r="M64" s="587"/>
      <c r="N64" s="587"/>
      <c r="O64" s="587"/>
      <c r="P64" s="587"/>
      <c r="Q64" s="587"/>
      <c r="R64" s="587"/>
      <c r="S64" s="587"/>
      <c r="T64" s="587"/>
      <c r="U64" s="587"/>
      <c r="V64" s="587"/>
      <c r="W64" s="587"/>
      <c r="X64" s="587"/>
      <c r="Y64" s="587"/>
      <c r="Z64" s="587"/>
    </row>
    <row r="65" ht="15.75" customHeight="1">
      <c r="A65" s="587"/>
      <c r="B65" s="587"/>
      <c r="C65" s="587"/>
      <c r="D65" s="587"/>
      <c r="E65" s="587"/>
      <c r="F65" s="587"/>
      <c r="G65" s="587"/>
      <c r="H65" s="587"/>
      <c r="I65" s="587"/>
      <c r="J65" s="587"/>
      <c r="K65" s="587"/>
      <c r="L65" s="587"/>
      <c r="M65" s="587"/>
      <c r="N65" s="587"/>
      <c r="O65" s="587"/>
      <c r="P65" s="587"/>
      <c r="Q65" s="587"/>
      <c r="R65" s="587"/>
      <c r="S65" s="587"/>
      <c r="T65" s="587"/>
      <c r="U65" s="587"/>
      <c r="V65" s="587"/>
      <c r="W65" s="587"/>
      <c r="X65" s="587"/>
      <c r="Y65" s="587"/>
      <c r="Z65" s="587"/>
    </row>
    <row r="66" ht="15.75" customHeight="1">
      <c r="A66" s="587"/>
      <c r="B66" s="587"/>
      <c r="C66" s="587"/>
      <c r="D66" s="587"/>
      <c r="E66" s="587"/>
      <c r="F66" s="587"/>
      <c r="G66" s="587"/>
      <c r="H66" s="587"/>
      <c r="I66" s="587"/>
      <c r="J66" s="587"/>
      <c r="K66" s="587"/>
      <c r="L66" s="587"/>
      <c r="M66" s="587"/>
      <c r="N66" s="587"/>
      <c r="O66" s="587"/>
      <c r="P66" s="587"/>
      <c r="Q66" s="587"/>
      <c r="R66" s="587"/>
      <c r="S66" s="587"/>
      <c r="T66" s="587"/>
      <c r="U66" s="587"/>
      <c r="V66" s="587"/>
      <c r="W66" s="587"/>
      <c r="X66" s="587"/>
      <c r="Y66" s="587"/>
      <c r="Z66" s="587"/>
    </row>
    <row r="67" ht="15.75" customHeight="1">
      <c r="A67" s="587"/>
      <c r="B67" s="587"/>
      <c r="C67" s="587"/>
      <c r="D67" s="587"/>
      <c r="E67" s="587"/>
      <c r="F67" s="587"/>
      <c r="G67" s="587"/>
      <c r="H67" s="587"/>
      <c r="I67" s="587"/>
      <c r="J67" s="587"/>
      <c r="K67" s="587"/>
      <c r="L67" s="587"/>
      <c r="M67" s="587"/>
      <c r="N67" s="587"/>
      <c r="O67" s="587"/>
      <c r="P67" s="587"/>
      <c r="Q67" s="587"/>
      <c r="R67" s="587"/>
      <c r="S67" s="587"/>
      <c r="T67" s="587"/>
      <c r="U67" s="587"/>
      <c r="V67" s="587"/>
      <c r="W67" s="587"/>
      <c r="X67" s="587"/>
      <c r="Y67" s="587"/>
      <c r="Z67" s="587"/>
    </row>
    <row r="68" ht="15.75" customHeight="1">
      <c r="A68" s="587"/>
      <c r="B68" s="587"/>
      <c r="C68" s="587"/>
      <c r="D68" s="587"/>
      <c r="E68" s="587"/>
      <c r="F68" s="587"/>
      <c r="G68" s="587"/>
      <c r="H68" s="587"/>
      <c r="I68" s="587"/>
      <c r="J68" s="587"/>
      <c r="K68" s="587"/>
      <c r="L68" s="587"/>
      <c r="M68" s="587"/>
      <c r="N68" s="587"/>
      <c r="O68" s="587"/>
      <c r="P68" s="587"/>
      <c r="Q68" s="587"/>
      <c r="R68" s="587"/>
      <c r="S68" s="587"/>
      <c r="T68" s="587"/>
      <c r="U68" s="587"/>
      <c r="V68" s="587"/>
      <c r="W68" s="587"/>
      <c r="X68" s="587"/>
      <c r="Y68" s="587"/>
      <c r="Z68" s="587"/>
    </row>
    <row r="69" ht="15.75" customHeight="1">
      <c r="A69" s="587"/>
      <c r="B69" s="587"/>
      <c r="C69" s="587"/>
      <c r="D69" s="587"/>
      <c r="E69" s="587"/>
      <c r="F69" s="587"/>
      <c r="G69" s="587"/>
      <c r="H69" s="587"/>
      <c r="I69" s="587"/>
      <c r="J69" s="587"/>
      <c r="K69" s="587"/>
      <c r="L69" s="587"/>
      <c r="M69" s="587"/>
      <c r="N69" s="587"/>
      <c r="O69" s="587"/>
      <c r="P69" s="587"/>
      <c r="Q69" s="587"/>
      <c r="R69" s="587"/>
      <c r="S69" s="587"/>
      <c r="T69" s="587"/>
      <c r="U69" s="587"/>
      <c r="V69" s="587"/>
      <c r="W69" s="587"/>
      <c r="X69" s="587"/>
      <c r="Y69" s="587"/>
      <c r="Z69" s="587"/>
    </row>
    <row r="70" ht="15.75" customHeight="1">
      <c r="A70" s="587"/>
      <c r="B70" s="587"/>
      <c r="C70" s="587"/>
      <c r="D70" s="587"/>
      <c r="E70" s="587"/>
      <c r="F70" s="587"/>
      <c r="G70" s="587"/>
      <c r="H70" s="587"/>
      <c r="I70" s="587"/>
      <c r="J70" s="587"/>
      <c r="K70" s="587"/>
      <c r="L70" s="587"/>
      <c r="M70" s="587"/>
      <c r="N70" s="587"/>
      <c r="O70" s="587"/>
      <c r="P70" s="587"/>
      <c r="Q70" s="587"/>
      <c r="R70" s="587"/>
      <c r="S70" s="587"/>
      <c r="T70" s="587"/>
      <c r="U70" s="587"/>
      <c r="V70" s="587"/>
      <c r="W70" s="587"/>
      <c r="X70" s="587"/>
      <c r="Y70" s="587"/>
      <c r="Z70" s="587"/>
    </row>
    <row r="71" ht="15.75" customHeight="1">
      <c r="A71" s="587"/>
      <c r="B71" s="587"/>
      <c r="C71" s="587"/>
      <c r="D71" s="587"/>
      <c r="E71" s="587"/>
      <c r="F71" s="587"/>
      <c r="G71" s="587"/>
      <c r="H71" s="587"/>
      <c r="I71" s="587"/>
      <c r="J71" s="587"/>
      <c r="K71" s="587"/>
      <c r="L71" s="587"/>
      <c r="M71" s="587"/>
      <c r="N71" s="587"/>
      <c r="O71" s="587"/>
      <c r="P71" s="587"/>
      <c r="Q71" s="587"/>
      <c r="R71" s="587"/>
      <c r="S71" s="587"/>
      <c r="T71" s="587"/>
      <c r="U71" s="587"/>
      <c r="V71" s="587"/>
      <c r="W71" s="587"/>
      <c r="X71" s="587"/>
      <c r="Y71" s="587"/>
      <c r="Z71" s="587"/>
    </row>
    <row r="72" ht="15.75" customHeight="1">
      <c r="A72" s="587"/>
      <c r="B72" s="587"/>
      <c r="C72" s="587"/>
      <c r="D72" s="587"/>
      <c r="E72" s="587"/>
      <c r="F72" s="587"/>
      <c r="G72" s="587"/>
      <c r="H72" s="587"/>
      <c r="I72" s="587"/>
      <c r="J72" s="587"/>
      <c r="K72" s="587"/>
      <c r="L72" s="587"/>
      <c r="M72" s="587"/>
      <c r="N72" s="587"/>
      <c r="O72" s="587"/>
      <c r="P72" s="587"/>
      <c r="Q72" s="587"/>
      <c r="R72" s="587"/>
      <c r="S72" s="587"/>
      <c r="T72" s="587"/>
      <c r="U72" s="587"/>
      <c r="V72" s="587"/>
      <c r="W72" s="587"/>
      <c r="X72" s="587"/>
      <c r="Y72" s="587"/>
      <c r="Z72" s="587"/>
    </row>
    <row r="73" ht="15.75" customHeight="1">
      <c r="A73" s="587"/>
      <c r="B73" s="587"/>
      <c r="C73" s="587"/>
      <c r="D73" s="587"/>
      <c r="E73" s="587"/>
      <c r="F73" s="587"/>
      <c r="G73" s="587"/>
      <c r="H73" s="587"/>
      <c r="I73" s="587"/>
      <c r="J73" s="587"/>
      <c r="K73" s="587"/>
      <c r="L73" s="587"/>
      <c r="M73" s="587"/>
      <c r="N73" s="587"/>
      <c r="O73" s="587"/>
      <c r="P73" s="587"/>
      <c r="Q73" s="587"/>
      <c r="R73" s="587"/>
      <c r="S73" s="587"/>
      <c r="T73" s="587"/>
      <c r="U73" s="587"/>
      <c r="V73" s="587"/>
      <c r="W73" s="587"/>
      <c r="X73" s="587"/>
      <c r="Y73" s="587"/>
      <c r="Z73" s="587"/>
    </row>
    <row r="74" ht="15.75" customHeight="1">
      <c r="A74" s="587"/>
      <c r="B74" s="587"/>
      <c r="C74" s="587"/>
      <c r="D74" s="587"/>
      <c r="E74" s="587"/>
      <c r="F74" s="587"/>
      <c r="G74" s="587"/>
      <c r="H74" s="587"/>
      <c r="I74" s="587"/>
      <c r="J74" s="587"/>
      <c r="K74" s="587"/>
      <c r="L74" s="587"/>
      <c r="M74" s="587"/>
      <c r="N74" s="587"/>
      <c r="O74" s="587"/>
      <c r="P74" s="587"/>
      <c r="Q74" s="587"/>
      <c r="R74" s="587"/>
      <c r="S74" s="587"/>
      <c r="T74" s="587"/>
      <c r="U74" s="587"/>
      <c r="V74" s="587"/>
      <c r="W74" s="587"/>
      <c r="X74" s="587"/>
      <c r="Y74" s="587"/>
      <c r="Z74" s="587"/>
    </row>
    <row r="75" ht="15.75" customHeight="1">
      <c r="A75" s="587"/>
      <c r="B75" s="587"/>
      <c r="C75" s="587"/>
      <c r="D75" s="587"/>
      <c r="E75" s="587"/>
      <c r="F75" s="587"/>
      <c r="G75" s="587"/>
      <c r="H75" s="587"/>
      <c r="I75" s="587"/>
      <c r="J75" s="587"/>
      <c r="K75" s="587"/>
      <c r="L75" s="587"/>
      <c r="M75" s="587"/>
      <c r="N75" s="587"/>
      <c r="O75" s="587"/>
      <c r="P75" s="587"/>
      <c r="Q75" s="587"/>
      <c r="R75" s="587"/>
      <c r="S75" s="587"/>
      <c r="T75" s="587"/>
      <c r="U75" s="587"/>
      <c r="V75" s="587"/>
      <c r="W75" s="587"/>
      <c r="X75" s="587"/>
      <c r="Y75" s="587"/>
      <c r="Z75" s="587"/>
    </row>
    <row r="76" ht="15.75" customHeight="1">
      <c r="A76" s="587"/>
      <c r="B76" s="587"/>
      <c r="C76" s="587"/>
      <c r="D76" s="587"/>
      <c r="E76" s="587"/>
      <c r="F76" s="587"/>
      <c r="G76" s="587"/>
      <c r="H76" s="587"/>
      <c r="I76" s="587"/>
      <c r="J76" s="587"/>
      <c r="K76" s="587"/>
      <c r="L76" s="587"/>
      <c r="M76" s="587"/>
      <c r="N76" s="587"/>
      <c r="O76" s="587"/>
      <c r="P76" s="587"/>
      <c r="Q76" s="587"/>
      <c r="R76" s="587"/>
      <c r="S76" s="587"/>
      <c r="T76" s="587"/>
      <c r="U76" s="587"/>
      <c r="V76" s="587"/>
      <c r="W76" s="587"/>
      <c r="X76" s="587"/>
      <c r="Y76" s="587"/>
      <c r="Z76" s="587"/>
    </row>
    <row r="77" ht="15.75" customHeight="1">
      <c r="A77" s="587"/>
      <c r="B77" s="587"/>
      <c r="C77" s="587"/>
      <c r="D77" s="587"/>
      <c r="E77" s="587"/>
      <c r="F77" s="587"/>
      <c r="G77" s="587"/>
      <c r="H77" s="587"/>
      <c r="I77" s="587"/>
      <c r="J77" s="587"/>
      <c r="K77" s="587"/>
      <c r="L77" s="587"/>
      <c r="M77" s="587"/>
      <c r="N77" s="587"/>
      <c r="O77" s="587"/>
      <c r="P77" s="587"/>
      <c r="Q77" s="587"/>
      <c r="R77" s="587"/>
      <c r="S77" s="587"/>
      <c r="T77" s="587"/>
      <c r="U77" s="587"/>
      <c r="V77" s="587"/>
      <c r="W77" s="587"/>
      <c r="X77" s="587"/>
      <c r="Y77" s="587"/>
      <c r="Z77" s="587"/>
    </row>
    <row r="78" ht="15.75" customHeight="1">
      <c r="A78" s="587"/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  <c r="Y78" s="587"/>
      <c r="Z78" s="587"/>
    </row>
    <row r="79" ht="15.75" customHeight="1">
      <c r="A79" s="587"/>
      <c r="B79" s="587"/>
      <c r="C79" s="587"/>
      <c r="D79" s="587"/>
      <c r="E79" s="587"/>
      <c r="F79" s="587"/>
      <c r="G79" s="587"/>
      <c r="H79" s="587"/>
      <c r="I79" s="587"/>
      <c r="J79" s="587"/>
      <c r="K79" s="587"/>
      <c r="L79" s="587"/>
      <c r="M79" s="587"/>
      <c r="N79" s="587"/>
      <c r="O79" s="587"/>
      <c r="P79" s="587"/>
      <c r="Q79" s="587"/>
      <c r="R79" s="587"/>
      <c r="S79" s="587"/>
      <c r="T79" s="587"/>
      <c r="U79" s="587"/>
      <c r="V79" s="587"/>
      <c r="W79" s="587"/>
      <c r="X79" s="587"/>
      <c r="Y79" s="587"/>
      <c r="Z79" s="587"/>
    </row>
    <row r="80" ht="15.75" customHeight="1">
      <c r="A80" s="587"/>
      <c r="B80" s="587"/>
      <c r="C80" s="587"/>
      <c r="D80" s="587"/>
      <c r="E80" s="587"/>
      <c r="F80" s="587"/>
      <c r="G80" s="587"/>
      <c r="H80" s="587"/>
      <c r="I80" s="587"/>
      <c r="J80" s="587"/>
      <c r="K80" s="587"/>
      <c r="L80" s="587"/>
      <c r="M80" s="587"/>
      <c r="N80" s="587"/>
      <c r="O80" s="587"/>
      <c r="P80" s="587"/>
      <c r="Q80" s="587"/>
      <c r="R80" s="587"/>
      <c r="S80" s="587"/>
      <c r="T80" s="587"/>
      <c r="U80" s="587"/>
      <c r="V80" s="587"/>
      <c r="W80" s="587"/>
      <c r="X80" s="587"/>
      <c r="Y80" s="587"/>
      <c r="Z80" s="587"/>
    </row>
    <row r="81" ht="15.75" customHeight="1">
      <c r="A81" s="587"/>
      <c r="B81" s="587"/>
      <c r="C81" s="587"/>
      <c r="D81" s="587"/>
      <c r="E81" s="587"/>
      <c r="F81" s="587"/>
      <c r="G81" s="587"/>
      <c r="H81" s="587"/>
      <c r="I81" s="587"/>
      <c r="J81" s="587"/>
      <c r="K81" s="587"/>
      <c r="L81" s="587"/>
      <c r="M81" s="587"/>
      <c r="N81" s="587"/>
      <c r="O81" s="587"/>
      <c r="P81" s="587"/>
      <c r="Q81" s="587"/>
      <c r="R81" s="587"/>
      <c r="S81" s="587"/>
      <c r="T81" s="587"/>
      <c r="U81" s="587"/>
      <c r="V81" s="587"/>
      <c r="W81" s="587"/>
      <c r="X81" s="587"/>
      <c r="Y81" s="587"/>
      <c r="Z81" s="587"/>
    </row>
    <row r="82" ht="15.75" customHeight="1">
      <c r="A82" s="587"/>
      <c r="B82" s="587"/>
      <c r="C82" s="587"/>
      <c r="D82" s="587"/>
      <c r="E82" s="587"/>
      <c r="F82" s="587"/>
      <c r="G82" s="587"/>
      <c r="H82" s="587"/>
      <c r="I82" s="587"/>
      <c r="J82" s="587"/>
      <c r="K82" s="587"/>
      <c r="L82" s="587"/>
      <c r="M82" s="587"/>
      <c r="N82" s="587"/>
      <c r="O82" s="587"/>
      <c r="P82" s="587"/>
      <c r="Q82" s="587"/>
      <c r="R82" s="587"/>
      <c r="S82" s="587"/>
      <c r="T82" s="587"/>
      <c r="U82" s="587"/>
      <c r="V82" s="587"/>
      <c r="W82" s="587"/>
      <c r="X82" s="587"/>
      <c r="Y82" s="587"/>
      <c r="Z82" s="587"/>
    </row>
    <row r="83" ht="15.75" customHeight="1">
      <c r="A83" s="587"/>
      <c r="B83" s="587"/>
      <c r="C83" s="587"/>
      <c r="D83" s="587"/>
      <c r="E83" s="587"/>
      <c r="F83" s="587"/>
      <c r="G83" s="587"/>
      <c r="H83" s="587"/>
      <c r="I83" s="587"/>
      <c r="J83" s="587"/>
      <c r="K83" s="587"/>
      <c r="L83" s="587"/>
      <c r="M83" s="587"/>
      <c r="N83" s="587"/>
      <c r="O83" s="587"/>
      <c r="P83" s="587"/>
      <c r="Q83" s="587"/>
      <c r="R83" s="587"/>
      <c r="S83" s="587"/>
      <c r="T83" s="587"/>
      <c r="U83" s="587"/>
      <c r="V83" s="587"/>
      <c r="W83" s="587"/>
      <c r="X83" s="587"/>
      <c r="Y83" s="587"/>
      <c r="Z83" s="587"/>
    </row>
    <row r="84" ht="15.75" customHeight="1">
      <c r="A84" s="587"/>
      <c r="B84" s="587"/>
      <c r="C84" s="587"/>
      <c r="D84" s="587"/>
      <c r="E84" s="587"/>
      <c r="F84" s="587"/>
      <c r="G84" s="587"/>
      <c r="H84" s="587"/>
      <c r="I84" s="587"/>
      <c r="J84" s="587"/>
      <c r="K84" s="587"/>
      <c r="L84" s="587"/>
      <c r="M84" s="587"/>
      <c r="N84" s="587"/>
      <c r="O84" s="587"/>
      <c r="P84" s="587"/>
      <c r="Q84" s="587"/>
      <c r="R84" s="587"/>
      <c r="S84" s="587"/>
      <c r="T84" s="587"/>
      <c r="U84" s="587"/>
      <c r="V84" s="587"/>
      <c r="W84" s="587"/>
      <c r="X84" s="587"/>
      <c r="Y84" s="587"/>
      <c r="Z84" s="587"/>
    </row>
    <row r="85" ht="15.75" customHeight="1">
      <c r="A85" s="587"/>
      <c r="B85" s="587"/>
      <c r="C85" s="587"/>
      <c r="D85" s="587"/>
      <c r="E85" s="587"/>
      <c r="F85" s="587"/>
      <c r="G85" s="587"/>
      <c r="H85" s="587"/>
      <c r="I85" s="587"/>
      <c r="J85" s="587"/>
      <c r="K85" s="587"/>
      <c r="L85" s="587"/>
      <c r="M85" s="587"/>
      <c r="N85" s="587"/>
      <c r="O85" s="587"/>
      <c r="P85" s="587"/>
      <c r="Q85" s="587"/>
      <c r="R85" s="587"/>
      <c r="S85" s="587"/>
      <c r="T85" s="587"/>
      <c r="U85" s="587"/>
      <c r="V85" s="587"/>
      <c r="W85" s="587"/>
      <c r="X85" s="587"/>
      <c r="Y85" s="587"/>
      <c r="Z85" s="587"/>
    </row>
    <row r="86" ht="15.75" customHeight="1">
      <c r="A86" s="587"/>
      <c r="B86" s="587"/>
      <c r="C86" s="587"/>
      <c r="D86" s="587"/>
      <c r="E86" s="587"/>
      <c r="F86" s="587"/>
      <c r="G86" s="587"/>
      <c r="H86" s="587"/>
      <c r="I86" s="587"/>
      <c r="J86" s="587"/>
      <c r="K86" s="587"/>
      <c r="L86" s="587"/>
      <c r="M86" s="587"/>
      <c r="N86" s="587"/>
      <c r="O86" s="587"/>
      <c r="P86" s="587"/>
      <c r="Q86" s="587"/>
      <c r="R86" s="587"/>
      <c r="S86" s="587"/>
      <c r="T86" s="587"/>
      <c r="U86" s="587"/>
      <c r="V86" s="587"/>
      <c r="W86" s="587"/>
      <c r="X86" s="587"/>
      <c r="Y86" s="587"/>
      <c r="Z86" s="587"/>
    </row>
    <row r="87" ht="15.75" customHeight="1">
      <c r="A87" s="587"/>
      <c r="B87" s="587"/>
      <c r="C87" s="587"/>
      <c r="D87" s="587"/>
      <c r="E87" s="587"/>
      <c r="F87" s="587"/>
      <c r="G87" s="587"/>
      <c r="H87" s="587"/>
      <c r="I87" s="587"/>
      <c r="J87" s="587"/>
      <c r="K87" s="587"/>
      <c r="L87" s="587"/>
      <c r="M87" s="587"/>
      <c r="N87" s="587"/>
      <c r="O87" s="587"/>
      <c r="P87" s="587"/>
      <c r="Q87" s="587"/>
      <c r="R87" s="587"/>
      <c r="S87" s="587"/>
      <c r="T87" s="587"/>
      <c r="U87" s="587"/>
      <c r="V87" s="587"/>
      <c r="W87" s="587"/>
      <c r="X87" s="587"/>
      <c r="Y87" s="587"/>
      <c r="Z87" s="587"/>
    </row>
    <row r="88" ht="15.75" customHeight="1">
      <c r="A88" s="587"/>
      <c r="B88" s="587"/>
      <c r="C88" s="587"/>
      <c r="D88" s="587"/>
      <c r="E88" s="587"/>
      <c r="F88" s="587"/>
      <c r="G88" s="587"/>
      <c r="H88" s="587"/>
      <c r="I88" s="587"/>
      <c r="J88" s="587"/>
      <c r="K88" s="587"/>
      <c r="L88" s="587"/>
      <c r="M88" s="587"/>
      <c r="N88" s="587"/>
      <c r="O88" s="587"/>
      <c r="P88" s="587"/>
      <c r="Q88" s="587"/>
      <c r="R88" s="587"/>
      <c r="S88" s="587"/>
      <c r="T88" s="587"/>
      <c r="U88" s="587"/>
      <c r="V88" s="587"/>
      <c r="W88" s="587"/>
      <c r="X88" s="587"/>
      <c r="Y88" s="587"/>
      <c r="Z88" s="587"/>
    </row>
    <row r="89" ht="15.75" customHeight="1">
      <c r="A89" s="587"/>
      <c r="B89" s="587"/>
      <c r="C89" s="587"/>
      <c r="D89" s="587"/>
      <c r="E89" s="587"/>
      <c r="F89" s="587"/>
      <c r="G89" s="587"/>
      <c r="H89" s="587"/>
      <c r="I89" s="587"/>
      <c r="J89" s="587"/>
      <c r="K89" s="587"/>
      <c r="L89" s="587"/>
      <c r="M89" s="587"/>
      <c r="N89" s="587"/>
      <c r="O89" s="587"/>
      <c r="P89" s="587"/>
      <c r="Q89" s="587"/>
      <c r="R89" s="587"/>
      <c r="S89" s="587"/>
      <c r="T89" s="587"/>
      <c r="U89" s="587"/>
      <c r="V89" s="587"/>
      <c r="W89" s="587"/>
      <c r="X89" s="587"/>
      <c r="Y89" s="587"/>
      <c r="Z89" s="587"/>
    </row>
    <row r="90" ht="15.75" customHeight="1">
      <c r="A90" s="587"/>
      <c r="B90" s="587"/>
      <c r="C90" s="587"/>
      <c r="D90" s="587"/>
      <c r="E90" s="587"/>
      <c r="F90" s="587"/>
      <c r="G90" s="587"/>
      <c r="H90" s="587"/>
      <c r="I90" s="587"/>
      <c r="J90" s="587"/>
      <c r="K90" s="587"/>
      <c r="L90" s="587"/>
      <c r="M90" s="587"/>
      <c r="N90" s="587"/>
      <c r="O90" s="587"/>
      <c r="P90" s="587"/>
      <c r="Q90" s="587"/>
      <c r="R90" s="587"/>
      <c r="S90" s="587"/>
      <c r="T90" s="587"/>
      <c r="U90" s="587"/>
      <c r="V90" s="587"/>
      <c r="W90" s="587"/>
      <c r="X90" s="587"/>
      <c r="Y90" s="587"/>
      <c r="Z90" s="587"/>
    </row>
    <row r="91" ht="15.75" customHeight="1">
      <c r="A91" s="587"/>
      <c r="B91" s="587"/>
      <c r="C91" s="587"/>
      <c r="D91" s="587"/>
      <c r="E91" s="587"/>
      <c r="F91" s="587"/>
      <c r="G91" s="587"/>
      <c r="H91" s="587"/>
      <c r="I91" s="587"/>
      <c r="J91" s="587"/>
      <c r="K91" s="587"/>
      <c r="L91" s="587"/>
      <c r="M91" s="587"/>
      <c r="N91" s="587"/>
      <c r="O91" s="587"/>
      <c r="P91" s="587"/>
      <c r="Q91" s="587"/>
      <c r="R91" s="587"/>
      <c r="S91" s="587"/>
      <c r="T91" s="587"/>
      <c r="U91" s="587"/>
      <c r="V91" s="587"/>
      <c r="W91" s="587"/>
      <c r="X91" s="587"/>
      <c r="Y91" s="587"/>
      <c r="Z91" s="587"/>
    </row>
    <row r="92" ht="15.75" customHeight="1">
      <c r="A92" s="587"/>
      <c r="B92" s="587"/>
      <c r="C92" s="587"/>
      <c r="D92" s="587"/>
      <c r="E92" s="587"/>
      <c r="F92" s="587"/>
      <c r="G92" s="587"/>
      <c r="H92" s="587"/>
      <c r="I92" s="587"/>
      <c r="J92" s="587"/>
      <c r="K92" s="587"/>
      <c r="L92" s="587"/>
      <c r="M92" s="587"/>
      <c r="N92" s="587"/>
      <c r="O92" s="587"/>
      <c r="P92" s="587"/>
      <c r="Q92" s="587"/>
      <c r="R92" s="587"/>
      <c r="S92" s="587"/>
      <c r="T92" s="587"/>
      <c r="U92" s="587"/>
      <c r="V92" s="587"/>
      <c r="W92" s="587"/>
      <c r="X92" s="587"/>
      <c r="Y92" s="587"/>
      <c r="Z92" s="587"/>
    </row>
    <row r="93" ht="15.75" customHeight="1">
      <c r="A93" s="587"/>
      <c r="B93" s="587"/>
      <c r="C93" s="587"/>
      <c r="D93" s="587"/>
      <c r="E93" s="587"/>
      <c r="F93" s="587"/>
      <c r="G93" s="587"/>
      <c r="H93" s="587"/>
      <c r="I93" s="587"/>
      <c r="J93" s="587"/>
      <c r="K93" s="587"/>
      <c r="L93" s="587"/>
      <c r="M93" s="587"/>
      <c r="N93" s="587"/>
      <c r="O93" s="587"/>
      <c r="P93" s="587"/>
      <c r="Q93" s="587"/>
      <c r="R93" s="587"/>
      <c r="S93" s="587"/>
      <c r="T93" s="587"/>
      <c r="U93" s="587"/>
      <c r="V93" s="587"/>
      <c r="W93" s="587"/>
      <c r="X93" s="587"/>
      <c r="Y93" s="587"/>
      <c r="Z93" s="587"/>
    </row>
    <row r="94" ht="15.75" customHeight="1">
      <c r="A94" s="587"/>
      <c r="B94" s="587"/>
      <c r="C94" s="587"/>
      <c r="D94" s="587"/>
      <c r="E94" s="587"/>
      <c r="F94" s="587"/>
      <c r="G94" s="587"/>
      <c r="H94" s="587"/>
      <c r="I94" s="587"/>
      <c r="J94" s="587"/>
      <c r="K94" s="587"/>
      <c r="L94" s="587"/>
      <c r="M94" s="587"/>
      <c r="N94" s="587"/>
      <c r="O94" s="587"/>
      <c r="P94" s="587"/>
      <c r="Q94" s="587"/>
      <c r="R94" s="587"/>
      <c r="S94" s="587"/>
      <c r="T94" s="587"/>
      <c r="U94" s="587"/>
      <c r="V94" s="587"/>
      <c r="W94" s="587"/>
      <c r="X94" s="587"/>
      <c r="Y94" s="587"/>
      <c r="Z94" s="587"/>
    </row>
    <row r="95" ht="15.75" customHeight="1">
      <c r="A95" s="587"/>
      <c r="B95" s="587"/>
      <c r="C95" s="587"/>
      <c r="D95" s="587"/>
      <c r="E95" s="587"/>
      <c r="F95" s="587"/>
      <c r="G95" s="587"/>
      <c r="H95" s="587"/>
      <c r="I95" s="587"/>
      <c r="J95" s="587"/>
      <c r="K95" s="587"/>
      <c r="L95" s="587"/>
      <c r="M95" s="587"/>
      <c r="N95" s="587"/>
      <c r="O95" s="587"/>
      <c r="P95" s="587"/>
      <c r="Q95" s="587"/>
      <c r="R95" s="587"/>
      <c r="S95" s="587"/>
      <c r="T95" s="587"/>
      <c r="U95" s="587"/>
      <c r="V95" s="587"/>
      <c r="W95" s="587"/>
      <c r="X95" s="587"/>
      <c r="Y95" s="587"/>
      <c r="Z95" s="587"/>
    </row>
    <row r="96" ht="15.75" customHeight="1">
      <c r="A96" s="587"/>
      <c r="B96" s="587"/>
      <c r="C96" s="587"/>
      <c r="D96" s="587"/>
      <c r="E96" s="587"/>
      <c r="F96" s="587"/>
      <c r="G96" s="587"/>
      <c r="H96" s="587"/>
      <c r="I96" s="587"/>
      <c r="J96" s="587"/>
      <c r="K96" s="587"/>
      <c r="L96" s="587"/>
      <c r="M96" s="587"/>
      <c r="N96" s="587"/>
      <c r="O96" s="587"/>
      <c r="P96" s="587"/>
      <c r="Q96" s="587"/>
      <c r="R96" s="587"/>
      <c r="S96" s="587"/>
      <c r="T96" s="587"/>
      <c r="U96" s="587"/>
      <c r="V96" s="587"/>
      <c r="W96" s="587"/>
      <c r="X96" s="587"/>
      <c r="Y96" s="587"/>
      <c r="Z96" s="587"/>
    </row>
    <row r="97" ht="15.75" customHeight="1">
      <c r="A97" s="587"/>
      <c r="B97" s="587"/>
      <c r="C97" s="587"/>
      <c r="D97" s="587"/>
      <c r="E97" s="587"/>
      <c r="F97" s="587"/>
      <c r="G97" s="587"/>
      <c r="H97" s="587"/>
      <c r="I97" s="587"/>
      <c r="J97" s="587"/>
      <c r="K97" s="587"/>
      <c r="L97" s="587"/>
      <c r="M97" s="587"/>
      <c r="N97" s="587"/>
      <c r="O97" s="587"/>
      <c r="P97" s="587"/>
      <c r="Q97" s="587"/>
      <c r="R97" s="587"/>
      <c r="S97" s="587"/>
      <c r="T97" s="587"/>
      <c r="U97" s="587"/>
      <c r="V97" s="587"/>
      <c r="W97" s="587"/>
      <c r="X97" s="587"/>
      <c r="Y97" s="587"/>
      <c r="Z97" s="587"/>
    </row>
    <row r="98" ht="15.75" customHeight="1">
      <c r="A98" s="587"/>
      <c r="B98" s="587"/>
      <c r="C98" s="587"/>
      <c r="D98" s="587"/>
      <c r="E98" s="587"/>
      <c r="F98" s="587"/>
      <c r="G98" s="587"/>
      <c r="H98" s="587"/>
      <c r="I98" s="587"/>
      <c r="J98" s="587"/>
      <c r="K98" s="587"/>
      <c r="L98" s="587"/>
      <c r="M98" s="587"/>
      <c r="N98" s="587"/>
      <c r="O98" s="587"/>
      <c r="P98" s="587"/>
      <c r="Q98" s="587"/>
      <c r="R98" s="587"/>
      <c r="S98" s="587"/>
      <c r="T98" s="587"/>
      <c r="U98" s="587"/>
      <c r="V98" s="587"/>
      <c r="W98" s="587"/>
      <c r="X98" s="587"/>
      <c r="Y98" s="587"/>
      <c r="Z98" s="587"/>
    </row>
    <row r="99" ht="15.75" customHeight="1">
      <c r="A99" s="587"/>
      <c r="B99" s="587"/>
      <c r="C99" s="587"/>
      <c r="D99" s="587"/>
      <c r="E99" s="587"/>
      <c r="F99" s="587"/>
      <c r="G99" s="587"/>
      <c r="H99" s="587"/>
      <c r="I99" s="587"/>
      <c r="J99" s="587"/>
      <c r="K99" s="587"/>
      <c r="L99" s="587"/>
      <c r="M99" s="587"/>
      <c r="N99" s="587"/>
      <c r="O99" s="587"/>
      <c r="P99" s="587"/>
      <c r="Q99" s="587"/>
      <c r="R99" s="587"/>
      <c r="S99" s="587"/>
      <c r="T99" s="587"/>
      <c r="U99" s="587"/>
      <c r="V99" s="587"/>
      <c r="W99" s="587"/>
      <c r="X99" s="587"/>
      <c r="Y99" s="587"/>
      <c r="Z99" s="587"/>
    </row>
    <row r="100" ht="15.75" customHeight="1">
      <c r="A100" s="587"/>
      <c r="B100" s="587"/>
      <c r="C100" s="587"/>
      <c r="D100" s="587"/>
      <c r="E100" s="587"/>
      <c r="F100" s="587"/>
      <c r="G100" s="587"/>
      <c r="H100" s="587"/>
      <c r="I100" s="587"/>
      <c r="J100" s="587"/>
      <c r="K100" s="587"/>
      <c r="L100" s="587"/>
      <c r="M100" s="587"/>
      <c r="N100" s="587"/>
      <c r="O100" s="587"/>
      <c r="P100" s="587"/>
      <c r="Q100" s="587"/>
      <c r="R100" s="587"/>
      <c r="S100" s="587"/>
      <c r="T100" s="587"/>
      <c r="U100" s="587"/>
      <c r="V100" s="587"/>
      <c r="W100" s="587"/>
      <c r="X100" s="587"/>
      <c r="Y100" s="587"/>
      <c r="Z100" s="587"/>
    </row>
    <row r="101" ht="15.75" customHeight="1">
      <c r="A101" s="587"/>
      <c r="B101" s="587"/>
      <c r="C101" s="587"/>
      <c r="D101" s="587"/>
      <c r="E101" s="587"/>
      <c r="F101" s="587"/>
      <c r="G101" s="587"/>
      <c r="H101" s="587"/>
      <c r="I101" s="587"/>
      <c r="J101" s="587"/>
      <c r="K101" s="587"/>
      <c r="L101" s="587"/>
      <c r="M101" s="587"/>
      <c r="N101" s="587"/>
      <c r="O101" s="587"/>
      <c r="P101" s="587"/>
      <c r="Q101" s="587"/>
      <c r="R101" s="587"/>
      <c r="S101" s="587"/>
      <c r="T101" s="587"/>
      <c r="U101" s="587"/>
      <c r="V101" s="587"/>
      <c r="W101" s="587"/>
      <c r="X101" s="587"/>
      <c r="Y101" s="587"/>
      <c r="Z101" s="587"/>
    </row>
    <row r="102" ht="15.75" customHeight="1">
      <c r="A102" s="587"/>
      <c r="B102" s="587"/>
      <c r="C102" s="587"/>
      <c r="D102" s="587"/>
      <c r="E102" s="587"/>
      <c r="F102" s="587"/>
      <c r="G102" s="587"/>
      <c r="H102" s="587"/>
      <c r="I102" s="587"/>
      <c r="J102" s="587"/>
      <c r="K102" s="587"/>
      <c r="L102" s="587"/>
      <c r="M102" s="587"/>
      <c r="N102" s="587"/>
      <c r="O102" s="587"/>
      <c r="P102" s="587"/>
      <c r="Q102" s="587"/>
      <c r="R102" s="587"/>
      <c r="S102" s="587"/>
      <c r="T102" s="587"/>
      <c r="U102" s="587"/>
      <c r="V102" s="587"/>
      <c r="W102" s="587"/>
      <c r="X102" s="587"/>
      <c r="Y102" s="587"/>
      <c r="Z102" s="587"/>
    </row>
    <row r="103" ht="15.75" customHeight="1">
      <c r="A103" s="587"/>
      <c r="B103" s="587"/>
      <c r="C103" s="587"/>
      <c r="D103" s="587"/>
      <c r="E103" s="587"/>
      <c r="F103" s="587"/>
      <c r="G103" s="587"/>
      <c r="H103" s="587"/>
      <c r="I103" s="587"/>
      <c r="J103" s="587"/>
      <c r="K103" s="587"/>
      <c r="L103" s="587"/>
      <c r="M103" s="587"/>
      <c r="N103" s="587"/>
      <c r="O103" s="587"/>
      <c r="P103" s="587"/>
      <c r="Q103" s="587"/>
      <c r="R103" s="587"/>
      <c r="S103" s="587"/>
      <c r="T103" s="587"/>
      <c r="U103" s="587"/>
      <c r="V103" s="587"/>
      <c r="W103" s="587"/>
      <c r="X103" s="587"/>
      <c r="Y103" s="587"/>
      <c r="Z103" s="587"/>
    </row>
    <row r="104" ht="15.75" customHeight="1">
      <c r="A104" s="587"/>
      <c r="B104" s="587"/>
      <c r="C104" s="587"/>
      <c r="D104" s="587"/>
      <c r="E104" s="587"/>
      <c r="F104" s="587"/>
      <c r="G104" s="587"/>
      <c r="H104" s="587"/>
      <c r="I104" s="587"/>
      <c r="J104" s="587"/>
      <c r="K104" s="587"/>
      <c r="L104" s="587"/>
      <c r="M104" s="587"/>
      <c r="N104" s="587"/>
      <c r="O104" s="587"/>
      <c r="P104" s="587"/>
      <c r="Q104" s="587"/>
      <c r="R104" s="587"/>
      <c r="S104" s="587"/>
      <c r="T104" s="587"/>
      <c r="U104" s="587"/>
      <c r="V104" s="587"/>
      <c r="W104" s="587"/>
      <c r="X104" s="587"/>
      <c r="Y104" s="587"/>
      <c r="Z104" s="587"/>
    </row>
    <row r="105" ht="15.75" customHeight="1">
      <c r="A105" s="587"/>
      <c r="B105" s="587"/>
      <c r="C105" s="587"/>
      <c r="D105" s="587"/>
      <c r="E105" s="587"/>
      <c r="F105" s="587"/>
      <c r="G105" s="587"/>
      <c r="H105" s="587"/>
      <c r="I105" s="587"/>
      <c r="J105" s="587"/>
      <c r="K105" s="587"/>
      <c r="L105" s="587"/>
      <c r="M105" s="587"/>
      <c r="N105" s="587"/>
      <c r="O105" s="587"/>
      <c r="P105" s="587"/>
      <c r="Q105" s="587"/>
      <c r="R105" s="587"/>
      <c r="S105" s="587"/>
      <c r="T105" s="587"/>
      <c r="U105" s="587"/>
      <c r="V105" s="587"/>
      <c r="W105" s="587"/>
      <c r="X105" s="587"/>
      <c r="Y105" s="587"/>
      <c r="Z105" s="587"/>
    </row>
    <row r="106" ht="15.75" customHeight="1">
      <c r="A106" s="587"/>
      <c r="B106" s="587"/>
      <c r="C106" s="587"/>
      <c r="D106" s="587"/>
      <c r="E106" s="587"/>
      <c r="F106" s="587"/>
      <c r="G106" s="587"/>
      <c r="H106" s="587"/>
      <c r="I106" s="587"/>
      <c r="J106" s="587"/>
      <c r="K106" s="587"/>
      <c r="L106" s="587"/>
      <c r="M106" s="587"/>
      <c r="N106" s="587"/>
      <c r="O106" s="587"/>
      <c r="P106" s="587"/>
      <c r="Q106" s="587"/>
      <c r="R106" s="587"/>
      <c r="S106" s="587"/>
      <c r="T106" s="587"/>
      <c r="U106" s="587"/>
      <c r="V106" s="587"/>
      <c r="W106" s="587"/>
      <c r="X106" s="587"/>
      <c r="Y106" s="587"/>
      <c r="Z106" s="587"/>
    </row>
    <row r="107" ht="15.75" customHeight="1">
      <c r="A107" s="587"/>
      <c r="B107" s="587"/>
      <c r="C107" s="587"/>
      <c r="D107" s="587"/>
      <c r="E107" s="587"/>
      <c r="F107" s="587"/>
      <c r="G107" s="587"/>
      <c r="H107" s="587"/>
      <c r="I107" s="587"/>
      <c r="J107" s="587"/>
      <c r="K107" s="587"/>
      <c r="L107" s="587"/>
      <c r="M107" s="587"/>
      <c r="N107" s="587"/>
      <c r="O107" s="587"/>
      <c r="P107" s="587"/>
      <c r="Q107" s="587"/>
      <c r="R107" s="587"/>
      <c r="S107" s="587"/>
      <c r="T107" s="587"/>
      <c r="U107" s="587"/>
      <c r="V107" s="587"/>
      <c r="W107" s="587"/>
      <c r="X107" s="587"/>
      <c r="Y107" s="587"/>
      <c r="Z107" s="587"/>
    </row>
    <row r="108" ht="15.75" customHeight="1">
      <c r="A108" s="587"/>
      <c r="B108" s="587"/>
      <c r="C108" s="587"/>
      <c r="D108" s="587"/>
      <c r="E108" s="587"/>
      <c r="F108" s="587"/>
      <c r="G108" s="587"/>
      <c r="H108" s="587"/>
      <c r="I108" s="587"/>
      <c r="J108" s="587"/>
      <c r="K108" s="587"/>
      <c r="L108" s="587"/>
      <c r="M108" s="587"/>
      <c r="N108" s="587"/>
      <c r="O108" s="587"/>
      <c r="P108" s="587"/>
      <c r="Q108" s="587"/>
      <c r="R108" s="587"/>
      <c r="S108" s="587"/>
      <c r="T108" s="587"/>
      <c r="U108" s="587"/>
      <c r="V108" s="587"/>
      <c r="W108" s="587"/>
      <c r="X108" s="587"/>
      <c r="Y108" s="587"/>
      <c r="Z108" s="587"/>
    </row>
    <row r="109" ht="15.75" customHeight="1">
      <c r="A109" s="587"/>
      <c r="B109" s="587"/>
      <c r="C109" s="587"/>
      <c r="D109" s="587"/>
      <c r="E109" s="587"/>
      <c r="F109" s="587"/>
      <c r="G109" s="587"/>
      <c r="H109" s="587"/>
      <c r="I109" s="587"/>
      <c r="J109" s="587"/>
      <c r="K109" s="587"/>
      <c r="L109" s="587"/>
      <c r="M109" s="587"/>
      <c r="N109" s="587"/>
      <c r="O109" s="587"/>
      <c r="P109" s="587"/>
      <c r="Q109" s="587"/>
      <c r="R109" s="587"/>
      <c r="S109" s="587"/>
      <c r="T109" s="587"/>
      <c r="U109" s="587"/>
      <c r="V109" s="587"/>
      <c r="W109" s="587"/>
      <c r="X109" s="587"/>
      <c r="Y109" s="587"/>
      <c r="Z109" s="587"/>
    </row>
    <row r="110" ht="15.75" customHeight="1">
      <c r="A110" s="587"/>
      <c r="B110" s="587"/>
      <c r="C110" s="587"/>
      <c r="D110" s="587"/>
      <c r="E110" s="587"/>
      <c r="F110" s="587"/>
      <c r="G110" s="587"/>
      <c r="H110" s="587"/>
      <c r="I110" s="587"/>
      <c r="J110" s="587"/>
      <c r="K110" s="587"/>
      <c r="L110" s="587"/>
      <c r="M110" s="587"/>
      <c r="N110" s="587"/>
      <c r="O110" s="587"/>
      <c r="P110" s="587"/>
      <c r="Q110" s="587"/>
      <c r="R110" s="587"/>
      <c r="S110" s="587"/>
      <c r="T110" s="587"/>
      <c r="U110" s="587"/>
      <c r="V110" s="587"/>
      <c r="W110" s="587"/>
      <c r="X110" s="587"/>
      <c r="Y110" s="587"/>
      <c r="Z110" s="587"/>
    </row>
    <row r="111" ht="15.75" customHeight="1">
      <c r="A111" s="587"/>
      <c r="B111" s="587"/>
      <c r="C111" s="587"/>
      <c r="D111" s="587"/>
      <c r="E111" s="587"/>
      <c r="F111" s="587"/>
      <c r="G111" s="587"/>
      <c r="H111" s="587"/>
      <c r="I111" s="587"/>
      <c r="J111" s="587"/>
      <c r="K111" s="587"/>
      <c r="L111" s="587"/>
      <c r="M111" s="587"/>
      <c r="N111" s="587"/>
      <c r="O111" s="587"/>
      <c r="P111" s="587"/>
      <c r="Q111" s="587"/>
      <c r="R111" s="587"/>
      <c r="S111" s="587"/>
      <c r="T111" s="587"/>
      <c r="U111" s="587"/>
      <c r="V111" s="587"/>
      <c r="W111" s="587"/>
      <c r="X111" s="587"/>
      <c r="Y111" s="587"/>
      <c r="Z111" s="587"/>
    </row>
    <row r="112" ht="15.75" customHeight="1">
      <c r="A112" s="587"/>
      <c r="B112" s="587"/>
      <c r="C112" s="587"/>
      <c r="D112" s="587"/>
      <c r="E112" s="587"/>
      <c r="F112" s="587"/>
      <c r="G112" s="587"/>
      <c r="H112" s="587"/>
      <c r="I112" s="587"/>
      <c r="J112" s="587"/>
      <c r="K112" s="587"/>
      <c r="L112" s="587"/>
      <c r="M112" s="587"/>
      <c r="N112" s="587"/>
      <c r="O112" s="587"/>
      <c r="P112" s="587"/>
      <c r="Q112" s="587"/>
      <c r="R112" s="587"/>
      <c r="S112" s="587"/>
      <c r="T112" s="587"/>
      <c r="U112" s="587"/>
      <c r="V112" s="587"/>
      <c r="W112" s="587"/>
      <c r="X112" s="587"/>
      <c r="Y112" s="587"/>
      <c r="Z112" s="587"/>
    </row>
    <row r="113" ht="15.75" customHeight="1">
      <c r="A113" s="587"/>
      <c r="B113" s="587"/>
      <c r="C113" s="587"/>
      <c r="D113" s="587"/>
      <c r="E113" s="587"/>
      <c r="F113" s="587"/>
      <c r="G113" s="587"/>
      <c r="H113" s="587"/>
      <c r="I113" s="587"/>
      <c r="J113" s="587"/>
      <c r="K113" s="587"/>
      <c r="L113" s="587"/>
      <c r="M113" s="587"/>
      <c r="N113" s="587"/>
      <c r="O113" s="587"/>
      <c r="P113" s="587"/>
      <c r="Q113" s="587"/>
      <c r="R113" s="587"/>
      <c r="S113" s="587"/>
      <c r="T113" s="587"/>
      <c r="U113" s="587"/>
      <c r="V113" s="587"/>
      <c r="W113" s="587"/>
      <c r="X113" s="587"/>
      <c r="Y113" s="587"/>
      <c r="Z113" s="587"/>
    </row>
    <row r="114" ht="15.75" customHeight="1">
      <c r="A114" s="587"/>
      <c r="B114" s="587"/>
      <c r="C114" s="587"/>
      <c r="D114" s="587"/>
      <c r="E114" s="587"/>
      <c r="F114" s="587"/>
      <c r="G114" s="587"/>
      <c r="H114" s="587"/>
      <c r="I114" s="587"/>
      <c r="J114" s="587"/>
      <c r="K114" s="587"/>
      <c r="L114" s="587"/>
      <c r="M114" s="587"/>
      <c r="N114" s="587"/>
      <c r="O114" s="587"/>
      <c r="P114" s="587"/>
      <c r="Q114" s="587"/>
      <c r="R114" s="587"/>
      <c r="S114" s="587"/>
      <c r="T114" s="587"/>
      <c r="U114" s="587"/>
      <c r="V114" s="587"/>
      <c r="W114" s="587"/>
      <c r="X114" s="587"/>
      <c r="Y114" s="587"/>
      <c r="Z114" s="587"/>
    </row>
    <row r="115" ht="15.75" customHeight="1">
      <c r="A115" s="587"/>
      <c r="B115" s="587"/>
      <c r="C115" s="587"/>
      <c r="D115" s="587"/>
      <c r="E115" s="587"/>
      <c r="F115" s="587"/>
      <c r="G115" s="587"/>
      <c r="H115" s="587"/>
      <c r="I115" s="587"/>
      <c r="J115" s="587"/>
      <c r="K115" s="587"/>
      <c r="L115" s="587"/>
      <c r="M115" s="587"/>
      <c r="N115" s="587"/>
      <c r="O115" s="587"/>
      <c r="P115" s="587"/>
      <c r="Q115" s="587"/>
      <c r="R115" s="587"/>
      <c r="S115" s="587"/>
      <c r="T115" s="587"/>
      <c r="U115" s="587"/>
      <c r="V115" s="587"/>
      <c r="W115" s="587"/>
      <c r="X115" s="587"/>
      <c r="Y115" s="587"/>
      <c r="Z115" s="587"/>
    </row>
    <row r="116" ht="15.75" customHeight="1">
      <c r="A116" s="587"/>
      <c r="B116" s="587"/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7"/>
      <c r="N116" s="587"/>
      <c r="O116" s="587"/>
      <c r="P116" s="587"/>
      <c r="Q116" s="587"/>
      <c r="R116" s="587"/>
      <c r="S116" s="587"/>
      <c r="T116" s="587"/>
      <c r="U116" s="587"/>
      <c r="V116" s="587"/>
      <c r="W116" s="587"/>
      <c r="X116" s="587"/>
      <c r="Y116" s="587"/>
      <c r="Z116" s="587"/>
    </row>
    <row r="117" ht="15.75" customHeight="1">
      <c r="A117" s="587"/>
      <c r="B117" s="587"/>
      <c r="C117" s="587"/>
      <c r="D117" s="587"/>
      <c r="E117" s="587"/>
      <c r="F117" s="587"/>
      <c r="G117" s="587"/>
      <c r="H117" s="587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</row>
    <row r="118" ht="15.75" customHeight="1">
      <c r="A118" s="587"/>
      <c r="B118" s="587"/>
      <c r="C118" s="587"/>
      <c r="D118" s="587"/>
      <c r="E118" s="587"/>
      <c r="F118" s="587"/>
      <c r="G118" s="587"/>
      <c r="H118" s="587"/>
      <c r="I118" s="587"/>
      <c r="J118" s="587"/>
      <c r="K118" s="587"/>
      <c r="L118" s="587"/>
      <c r="M118" s="587"/>
      <c r="N118" s="587"/>
      <c r="O118" s="58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7"/>
      <c r="Z118" s="587"/>
    </row>
    <row r="119" ht="15.75" customHeight="1">
      <c r="A119" s="587"/>
      <c r="B119" s="587"/>
      <c r="C119" s="587"/>
      <c r="D119" s="587"/>
      <c r="E119" s="587"/>
      <c r="F119" s="587"/>
      <c r="G119" s="587"/>
      <c r="H119" s="587"/>
      <c r="I119" s="587"/>
      <c r="J119" s="587"/>
      <c r="K119" s="587"/>
      <c r="L119" s="587"/>
      <c r="M119" s="587"/>
      <c r="N119" s="587"/>
      <c r="O119" s="587"/>
      <c r="P119" s="587"/>
      <c r="Q119" s="587"/>
      <c r="R119" s="587"/>
      <c r="S119" s="587"/>
      <c r="T119" s="587"/>
      <c r="U119" s="587"/>
      <c r="V119" s="587"/>
      <c r="W119" s="587"/>
      <c r="X119" s="587"/>
      <c r="Y119" s="587"/>
      <c r="Z119" s="587"/>
    </row>
    <row r="120" ht="15.75" customHeight="1">
      <c r="A120" s="587"/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7"/>
      <c r="Q120" s="587"/>
      <c r="R120" s="587"/>
      <c r="S120" s="587"/>
      <c r="T120" s="587"/>
      <c r="U120" s="587"/>
      <c r="V120" s="587"/>
      <c r="W120" s="587"/>
      <c r="X120" s="587"/>
      <c r="Y120" s="587"/>
      <c r="Z120" s="587"/>
    </row>
    <row r="121" ht="15.75" customHeight="1">
      <c r="A121" s="587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87"/>
      <c r="N121" s="587"/>
      <c r="O121" s="587"/>
      <c r="P121" s="587"/>
      <c r="Q121" s="587"/>
      <c r="R121" s="587"/>
      <c r="S121" s="587"/>
      <c r="T121" s="587"/>
      <c r="U121" s="587"/>
      <c r="V121" s="587"/>
      <c r="W121" s="587"/>
      <c r="X121" s="587"/>
      <c r="Y121" s="587"/>
      <c r="Z121" s="587"/>
    </row>
    <row r="122" ht="15.75" customHeight="1">
      <c r="A122" s="587"/>
      <c r="B122" s="587"/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587"/>
      <c r="U122" s="587"/>
      <c r="V122" s="587"/>
      <c r="W122" s="587"/>
      <c r="X122" s="587"/>
      <c r="Y122" s="587"/>
      <c r="Z122" s="587"/>
    </row>
    <row r="123" ht="15.75" customHeight="1">
      <c r="A123" s="587"/>
      <c r="B123" s="587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</row>
    <row r="124" ht="15.75" customHeight="1">
      <c r="A124" s="587"/>
      <c r="B124" s="587"/>
      <c r="C124" s="587"/>
      <c r="D124" s="587"/>
      <c r="E124" s="587"/>
      <c r="F124" s="587"/>
      <c r="G124" s="587"/>
      <c r="H124" s="587"/>
      <c r="I124" s="587"/>
      <c r="J124" s="587"/>
      <c r="K124" s="587"/>
      <c r="L124" s="587"/>
      <c r="M124" s="587"/>
      <c r="N124" s="587"/>
      <c r="O124" s="587"/>
      <c r="P124" s="587"/>
      <c r="Q124" s="587"/>
      <c r="R124" s="587"/>
      <c r="S124" s="587"/>
      <c r="T124" s="587"/>
      <c r="U124" s="587"/>
      <c r="V124" s="587"/>
      <c r="W124" s="587"/>
      <c r="X124" s="587"/>
      <c r="Y124" s="587"/>
      <c r="Z124" s="587"/>
    </row>
    <row r="125" ht="15.75" customHeight="1">
      <c r="A125" s="587"/>
      <c r="B125" s="587"/>
      <c r="C125" s="587"/>
      <c r="D125" s="587"/>
      <c r="E125" s="587"/>
      <c r="F125" s="587"/>
      <c r="G125" s="587"/>
      <c r="H125" s="587"/>
      <c r="I125" s="587"/>
      <c r="J125" s="587"/>
      <c r="K125" s="587"/>
      <c r="L125" s="587"/>
      <c r="M125" s="587"/>
      <c r="N125" s="587"/>
      <c r="O125" s="587"/>
      <c r="P125" s="587"/>
      <c r="Q125" s="587"/>
      <c r="R125" s="587"/>
      <c r="S125" s="587"/>
      <c r="T125" s="587"/>
      <c r="U125" s="587"/>
      <c r="V125" s="587"/>
      <c r="W125" s="587"/>
      <c r="X125" s="587"/>
      <c r="Y125" s="587"/>
      <c r="Z125" s="587"/>
    </row>
    <row r="126" ht="15.75" customHeight="1">
      <c r="A126" s="587"/>
      <c r="B126" s="587"/>
      <c r="C126" s="587"/>
      <c r="D126" s="587"/>
      <c r="E126" s="587"/>
      <c r="F126" s="587"/>
      <c r="G126" s="587"/>
      <c r="H126" s="587"/>
      <c r="I126" s="587"/>
      <c r="J126" s="587"/>
      <c r="K126" s="587"/>
      <c r="L126" s="587"/>
      <c r="M126" s="587"/>
      <c r="N126" s="587"/>
      <c r="O126" s="587"/>
      <c r="P126" s="587"/>
      <c r="Q126" s="587"/>
      <c r="R126" s="587"/>
      <c r="S126" s="587"/>
      <c r="T126" s="587"/>
      <c r="U126" s="587"/>
      <c r="V126" s="587"/>
      <c r="W126" s="587"/>
      <c r="X126" s="587"/>
      <c r="Y126" s="587"/>
      <c r="Z126" s="587"/>
    </row>
    <row r="127" ht="15.75" customHeight="1">
      <c r="A127" s="587"/>
      <c r="B127" s="587"/>
      <c r="C127" s="587"/>
      <c r="D127" s="587"/>
      <c r="E127" s="587"/>
      <c r="F127" s="587"/>
      <c r="G127" s="587"/>
      <c r="H127" s="587"/>
      <c r="I127" s="587"/>
      <c r="J127" s="587"/>
      <c r="K127" s="587"/>
      <c r="L127" s="587"/>
      <c r="M127" s="587"/>
      <c r="N127" s="587"/>
      <c r="O127" s="587"/>
      <c r="P127" s="587"/>
      <c r="Q127" s="587"/>
      <c r="R127" s="587"/>
      <c r="S127" s="587"/>
      <c r="T127" s="587"/>
      <c r="U127" s="587"/>
      <c r="V127" s="587"/>
      <c r="W127" s="587"/>
      <c r="X127" s="587"/>
      <c r="Y127" s="587"/>
      <c r="Z127" s="587"/>
    </row>
    <row r="128" ht="15.75" customHeight="1">
      <c r="A128" s="587"/>
      <c r="B128" s="587"/>
      <c r="C128" s="587"/>
      <c r="D128" s="587"/>
      <c r="E128" s="587"/>
      <c r="F128" s="587"/>
      <c r="G128" s="587"/>
      <c r="H128" s="587"/>
      <c r="I128" s="587"/>
      <c r="J128" s="587"/>
      <c r="K128" s="587"/>
      <c r="L128" s="587"/>
      <c r="M128" s="587"/>
      <c r="N128" s="587"/>
      <c r="O128" s="587"/>
      <c r="P128" s="587"/>
      <c r="Q128" s="587"/>
      <c r="R128" s="587"/>
      <c r="S128" s="587"/>
      <c r="T128" s="587"/>
      <c r="U128" s="587"/>
      <c r="V128" s="587"/>
      <c r="W128" s="587"/>
      <c r="X128" s="587"/>
      <c r="Y128" s="587"/>
      <c r="Z128" s="587"/>
    </row>
    <row r="129" ht="15.75" customHeight="1">
      <c r="A129" s="587"/>
      <c r="B129" s="587"/>
      <c r="C129" s="587"/>
      <c r="D129" s="587"/>
      <c r="E129" s="587"/>
      <c r="F129" s="587"/>
      <c r="G129" s="587"/>
      <c r="H129" s="587"/>
      <c r="I129" s="587"/>
      <c r="J129" s="587"/>
      <c r="K129" s="587"/>
      <c r="L129" s="587"/>
      <c r="M129" s="587"/>
      <c r="N129" s="587"/>
      <c r="O129" s="587"/>
      <c r="P129" s="587"/>
      <c r="Q129" s="587"/>
      <c r="R129" s="587"/>
      <c r="S129" s="587"/>
      <c r="T129" s="587"/>
      <c r="U129" s="587"/>
      <c r="V129" s="587"/>
      <c r="W129" s="587"/>
      <c r="X129" s="587"/>
      <c r="Y129" s="587"/>
      <c r="Z129" s="587"/>
    </row>
    <row r="130" ht="15.75" customHeight="1">
      <c r="A130" s="587"/>
      <c r="B130" s="587"/>
      <c r="C130" s="587"/>
      <c r="D130" s="587"/>
      <c r="E130" s="587"/>
      <c r="F130" s="587"/>
      <c r="G130" s="587"/>
      <c r="H130" s="587"/>
      <c r="I130" s="587"/>
      <c r="J130" s="587"/>
      <c r="K130" s="587"/>
      <c r="L130" s="587"/>
      <c r="M130" s="587"/>
      <c r="N130" s="587"/>
      <c r="O130" s="587"/>
      <c r="P130" s="587"/>
      <c r="Q130" s="587"/>
      <c r="R130" s="587"/>
      <c r="S130" s="587"/>
      <c r="T130" s="587"/>
      <c r="U130" s="587"/>
      <c r="V130" s="587"/>
      <c r="W130" s="587"/>
      <c r="X130" s="587"/>
      <c r="Y130" s="587"/>
      <c r="Z130" s="587"/>
    </row>
    <row r="131" ht="15.75" customHeight="1">
      <c r="A131" s="587"/>
      <c r="B131" s="587"/>
      <c r="C131" s="587"/>
      <c r="D131" s="587"/>
      <c r="E131" s="587"/>
      <c r="F131" s="587"/>
      <c r="G131" s="587"/>
      <c r="H131" s="587"/>
      <c r="I131" s="587"/>
      <c r="J131" s="587"/>
      <c r="K131" s="587"/>
      <c r="L131" s="587"/>
      <c r="M131" s="587"/>
      <c r="N131" s="587"/>
      <c r="O131" s="587"/>
      <c r="P131" s="587"/>
      <c r="Q131" s="587"/>
      <c r="R131" s="587"/>
      <c r="S131" s="587"/>
      <c r="T131" s="587"/>
      <c r="U131" s="587"/>
      <c r="V131" s="587"/>
      <c r="W131" s="587"/>
      <c r="X131" s="587"/>
      <c r="Y131" s="587"/>
      <c r="Z131" s="587"/>
    </row>
    <row r="132" ht="15.75" customHeight="1">
      <c r="A132" s="587"/>
      <c r="B132" s="587"/>
      <c r="C132" s="587"/>
      <c r="D132" s="587"/>
      <c r="E132" s="587"/>
      <c r="F132" s="587"/>
      <c r="G132" s="587"/>
      <c r="H132" s="587"/>
      <c r="I132" s="587"/>
      <c r="J132" s="587"/>
      <c r="K132" s="587"/>
      <c r="L132" s="587"/>
      <c r="M132" s="587"/>
      <c r="N132" s="587"/>
      <c r="O132" s="587"/>
      <c r="P132" s="587"/>
      <c r="Q132" s="587"/>
      <c r="R132" s="587"/>
      <c r="S132" s="587"/>
      <c r="T132" s="587"/>
      <c r="U132" s="587"/>
      <c r="V132" s="587"/>
      <c r="W132" s="587"/>
      <c r="X132" s="587"/>
      <c r="Y132" s="587"/>
      <c r="Z132" s="587"/>
    </row>
    <row r="133" ht="15.75" customHeight="1">
      <c r="A133" s="587"/>
      <c r="B133" s="587"/>
      <c r="C133" s="587"/>
      <c r="D133" s="587"/>
      <c r="E133" s="587"/>
      <c r="F133" s="587"/>
      <c r="G133" s="587"/>
      <c r="H133" s="587"/>
      <c r="I133" s="587"/>
      <c r="J133" s="587"/>
      <c r="K133" s="587"/>
      <c r="L133" s="587"/>
      <c r="M133" s="587"/>
      <c r="N133" s="587"/>
      <c r="O133" s="587"/>
      <c r="P133" s="587"/>
      <c r="Q133" s="587"/>
      <c r="R133" s="587"/>
      <c r="S133" s="587"/>
      <c r="T133" s="587"/>
      <c r="U133" s="587"/>
      <c r="V133" s="587"/>
      <c r="W133" s="587"/>
      <c r="X133" s="587"/>
      <c r="Y133" s="587"/>
      <c r="Z133" s="587"/>
    </row>
    <row r="134" ht="15.75" customHeight="1">
      <c r="A134" s="587"/>
      <c r="B134" s="587"/>
      <c r="C134" s="587"/>
      <c r="D134" s="587"/>
      <c r="E134" s="587"/>
      <c r="F134" s="587"/>
      <c r="G134" s="587"/>
      <c r="H134" s="587"/>
      <c r="I134" s="587"/>
      <c r="J134" s="587"/>
      <c r="K134" s="587"/>
      <c r="L134" s="587"/>
      <c r="M134" s="587"/>
      <c r="N134" s="587"/>
      <c r="O134" s="587"/>
      <c r="P134" s="587"/>
      <c r="Q134" s="587"/>
      <c r="R134" s="587"/>
      <c r="S134" s="587"/>
      <c r="T134" s="587"/>
      <c r="U134" s="587"/>
      <c r="V134" s="587"/>
      <c r="W134" s="587"/>
      <c r="X134" s="587"/>
      <c r="Y134" s="587"/>
      <c r="Z134" s="587"/>
    </row>
    <row r="135" ht="15.75" customHeight="1">
      <c r="A135" s="587"/>
      <c r="B135" s="587"/>
      <c r="C135" s="587"/>
      <c r="D135" s="587"/>
      <c r="E135" s="587"/>
      <c r="F135" s="587"/>
      <c r="G135" s="587"/>
      <c r="H135" s="587"/>
      <c r="I135" s="587"/>
      <c r="J135" s="587"/>
      <c r="K135" s="587"/>
      <c r="L135" s="587"/>
      <c r="M135" s="587"/>
      <c r="N135" s="587"/>
      <c r="O135" s="587"/>
      <c r="P135" s="587"/>
      <c r="Q135" s="587"/>
      <c r="R135" s="587"/>
      <c r="S135" s="587"/>
      <c r="T135" s="587"/>
      <c r="U135" s="587"/>
      <c r="V135" s="587"/>
      <c r="W135" s="587"/>
      <c r="X135" s="587"/>
      <c r="Y135" s="587"/>
      <c r="Z135" s="587"/>
    </row>
    <row r="136" ht="15.75" customHeight="1">
      <c r="A136" s="587"/>
      <c r="B136" s="587"/>
      <c r="C136" s="587"/>
      <c r="D136" s="587"/>
      <c r="E136" s="587"/>
      <c r="F136" s="587"/>
      <c r="G136" s="587"/>
      <c r="H136" s="587"/>
      <c r="I136" s="587"/>
      <c r="J136" s="587"/>
      <c r="K136" s="587"/>
      <c r="L136" s="587"/>
      <c r="M136" s="587"/>
      <c r="N136" s="587"/>
      <c r="O136" s="587"/>
      <c r="P136" s="587"/>
      <c r="Q136" s="587"/>
      <c r="R136" s="587"/>
      <c r="S136" s="587"/>
      <c r="T136" s="587"/>
      <c r="U136" s="587"/>
      <c r="V136" s="587"/>
      <c r="W136" s="587"/>
      <c r="X136" s="587"/>
      <c r="Y136" s="587"/>
      <c r="Z136" s="587"/>
    </row>
    <row r="137" ht="15.75" customHeight="1">
      <c r="A137" s="587"/>
      <c r="B137" s="587"/>
      <c r="C137" s="587"/>
      <c r="D137" s="587"/>
      <c r="E137" s="587"/>
      <c r="F137" s="587"/>
      <c r="G137" s="587"/>
      <c r="H137" s="587"/>
      <c r="I137" s="587"/>
      <c r="J137" s="587"/>
      <c r="K137" s="587"/>
      <c r="L137" s="587"/>
      <c r="M137" s="587"/>
      <c r="N137" s="587"/>
      <c r="O137" s="587"/>
      <c r="P137" s="587"/>
      <c r="Q137" s="587"/>
      <c r="R137" s="587"/>
      <c r="S137" s="587"/>
      <c r="T137" s="587"/>
      <c r="U137" s="587"/>
      <c r="V137" s="587"/>
      <c r="W137" s="587"/>
      <c r="X137" s="587"/>
      <c r="Y137" s="587"/>
      <c r="Z137" s="587"/>
    </row>
    <row r="138" ht="15.75" customHeight="1">
      <c r="A138" s="587"/>
      <c r="B138" s="587"/>
      <c r="C138" s="587"/>
      <c r="D138" s="587"/>
      <c r="E138" s="587"/>
      <c r="F138" s="587"/>
      <c r="G138" s="587"/>
      <c r="H138" s="587"/>
      <c r="I138" s="587"/>
      <c r="J138" s="587"/>
      <c r="K138" s="587"/>
      <c r="L138" s="587"/>
      <c r="M138" s="587"/>
      <c r="N138" s="587"/>
      <c r="O138" s="587"/>
      <c r="P138" s="587"/>
      <c r="Q138" s="587"/>
      <c r="R138" s="587"/>
      <c r="S138" s="587"/>
      <c r="T138" s="587"/>
      <c r="U138" s="587"/>
      <c r="V138" s="587"/>
      <c r="W138" s="587"/>
      <c r="X138" s="587"/>
      <c r="Y138" s="587"/>
      <c r="Z138" s="587"/>
    </row>
    <row r="139" ht="15.75" customHeight="1">
      <c r="A139" s="587"/>
      <c r="B139" s="587"/>
      <c r="C139" s="587"/>
      <c r="D139" s="587"/>
      <c r="E139" s="587"/>
      <c r="F139" s="587"/>
      <c r="G139" s="587"/>
      <c r="H139" s="587"/>
      <c r="I139" s="587"/>
      <c r="J139" s="587"/>
      <c r="K139" s="587"/>
      <c r="L139" s="587"/>
      <c r="M139" s="587"/>
      <c r="N139" s="587"/>
      <c r="O139" s="587"/>
      <c r="P139" s="587"/>
      <c r="Q139" s="587"/>
      <c r="R139" s="587"/>
      <c r="S139" s="587"/>
      <c r="T139" s="587"/>
      <c r="U139" s="587"/>
      <c r="V139" s="587"/>
      <c r="W139" s="587"/>
      <c r="X139" s="587"/>
      <c r="Y139" s="587"/>
      <c r="Z139" s="587"/>
    </row>
    <row r="140" ht="15.75" customHeight="1">
      <c r="A140" s="587"/>
      <c r="B140" s="587"/>
      <c r="C140" s="587"/>
      <c r="D140" s="587"/>
      <c r="E140" s="587"/>
      <c r="F140" s="587"/>
      <c r="G140" s="587"/>
      <c r="H140" s="587"/>
      <c r="I140" s="587"/>
      <c r="J140" s="587"/>
      <c r="K140" s="587"/>
      <c r="L140" s="587"/>
      <c r="M140" s="587"/>
      <c r="N140" s="587"/>
      <c r="O140" s="587"/>
      <c r="P140" s="587"/>
      <c r="Q140" s="587"/>
      <c r="R140" s="587"/>
      <c r="S140" s="587"/>
      <c r="T140" s="587"/>
      <c r="U140" s="587"/>
      <c r="V140" s="587"/>
      <c r="W140" s="587"/>
      <c r="X140" s="587"/>
      <c r="Y140" s="587"/>
      <c r="Z140" s="587"/>
    </row>
    <row r="141" ht="15.75" customHeight="1">
      <c r="A141" s="587"/>
      <c r="B141" s="587"/>
      <c r="C141" s="587"/>
      <c r="D141" s="587"/>
      <c r="E141" s="587"/>
      <c r="F141" s="587"/>
      <c r="G141" s="587"/>
      <c r="H141" s="587"/>
      <c r="I141" s="587"/>
      <c r="J141" s="587"/>
      <c r="K141" s="587"/>
      <c r="L141" s="587"/>
      <c r="M141" s="587"/>
      <c r="N141" s="587"/>
      <c r="O141" s="587"/>
      <c r="P141" s="587"/>
      <c r="Q141" s="587"/>
      <c r="R141" s="587"/>
      <c r="S141" s="587"/>
      <c r="T141" s="587"/>
      <c r="U141" s="587"/>
      <c r="V141" s="587"/>
      <c r="W141" s="587"/>
      <c r="X141" s="587"/>
      <c r="Y141" s="587"/>
      <c r="Z141" s="587"/>
    </row>
    <row r="142" ht="15.75" customHeight="1">
      <c r="A142" s="587"/>
      <c r="B142" s="587"/>
      <c r="C142" s="587"/>
      <c r="D142" s="587"/>
      <c r="E142" s="587"/>
      <c r="F142" s="587"/>
      <c r="G142" s="587"/>
      <c r="H142" s="587"/>
      <c r="I142" s="587"/>
      <c r="J142" s="587"/>
      <c r="K142" s="587"/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  <c r="X142" s="587"/>
      <c r="Y142" s="587"/>
      <c r="Z142" s="587"/>
    </row>
    <row r="143" ht="15.75" customHeight="1">
      <c r="A143" s="587"/>
      <c r="B143" s="587"/>
      <c r="C143" s="587"/>
      <c r="D143" s="587"/>
      <c r="E143" s="587"/>
      <c r="F143" s="587"/>
      <c r="G143" s="587"/>
      <c r="H143" s="587"/>
      <c r="I143" s="587"/>
      <c r="J143" s="587"/>
      <c r="K143" s="587"/>
      <c r="L143" s="587"/>
      <c r="M143" s="587"/>
      <c r="N143" s="587"/>
      <c r="O143" s="587"/>
      <c r="P143" s="587"/>
      <c r="Q143" s="587"/>
      <c r="R143" s="587"/>
      <c r="S143" s="587"/>
      <c r="T143" s="587"/>
      <c r="U143" s="587"/>
      <c r="V143" s="587"/>
      <c r="W143" s="587"/>
      <c r="X143" s="587"/>
      <c r="Y143" s="587"/>
      <c r="Z143" s="587"/>
    </row>
    <row r="144" ht="15.75" customHeight="1">
      <c r="A144" s="587"/>
      <c r="B144" s="587"/>
      <c r="C144" s="587"/>
      <c r="D144" s="587"/>
      <c r="E144" s="587"/>
      <c r="F144" s="587"/>
      <c r="G144" s="587"/>
      <c r="H144" s="587"/>
      <c r="I144" s="587"/>
      <c r="J144" s="587"/>
      <c r="K144" s="587"/>
      <c r="L144" s="587"/>
      <c r="M144" s="587"/>
      <c r="N144" s="587"/>
      <c r="O144" s="587"/>
      <c r="P144" s="587"/>
      <c r="Q144" s="587"/>
      <c r="R144" s="587"/>
      <c r="S144" s="587"/>
      <c r="T144" s="587"/>
      <c r="U144" s="587"/>
      <c r="V144" s="587"/>
      <c r="W144" s="587"/>
      <c r="X144" s="587"/>
      <c r="Y144" s="587"/>
      <c r="Z144" s="587"/>
    </row>
    <row r="145" ht="15.75" customHeight="1">
      <c r="A145" s="587"/>
      <c r="B145" s="587"/>
      <c r="C145" s="587"/>
      <c r="D145" s="587"/>
      <c r="E145" s="587"/>
      <c r="F145" s="587"/>
      <c r="G145" s="587"/>
      <c r="H145" s="587"/>
      <c r="I145" s="587"/>
      <c r="J145" s="587"/>
      <c r="K145" s="587"/>
      <c r="L145" s="587"/>
      <c r="M145" s="587"/>
      <c r="N145" s="587"/>
      <c r="O145" s="587"/>
      <c r="P145" s="587"/>
      <c r="Q145" s="587"/>
      <c r="R145" s="587"/>
      <c r="S145" s="587"/>
      <c r="T145" s="587"/>
      <c r="U145" s="587"/>
      <c r="V145" s="587"/>
      <c r="W145" s="587"/>
      <c r="X145" s="587"/>
      <c r="Y145" s="587"/>
      <c r="Z145" s="587"/>
    </row>
    <row r="146" ht="15.75" customHeight="1">
      <c r="A146" s="587"/>
      <c r="B146" s="587"/>
      <c r="C146" s="587"/>
      <c r="D146" s="587"/>
      <c r="E146" s="587"/>
      <c r="F146" s="587"/>
      <c r="G146" s="587"/>
      <c r="H146" s="587"/>
      <c r="I146" s="587"/>
      <c r="J146" s="587"/>
      <c r="K146" s="587"/>
      <c r="L146" s="587"/>
      <c r="M146" s="587"/>
      <c r="N146" s="587"/>
      <c r="O146" s="587"/>
      <c r="P146" s="587"/>
      <c r="Q146" s="587"/>
      <c r="R146" s="587"/>
      <c r="S146" s="587"/>
      <c r="T146" s="587"/>
      <c r="U146" s="587"/>
      <c r="V146" s="587"/>
      <c r="W146" s="587"/>
      <c r="X146" s="587"/>
      <c r="Y146" s="587"/>
      <c r="Z146" s="587"/>
    </row>
    <row r="147" ht="15.75" customHeight="1">
      <c r="A147" s="587"/>
      <c r="B147" s="587"/>
      <c r="C147" s="587"/>
      <c r="D147" s="587"/>
      <c r="E147" s="587"/>
      <c r="F147" s="587"/>
      <c r="G147" s="587"/>
      <c r="H147" s="587"/>
      <c r="I147" s="587"/>
      <c r="J147" s="587"/>
      <c r="K147" s="587"/>
      <c r="L147" s="587"/>
      <c r="M147" s="587"/>
      <c r="N147" s="587"/>
      <c r="O147" s="587"/>
      <c r="P147" s="587"/>
      <c r="Q147" s="587"/>
      <c r="R147" s="587"/>
      <c r="S147" s="587"/>
      <c r="T147" s="587"/>
      <c r="U147" s="587"/>
      <c r="V147" s="587"/>
      <c r="W147" s="587"/>
      <c r="X147" s="587"/>
      <c r="Y147" s="587"/>
      <c r="Z147" s="587"/>
    </row>
    <row r="148" ht="15.75" customHeight="1">
      <c r="A148" s="587"/>
      <c r="B148" s="587"/>
      <c r="C148" s="587"/>
      <c r="D148" s="587"/>
      <c r="E148" s="587"/>
      <c r="F148" s="587"/>
      <c r="G148" s="587"/>
      <c r="H148" s="587"/>
      <c r="I148" s="587"/>
      <c r="J148" s="587"/>
      <c r="K148" s="587"/>
      <c r="L148" s="587"/>
      <c r="M148" s="587"/>
      <c r="N148" s="587"/>
      <c r="O148" s="587"/>
      <c r="P148" s="587"/>
      <c r="Q148" s="587"/>
      <c r="R148" s="587"/>
      <c r="S148" s="587"/>
      <c r="T148" s="587"/>
      <c r="U148" s="587"/>
      <c r="V148" s="587"/>
      <c r="W148" s="587"/>
      <c r="X148" s="587"/>
      <c r="Y148" s="587"/>
      <c r="Z148" s="587"/>
    </row>
    <row r="149" ht="15.75" customHeight="1">
      <c r="A149" s="587"/>
      <c r="B149" s="587"/>
      <c r="C149" s="587"/>
      <c r="D149" s="587"/>
      <c r="E149" s="587"/>
      <c r="F149" s="587"/>
      <c r="G149" s="587"/>
      <c r="H149" s="587"/>
      <c r="I149" s="587"/>
      <c r="J149" s="587"/>
      <c r="K149" s="587"/>
      <c r="L149" s="587"/>
      <c r="M149" s="587"/>
      <c r="N149" s="587"/>
      <c r="O149" s="587"/>
      <c r="P149" s="587"/>
      <c r="Q149" s="587"/>
      <c r="R149" s="587"/>
      <c r="S149" s="587"/>
      <c r="T149" s="587"/>
      <c r="U149" s="587"/>
      <c r="V149" s="587"/>
      <c r="W149" s="587"/>
      <c r="X149" s="587"/>
      <c r="Y149" s="587"/>
      <c r="Z149" s="587"/>
    </row>
    <row r="150" ht="15.75" customHeight="1">
      <c r="A150" s="587"/>
      <c r="B150" s="587"/>
      <c r="C150" s="587"/>
      <c r="D150" s="587"/>
      <c r="E150" s="587"/>
      <c r="F150" s="587"/>
      <c r="G150" s="587"/>
      <c r="H150" s="587"/>
      <c r="I150" s="587"/>
      <c r="J150" s="587"/>
      <c r="K150" s="587"/>
      <c r="L150" s="587"/>
      <c r="M150" s="587"/>
      <c r="N150" s="587"/>
      <c r="O150" s="587"/>
      <c r="P150" s="587"/>
      <c r="Q150" s="587"/>
      <c r="R150" s="587"/>
      <c r="S150" s="587"/>
      <c r="T150" s="587"/>
      <c r="U150" s="587"/>
      <c r="V150" s="587"/>
      <c r="W150" s="587"/>
      <c r="X150" s="587"/>
      <c r="Y150" s="587"/>
      <c r="Z150" s="587"/>
    </row>
    <row r="151" ht="15.75" customHeight="1">
      <c r="A151" s="587"/>
      <c r="B151" s="587"/>
      <c r="C151" s="587"/>
      <c r="D151" s="587"/>
      <c r="E151" s="587"/>
      <c r="F151" s="587"/>
      <c r="G151" s="587"/>
      <c r="H151" s="587"/>
      <c r="I151" s="587"/>
      <c r="J151" s="587"/>
      <c r="K151" s="587"/>
      <c r="L151" s="587"/>
      <c r="M151" s="587"/>
      <c r="N151" s="587"/>
      <c r="O151" s="587"/>
      <c r="P151" s="587"/>
      <c r="Q151" s="587"/>
      <c r="R151" s="587"/>
      <c r="S151" s="587"/>
      <c r="T151" s="587"/>
      <c r="U151" s="587"/>
      <c r="V151" s="587"/>
      <c r="W151" s="587"/>
      <c r="X151" s="587"/>
      <c r="Y151" s="587"/>
      <c r="Z151" s="587"/>
    </row>
    <row r="152" ht="15.75" customHeight="1">
      <c r="A152" s="587"/>
      <c r="B152" s="587"/>
      <c r="C152" s="587"/>
      <c r="D152" s="587"/>
      <c r="E152" s="587"/>
      <c r="F152" s="587"/>
      <c r="G152" s="587"/>
      <c r="H152" s="587"/>
      <c r="I152" s="587"/>
      <c r="J152" s="587"/>
      <c r="K152" s="587"/>
      <c r="L152" s="587"/>
      <c r="M152" s="587"/>
      <c r="N152" s="587"/>
      <c r="O152" s="587"/>
      <c r="P152" s="587"/>
      <c r="Q152" s="587"/>
      <c r="R152" s="587"/>
      <c r="S152" s="587"/>
      <c r="T152" s="587"/>
      <c r="U152" s="587"/>
      <c r="V152" s="587"/>
      <c r="W152" s="587"/>
      <c r="X152" s="587"/>
      <c r="Y152" s="587"/>
      <c r="Z152" s="587"/>
    </row>
    <row r="153" ht="15.75" customHeight="1">
      <c r="A153" s="587"/>
      <c r="B153" s="587"/>
      <c r="C153" s="587"/>
      <c r="D153" s="587"/>
      <c r="E153" s="587"/>
      <c r="F153" s="587"/>
      <c r="G153" s="587"/>
      <c r="H153" s="587"/>
      <c r="I153" s="587"/>
      <c r="J153" s="587"/>
      <c r="K153" s="587"/>
      <c r="L153" s="587"/>
      <c r="M153" s="587"/>
      <c r="N153" s="587"/>
      <c r="O153" s="587"/>
      <c r="P153" s="587"/>
      <c r="Q153" s="587"/>
      <c r="R153" s="587"/>
      <c r="S153" s="587"/>
      <c r="T153" s="587"/>
      <c r="U153" s="587"/>
      <c r="V153" s="587"/>
      <c r="W153" s="587"/>
      <c r="X153" s="587"/>
      <c r="Y153" s="587"/>
      <c r="Z153" s="587"/>
    </row>
    <row r="154" ht="15.75" customHeight="1">
      <c r="A154" s="587"/>
      <c r="B154" s="587"/>
      <c r="C154" s="587"/>
      <c r="D154" s="587"/>
      <c r="E154" s="587"/>
      <c r="F154" s="587"/>
      <c r="G154" s="587"/>
      <c r="H154" s="587"/>
      <c r="I154" s="587"/>
      <c r="J154" s="587"/>
      <c r="K154" s="587"/>
      <c r="L154" s="587"/>
      <c r="M154" s="587"/>
      <c r="N154" s="587"/>
      <c r="O154" s="587"/>
      <c r="P154" s="587"/>
      <c r="Q154" s="587"/>
      <c r="R154" s="587"/>
      <c r="S154" s="587"/>
      <c r="T154" s="587"/>
      <c r="U154" s="587"/>
      <c r="V154" s="587"/>
      <c r="W154" s="587"/>
      <c r="X154" s="587"/>
      <c r="Y154" s="587"/>
      <c r="Z154" s="587"/>
    </row>
    <row r="155" ht="15.75" customHeight="1">
      <c r="A155" s="587"/>
      <c r="B155" s="587"/>
      <c r="C155" s="587"/>
      <c r="D155" s="587"/>
      <c r="E155" s="587"/>
      <c r="F155" s="587"/>
      <c r="G155" s="587"/>
      <c r="H155" s="587"/>
      <c r="I155" s="587"/>
      <c r="J155" s="587"/>
      <c r="K155" s="587"/>
      <c r="L155" s="587"/>
      <c r="M155" s="587"/>
      <c r="N155" s="587"/>
      <c r="O155" s="587"/>
      <c r="P155" s="587"/>
      <c r="Q155" s="587"/>
      <c r="R155" s="587"/>
      <c r="S155" s="587"/>
      <c r="T155" s="587"/>
      <c r="U155" s="587"/>
      <c r="V155" s="587"/>
      <c r="W155" s="587"/>
      <c r="X155" s="587"/>
      <c r="Y155" s="587"/>
      <c r="Z155" s="587"/>
    </row>
    <row r="156" ht="15.75" customHeight="1">
      <c r="A156" s="587"/>
      <c r="B156" s="587"/>
      <c r="C156" s="587"/>
      <c r="D156" s="587"/>
      <c r="E156" s="587"/>
      <c r="F156" s="587"/>
      <c r="G156" s="587"/>
      <c r="H156" s="587"/>
      <c r="I156" s="587"/>
      <c r="J156" s="587"/>
      <c r="K156" s="587"/>
      <c r="L156" s="587"/>
      <c r="M156" s="587"/>
      <c r="N156" s="587"/>
      <c r="O156" s="587"/>
      <c r="P156" s="587"/>
      <c r="Q156" s="587"/>
      <c r="R156" s="587"/>
      <c r="S156" s="587"/>
      <c r="T156" s="587"/>
      <c r="U156" s="587"/>
      <c r="V156" s="587"/>
      <c r="W156" s="587"/>
      <c r="X156" s="587"/>
      <c r="Y156" s="587"/>
      <c r="Z156" s="587"/>
    </row>
    <row r="157" ht="15.75" customHeight="1">
      <c r="A157" s="587"/>
      <c r="B157" s="587"/>
      <c r="C157" s="587"/>
      <c r="D157" s="587"/>
      <c r="E157" s="587"/>
      <c r="F157" s="587"/>
      <c r="G157" s="587"/>
      <c r="H157" s="587"/>
      <c r="I157" s="587"/>
      <c r="J157" s="587"/>
      <c r="K157" s="587"/>
      <c r="L157" s="587"/>
      <c r="M157" s="587"/>
      <c r="N157" s="587"/>
      <c r="O157" s="587"/>
      <c r="P157" s="587"/>
      <c r="Q157" s="587"/>
      <c r="R157" s="587"/>
      <c r="S157" s="587"/>
      <c r="T157" s="587"/>
      <c r="U157" s="587"/>
      <c r="V157" s="587"/>
      <c r="W157" s="587"/>
      <c r="X157" s="587"/>
      <c r="Y157" s="587"/>
      <c r="Z157" s="587"/>
    </row>
    <row r="158" ht="15.75" customHeight="1">
      <c r="A158" s="587"/>
      <c r="B158" s="587"/>
      <c r="C158" s="587"/>
      <c r="D158" s="587"/>
      <c r="E158" s="587"/>
      <c r="F158" s="587"/>
      <c r="G158" s="587"/>
      <c r="H158" s="587"/>
      <c r="I158" s="587"/>
      <c r="J158" s="587"/>
      <c r="K158" s="587"/>
      <c r="L158" s="587"/>
      <c r="M158" s="587"/>
      <c r="N158" s="587"/>
      <c r="O158" s="587"/>
      <c r="P158" s="587"/>
      <c r="Q158" s="587"/>
      <c r="R158" s="587"/>
      <c r="S158" s="587"/>
      <c r="T158" s="587"/>
      <c r="U158" s="587"/>
      <c r="V158" s="587"/>
      <c r="W158" s="587"/>
      <c r="X158" s="587"/>
      <c r="Y158" s="587"/>
      <c r="Z158" s="587"/>
    </row>
    <row r="159" ht="15.75" customHeight="1">
      <c r="A159" s="587"/>
      <c r="B159" s="587"/>
      <c r="C159" s="587"/>
      <c r="D159" s="587"/>
      <c r="E159" s="587"/>
      <c r="F159" s="587"/>
      <c r="G159" s="587"/>
      <c r="H159" s="587"/>
      <c r="I159" s="587"/>
      <c r="J159" s="587"/>
      <c r="K159" s="587"/>
      <c r="L159" s="587"/>
      <c r="M159" s="587"/>
      <c r="N159" s="587"/>
      <c r="O159" s="587"/>
      <c r="P159" s="587"/>
      <c r="Q159" s="587"/>
      <c r="R159" s="587"/>
      <c r="S159" s="587"/>
      <c r="T159" s="587"/>
      <c r="U159" s="587"/>
      <c r="V159" s="587"/>
      <c r="W159" s="587"/>
      <c r="X159" s="587"/>
      <c r="Y159" s="587"/>
      <c r="Z159" s="587"/>
    </row>
    <row r="160" ht="15.75" customHeight="1">
      <c r="A160" s="587"/>
      <c r="B160" s="587"/>
      <c r="C160" s="587"/>
      <c r="D160" s="587"/>
      <c r="E160" s="587"/>
      <c r="F160" s="587"/>
      <c r="G160" s="587"/>
      <c r="H160" s="587"/>
      <c r="I160" s="587"/>
      <c r="J160" s="587"/>
      <c r="K160" s="587"/>
      <c r="L160" s="587"/>
      <c r="M160" s="587"/>
      <c r="N160" s="587"/>
      <c r="O160" s="587"/>
      <c r="P160" s="587"/>
      <c r="Q160" s="587"/>
      <c r="R160" s="587"/>
      <c r="S160" s="587"/>
      <c r="T160" s="587"/>
      <c r="U160" s="587"/>
      <c r="V160" s="587"/>
      <c r="W160" s="587"/>
      <c r="X160" s="587"/>
      <c r="Y160" s="587"/>
      <c r="Z160" s="587"/>
    </row>
    <row r="161" ht="15.75" customHeight="1">
      <c r="A161" s="587"/>
      <c r="B161" s="587"/>
      <c r="C161" s="587"/>
      <c r="D161" s="587"/>
      <c r="E161" s="587"/>
      <c r="F161" s="587"/>
      <c r="G161" s="587"/>
      <c r="H161" s="587"/>
      <c r="I161" s="587"/>
      <c r="J161" s="587"/>
      <c r="K161" s="587"/>
      <c r="L161" s="587"/>
      <c r="M161" s="587"/>
      <c r="N161" s="587"/>
      <c r="O161" s="587"/>
      <c r="P161" s="587"/>
      <c r="Q161" s="587"/>
      <c r="R161" s="587"/>
      <c r="S161" s="587"/>
      <c r="T161" s="587"/>
      <c r="U161" s="587"/>
      <c r="V161" s="587"/>
      <c r="W161" s="587"/>
      <c r="X161" s="587"/>
      <c r="Y161" s="587"/>
      <c r="Z161" s="587"/>
    </row>
    <row r="162" ht="15.75" customHeight="1">
      <c r="A162" s="587"/>
      <c r="B162" s="587"/>
      <c r="C162" s="587"/>
      <c r="D162" s="587"/>
      <c r="E162" s="587"/>
      <c r="F162" s="587"/>
      <c r="G162" s="587"/>
      <c r="H162" s="587"/>
      <c r="I162" s="587"/>
      <c r="J162" s="587"/>
      <c r="K162" s="587"/>
      <c r="L162" s="587"/>
      <c r="M162" s="587"/>
      <c r="N162" s="587"/>
      <c r="O162" s="587"/>
      <c r="P162" s="587"/>
      <c r="Q162" s="587"/>
      <c r="R162" s="587"/>
      <c r="S162" s="587"/>
      <c r="T162" s="587"/>
      <c r="U162" s="587"/>
      <c r="V162" s="587"/>
      <c r="W162" s="587"/>
      <c r="X162" s="587"/>
      <c r="Y162" s="587"/>
      <c r="Z162" s="587"/>
    </row>
    <row r="163" ht="15.75" customHeight="1">
      <c r="A163" s="587"/>
      <c r="B163" s="587"/>
      <c r="C163" s="587"/>
      <c r="D163" s="587"/>
      <c r="E163" s="587"/>
      <c r="F163" s="587"/>
      <c r="G163" s="587"/>
      <c r="H163" s="587"/>
      <c r="I163" s="587"/>
      <c r="J163" s="587"/>
      <c r="K163" s="587"/>
      <c r="L163" s="587"/>
      <c r="M163" s="587"/>
      <c r="N163" s="587"/>
      <c r="O163" s="587"/>
      <c r="P163" s="587"/>
      <c r="Q163" s="587"/>
      <c r="R163" s="587"/>
      <c r="S163" s="587"/>
      <c r="T163" s="587"/>
      <c r="U163" s="587"/>
      <c r="V163" s="587"/>
      <c r="W163" s="587"/>
      <c r="X163" s="587"/>
      <c r="Y163" s="587"/>
      <c r="Z163" s="587"/>
    </row>
    <row r="164" ht="15.75" customHeight="1">
      <c r="A164" s="587"/>
      <c r="B164" s="587"/>
      <c r="C164" s="587"/>
      <c r="D164" s="587"/>
      <c r="E164" s="587"/>
      <c r="F164" s="587"/>
      <c r="G164" s="587"/>
      <c r="H164" s="587"/>
      <c r="I164" s="587"/>
      <c r="J164" s="587"/>
      <c r="K164" s="587"/>
      <c r="L164" s="587"/>
      <c r="M164" s="587"/>
      <c r="N164" s="587"/>
      <c r="O164" s="587"/>
      <c r="P164" s="587"/>
      <c r="Q164" s="587"/>
      <c r="R164" s="587"/>
      <c r="S164" s="587"/>
      <c r="T164" s="587"/>
      <c r="U164" s="587"/>
      <c r="V164" s="587"/>
      <c r="W164" s="587"/>
      <c r="X164" s="587"/>
      <c r="Y164" s="587"/>
      <c r="Z164" s="587"/>
    </row>
    <row r="165" ht="15.75" customHeight="1">
      <c r="A165" s="587"/>
      <c r="B165" s="587"/>
      <c r="C165" s="587"/>
      <c r="D165" s="587"/>
      <c r="E165" s="587"/>
      <c r="F165" s="587"/>
      <c r="G165" s="587"/>
      <c r="H165" s="587"/>
      <c r="I165" s="587"/>
      <c r="J165" s="587"/>
      <c r="K165" s="587"/>
      <c r="L165" s="587"/>
      <c r="M165" s="587"/>
      <c r="N165" s="587"/>
      <c r="O165" s="587"/>
      <c r="P165" s="587"/>
      <c r="Q165" s="587"/>
      <c r="R165" s="587"/>
      <c r="S165" s="587"/>
      <c r="T165" s="587"/>
      <c r="U165" s="587"/>
      <c r="V165" s="587"/>
      <c r="W165" s="587"/>
      <c r="X165" s="587"/>
      <c r="Y165" s="587"/>
      <c r="Z165" s="587"/>
    </row>
    <row r="166" ht="15.75" customHeight="1">
      <c r="A166" s="587"/>
      <c r="B166" s="587"/>
      <c r="C166" s="587"/>
      <c r="D166" s="587"/>
      <c r="E166" s="587"/>
      <c r="F166" s="587"/>
      <c r="G166" s="587"/>
      <c r="H166" s="587"/>
      <c r="I166" s="587"/>
      <c r="J166" s="587"/>
      <c r="K166" s="587"/>
      <c r="L166" s="587"/>
      <c r="M166" s="587"/>
      <c r="N166" s="587"/>
      <c r="O166" s="587"/>
      <c r="P166" s="587"/>
      <c r="Q166" s="587"/>
      <c r="R166" s="587"/>
      <c r="S166" s="587"/>
      <c r="T166" s="587"/>
      <c r="U166" s="587"/>
      <c r="V166" s="587"/>
      <c r="W166" s="587"/>
      <c r="X166" s="587"/>
      <c r="Y166" s="587"/>
      <c r="Z166" s="587"/>
    </row>
    <row r="167" ht="15.75" customHeight="1">
      <c r="A167" s="587"/>
      <c r="B167" s="587"/>
      <c r="C167" s="587"/>
      <c r="D167" s="587"/>
      <c r="E167" s="587"/>
      <c r="F167" s="587"/>
      <c r="G167" s="587"/>
      <c r="H167" s="587"/>
      <c r="I167" s="587"/>
      <c r="J167" s="587"/>
      <c r="K167" s="587"/>
      <c r="L167" s="587"/>
      <c r="M167" s="587"/>
      <c r="N167" s="587"/>
      <c r="O167" s="587"/>
      <c r="P167" s="587"/>
      <c r="Q167" s="587"/>
      <c r="R167" s="587"/>
      <c r="S167" s="587"/>
      <c r="T167" s="587"/>
      <c r="U167" s="587"/>
      <c r="V167" s="587"/>
      <c r="W167" s="587"/>
      <c r="X167" s="587"/>
      <c r="Y167" s="587"/>
      <c r="Z167" s="587"/>
    </row>
    <row r="168" ht="15.75" customHeight="1">
      <c r="A168" s="587"/>
      <c r="B168" s="587"/>
      <c r="C168" s="587"/>
      <c r="D168" s="587"/>
      <c r="E168" s="587"/>
      <c r="F168" s="587"/>
      <c r="G168" s="587"/>
      <c r="H168" s="587"/>
      <c r="I168" s="587"/>
      <c r="J168" s="587"/>
      <c r="K168" s="587"/>
      <c r="L168" s="587"/>
      <c r="M168" s="587"/>
      <c r="N168" s="587"/>
      <c r="O168" s="587"/>
      <c r="P168" s="587"/>
      <c r="Q168" s="587"/>
      <c r="R168" s="587"/>
      <c r="S168" s="587"/>
      <c r="T168" s="587"/>
      <c r="U168" s="587"/>
      <c r="V168" s="587"/>
      <c r="W168" s="587"/>
      <c r="X168" s="587"/>
      <c r="Y168" s="587"/>
      <c r="Z168" s="587"/>
    </row>
    <row r="169" ht="15.75" customHeight="1">
      <c r="A169" s="587"/>
      <c r="B169" s="587"/>
      <c r="C169" s="587"/>
      <c r="D169" s="587"/>
      <c r="E169" s="587"/>
      <c r="F169" s="587"/>
      <c r="G169" s="587"/>
      <c r="H169" s="587"/>
      <c r="I169" s="587"/>
      <c r="J169" s="587"/>
      <c r="K169" s="587"/>
      <c r="L169" s="587"/>
      <c r="M169" s="587"/>
      <c r="N169" s="587"/>
      <c r="O169" s="587"/>
      <c r="P169" s="587"/>
      <c r="Q169" s="587"/>
      <c r="R169" s="587"/>
      <c r="S169" s="587"/>
      <c r="T169" s="587"/>
      <c r="U169" s="587"/>
      <c r="V169" s="587"/>
      <c r="W169" s="587"/>
      <c r="X169" s="587"/>
      <c r="Y169" s="587"/>
      <c r="Z169" s="587"/>
    </row>
    <row r="170" ht="15.75" customHeight="1">
      <c r="A170" s="587"/>
      <c r="B170" s="587"/>
      <c r="C170" s="587"/>
      <c r="D170" s="587"/>
      <c r="E170" s="587"/>
      <c r="F170" s="587"/>
      <c r="G170" s="587"/>
      <c r="H170" s="587"/>
      <c r="I170" s="587"/>
      <c r="J170" s="587"/>
      <c r="K170" s="587"/>
      <c r="L170" s="587"/>
      <c r="M170" s="587"/>
      <c r="N170" s="587"/>
      <c r="O170" s="587"/>
      <c r="P170" s="587"/>
      <c r="Q170" s="587"/>
      <c r="R170" s="587"/>
      <c r="S170" s="587"/>
      <c r="T170" s="587"/>
      <c r="U170" s="587"/>
      <c r="V170" s="587"/>
      <c r="W170" s="587"/>
      <c r="X170" s="587"/>
      <c r="Y170" s="587"/>
      <c r="Z170" s="587"/>
    </row>
    <row r="171" ht="15.75" customHeight="1">
      <c r="A171" s="587"/>
      <c r="B171" s="587"/>
      <c r="C171" s="587"/>
      <c r="D171" s="587"/>
      <c r="E171" s="587"/>
      <c r="F171" s="587"/>
      <c r="G171" s="587"/>
      <c r="H171" s="587"/>
      <c r="I171" s="587"/>
      <c r="J171" s="587"/>
      <c r="K171" s="587"/>
      <c r="L171" s="587"/>
      <c r="M171" s="587"/>
      <c r="N171" s="587"/>
      <c r="O171" s="587"/>
      <c r="P171" s="587"/>
      <c r="Q171" s="587"/>
      <c r="R171" s="587"/>
      <c r="S171" s="587"/>
      <c r="T171" s="587"/>
      <c r="U171" s="587"/>
      <c r="V171" s="587"/>
      <c r="W171" s="587"/>
      <c r="X171" s="587"/>
      <c r="Y171" s="587"/>
      <c r="Z171" s="587"/>
    </row>
    <row r="172" ht="15.75" customHeight="1">
      <c r="A172" s="587"/>
      <c r="B172" s="587"/>
      <c r="C172" s="587"/>
      <c r="D172" s="587"/>
      <c r="E172" s="587"/>
      <c r="F172" s="587"/>
      <c r="G172" s="587"/>
      <c r="H172" s="587"/>
      <c r="I172" s="587"/>
      <c r="J172" s="587"/>
      <c r="K172" s="587"/>
      <c r="L172" s="587"/>
      <c r="M172" s="587"/>
      <c r="N172" s="587"/>
      <c r="O172" s="587"/>
      <c r="P172" s="587"/>
      <c r="Q172" s="587"/>
      <c r="R172" s="587"/>
      <c r="S172" s="587"/>
      <c r="T172" s="587"/>
      <c r="U172" s="587"/>
      <c r="V172" s="587"/>
      <c r="W172" s="587"/>
      <c r="X172" s="587"/>
      <c r="Y172" s="587"/>
      <c r="Z172" s="587"/>
    </row>
    <row r="173" ht="15.75" customHeight="1">
      <c r="A173" s="587"/>
      <c r="B173" s="587"/>
      <c r="C173" s="587"/>
      <c r="D173" s="587"/>
      <c r="E173" s="587"/>
      <c r="F173" s="587"/>
      <c r="G173" s="587"/>
      <c r="H173" s="587"/>
      <c r="I173" s="587"/>
      <c r="J173" s="587"/>
      <c r="K173" s="587"/>
      <c r="L173" s="587"/>
      <c r="M173" s="587"/>
      <c r="N173" s="587"/>
      <c r="O173" s="587"/>
      <c r="P173" s="587"/>
      <c r="Q173" s="587"/>
      <c r="R173" s="587"/>
      <c r="S173" s="587"/>
      <c r="T173" s="587"/>
      <c r="U173" s="587"/>
      <c r="V173" s="587"/>
      <c r="W173" s="587"/>
      <c r="X173" s="587"/>
      <c r="Y173" s="587"/>
      <c r="Z173" s="587"/>
    </row>
    <row r="174" ht="15.75" customHeight="1">
      <c r="A174" s="587"/>
      <c r="B174" s="587"/>
      <c r="C174" s="587"/>
      <c r="D174" s="587"/>
      <c r="E174" s="587"/>
      <c r="F174" s="587"/>
      <c r="G174" s="587"/>
      <c r="H174" s="587"/>
      <c r="I174" s="587"/>
      <c r="J174" s="587"/>
      <c r="K174" s="587"/>
      <c r="L174" s="587"/>
      <c r="M174" s="587"/>
      <c r="N174" s="587"/>
      <c r="O174" s="587"/>
      <c r="P174" s="587"/>
      <c r="Q174" s="587"/>
      <c r="R174" s="587"/>
      <c r="S174" s="587"/>
      <c r="T174" s="587"/>
      <c r="U174" s="587"/>
      <c r="V174" s="587"/>
      <c r="W174" s="587"/>
      <c r="X174" s="587"/>
      <c r="Y174" s="587"/>
      <c r="Z174" s="587"/>
    </row>
    <row r="175" ht="15.75" customHeight="1">
      <c r="A175" s="587"/>
      <c r="B175" s="587"/>
      <c r="C175" s="587"/>
      <c r="D175" s="587"/>
      <c r="E175" s="587"/>
      <c r="F175" s="587"/>
      <c r="G175" s="587"/>
      <c r="H175" s="587"/>
      <c r="I175" s="587"/>
      <c r="J175" s="587"/>
      <c r="K175" s="587"/>
      <c r="L175" s="587"/>
      <c r="M175" s="587"/>
      <c r="N175" s="587"/>
      <c r="O175" s="587"/>
      <c r="P175" s="587"/>
      <c r="Q175" s="587"/>
      <c r="R175" s="587"/>
      <c r="S175" s="587"/>
      <c r="T175" s="587"/>
      <c r="U175" s="587"/>
      <c r="V175" s="587"/>
      <c r="W175" s="587"/>
      <c r="X175" s="587"/>
      <c r="Y175" s="587"/>
      <c r="Z175" s="587"/>
    </row>
    <row r="176" ht="15.75" customHeight="1">
      <c r="A176" s="587"/>
      <c r="B176" s="587"/>
      <c r="C176" s="587"/>
      <c r="D176" s="587"/>
      <c r="E176" s="587"/>
      <c r="F176" s="587"/>
      <c r="G176" s="587"/>
      <c r="H176" s="587"/>
      <c r="I176" s="587"/>
      <c r="J176" s="587"/>
      <c r="K176" s="587"/>
      <c r="L176" s="587"/>
      <c r="M176" s="587"/>
      <c r="N176" s="587"/>
      <c r="O176" s="587"/>
      <c r="P176" s="587"/>
      <c r="Q176" s="587"/>
      <c r="R176" s="587"/>
      <c r="S176" s="587"/>
      <c r="T176" s="587"/>
      <c r="U176" s="587"/>
      <c r="V176" s="587"/>
      <c r="W176" s="587"/>
      <c r="X176" s="587"/>
      <c r="Y176" s="587"/>
      <c r="Z176" s="587"/>
    </row>
    <row r="177" ht="15.75" customHeight="1">
      <c r="A177" s="587"/>
      <c r="B177" s="587"/>
      <c r="C177" s="587"/>
      <c r="D177" s="587"/>
      <c r="E177" s="587"/>
      <c r="F177" s="587"/>
      <c r="G177" s="587"/>
      <c r="H177" s="587"/>
      <c r="I177" s="587"/>
      <c r="J177" s="587"/>
      <c r="K177" s="587"/>
      <c r="L177" s="587"/>
      <c r="M177" s="587"/>
      <c r="N177" s="587"/>
      <c r="O177" s="587"/>
      <c r="P177" s="587"/>
      <c r="Q177" s="587"/>
      <c r="R177" s="587"/>
      <c r="S177" s="587"/>
      <c r="T177" s="587"/>
      <c r="U177" s="587"/>
      <c r="V177" s="587"/>
      <c r="W177" s="587"/>
      <c r="X177" s="587"/>
      <c r="Y177" s="587"/>
      <c r="Z177" s="587"/>
    </row>
    <row r="178" ht="15.75" customHeight="1">
      <c r="A178" s="587"/>
      <c r="B178" s="587"/>
      <c r="C178" s="587"/>
      <c r="D178" s="587"/>
      <c r="E178" s="587"/>
      <c r="F178" s="587"/>
      <c r="G178" s="587"/>
      <c r="H178" s="587"/>
      <c r="I178" s="587"/>
      <c r="J178" s="587"/>
      <c r="K178" s="587"/>
      <c r="L178" s="587"/>
      <c r="M178" s="587"/>
      <c r="N178" s="587"/>
      <c r="O178" s="587"/>
      <c r="P178" s="587"/>
      <c r="Q178" s="587"/>
      <c r="R178" s="587"/>
      <c r="S178" s="587"/>
      <c r="T178" s="587"/>
      <c r="U178" s="587"/>
      <c r="V178" s="587"/>
      <c r="W178" s="587"/>
      <c r="X178" s="587"/>
      <c r="Y178" s="587"/>
      <c r="Z178" s="587"/>
    </row>
    <row r="179" ht="15.75" customHeight="1">
      <c r="A179" s="587"/>
      <c r="B179" s="587"/>
      <c r="C179" s="587"/>
      <c r="D179" s="587"/>
      <c r="E179" s="587"/>
      <c r="F179" s="587"/>
      <c r="G179" s="587"/>
      <c r="H179" s="587"/>
      <c r="I179" s="587"/>
      <c r="J179" s="587"/>
      <c r="K179" s="587"/>
      <c r="L179" s="587"/>
      <c r="M179" s="587"/>
      <c r="N179" s="587"/>
      <c r="O179" s="587"/>
      <c r="P179" s="587"/>
      <c r="Q179" s="587"/>
      <c r="R179" s="587"/>
      <c r="S179" s="587"/>
      <c r="T179" s="587"/>
      <c r="U179" s="587"/>
      <c r="V179" s="587"/>
      <c r="W179" s="587"/>
      <c r="X179" s="587"/>
      <c r="Y179" s="587"/>
      <c r="Z179" s="587"/>
    </row>
    <row r="180" ht="15.75" customHeight="1">
      <c r="A180" s="587"/>
      <c r="B180" s="587"/>
      <c r="C180" s="587"/>
      <c r="D180" s="587"/>
      <c r="E180" s="587"/>
      <c r="F180" s="587"/>
      <c r="G180" s="587"/>
      <c r="H180" s="587"/>
      <c r="I180" s="587"/>
      <c r="J180" s="587"/>
      <c r="K180" s="587"/>
      <c r="L180" s="587"/>
      <c r="M180" s="587"/>
      <c r="N180" s="587"/>
      <c r="O180" s="587"/>
      <c r="P180" s="587"/>
      <c r="Q180" s="587"/>
      <c r="R180" s="587"/>
      <c r="S180" s="587"/>
      <c r="T180" s="587"/>
      <c r="U180" s="587"/>
      <c r="V180" s="587"/>
      <c r="W180" s="587"/>
      <c r="X180" s="587"/>
      <c r="Y180" s="587"/>
      <c r="Z180" s="587"/>
    </row>
    <row r="181" ht="15.75" customHeight="1">
      <c r="A181" s="587"/>
      <c r="B181" s="587"/>
      <c r="C181" s="587"/>
      <c r="D181" s="587"/>
      <c r="E181" s="587"/>
      <c r="F181" s="587"/>
      <c r="G181" s="587"/>
      <c r="H181" s="587"/>
      <c r="I181" s="587"/>
      <c r="J181" s="587"/>
      <c r="K181" s="587"/>
      <c r="L181" s="587"/>
      <c r="M181" s="587"/>
      <c r="N181" s="587"/>
      <c r="O181" s="587"/>
      <c r="P181" s="587"/>
      <c r="Q181" s="587"/>
      <c r="R181" s="587"/>
      <c r="S181" s="587"/>
      <c r="T181" s="587"/>
      <c r="U181" s="587"/>
      <c r="V181" s="587"/>
      <c r="W181" s="587"/>
      <c r="X181" s="587"/>
      <c r="Y181" s="587"/>
      <c r="Z181" s="587"/>
    </row>
    <row r="182" ht="15.75" customHeight="1">
      <c r="A182" s="587"/>
      <c r="B182" s="587"/>
      <c r="C182" s="587"/>
      <c r="D182" s="587"/>
      <c r="E182" s="587"/>
      <c r="F182" s="587"/>
      <c r="G182" s="587"/>
      <c r="H182" s="587"/>
      <c r="I182" s="587"/>
      <c r="J182" s="587"/>
      <c r="K182" s="587"/>
      <c r="L182" s="587"/>
      <c r="M182" s="587"/>
      <c r="N182" s="587"/>
      <c r="O182" s="587"/>
      <c r="P182" s="587"/>
      <c r="Q182" s="587"/>
      <c r="R182" s="587"/>
      <c r="S182" s="587"/>
      <c r="T182" s="587"/>
      <c r="U182" s="587"/>
      <c r="V182" s="587"/>
      <c r="W182" s="587"/>
      <c r="X182" s="587"/>
      <c r="Y182" s="587"/>
      <c r="Z182" s="587"/>
    </row>
    <row r="183" ht="15.75" customHeight="1">
      <c r="A183" s="587"/>
      <c r="B183" s="587"/>
      <c r="C183" s="587"/>
      <c r="D183" s="587"/>
      <c r="E183" s="587"/>
      <c r="F183" s="587"/>
      <c r="G183" s="587"/>
      <c r="H183" s="587"/>
      <c r="I183" s="587"/>
      <c r="J183" s="587"/>
      <c r="K183" s="587"/>
      <c r="L183" s="587"/>
      <c r="M183" s="587"/>
      <c r="N183" s="587"/>
      <c r="O183" s="587"/>
      <c r="P183" s="587"/>
      <c r="Q183" s="587"/>
      <c r="R183" s="587"/>
      <c r="S183" s="587"/>
      <c r="T183" s="587"/>
      <c r="U183" s="587"/>
      <c r="V183" s="587"/>
      <c r="W183" s="587"/>
      <c r="X183" s="587"/>
      <c r="Y183" s="587"/>
      <c r="Z183" s="587"/>
    </row>
    <row r="184" ht="15.75" customHeight="1">
      <c r="A184" s="587"/>
      <c r="B184" s="587"/>
      <c r="C184" s="587"/>
      <c r="D184" s="587"/>
      <c r="E184" s="587"/>
      <c r="F184" s="587"/>
      <c r="G184" s="587"/>
      <c r="H184" s="587"/>
      <c r="I184" s="587"/>
      <c r="J184" s="587"/>
      <c r="K184" s="587"/>
      <c r="L184" s="587"/>
      <c r="M184" s="587"/>
      <c r="N184" s="587"/>
      <c r="O184" s="587"/>
      <c r="P184" s="587"/>
      <c r="Q184" s="587"/>
      <c r="R184" s="587"/>
      <c r="S184" s="587"/>
      <c r="T184" s="587"/>
      <c r="U184" s="587"/>
      <c r="V184" s="587"/>
      <c r="W184" s="587"/>
      <c r="X184" s="587"/>
      <c r="Y184" s="587"/>
      <c r="Z184" s="587"/>
    </row>
    <row r="185" ht="15.75" customHeight="1">
      <c r="A185" s="587"/>
      <c r="B185" s="587"/>
      <c r="C185" s="587"/>
      <c r="D185" s="587"/>
      <c r="E185" s="587"/>
      <c r="F185" s="587"/>
      <c r="G185" s="587"/>
      <c r="H185" s="587"/>
      <c r="I185" s="587"/>
      <c r="J185" s="587"/>
      <c r="K185" s="587"/>
      <c r="L185" s="587"/>
      <c r="M185" s="587"/>
      <c r="N185" s="587"/>
      <c r="O185" s="587"/>
      <c r="P185" s="587"/>
      <c r="Q185" s="587"/>
      <c r="R185" s="587"/>
      <c r="S185" s="587"/>
      <c r="T185" s="587"/>
      <c r="U185" s="587"/>
      <c r="V185" s="587"/>
      <c r="W185" s="587"/>
      <c r="X185" s="587"/>
      <c r="Y185" s="587"/>
      <c r="Z185" s="587"/>
    </row>
    <row r="186" ht="15.75" customHeight="1">
      <c r="A186" s="587"/>
      <c r="B186" s="587"/>
      <c r="C186" s="587"/>
      <c r="D186" s="587"/>
      <c r="E186" s="587"/>
      <c r="F186" s="587"/>
      <c r="G186" s="587"/>
      <c r="H186" s="587"/>
      <c r="I186" s="587"/>
      <c r="J186" s="587"/>
      <c r="K186" s="587"/>
      <c r="L186" s="587"/>
      <c r="M186" s="587"/>
      <c r="N186" s="587"/>
      <c r="O186" s="587"/>
      <c r="P186" s="587"/>
      <c r="Q186" s="587"/>
      <c r="R186" s="587"/>
      <c r="S186" s="587"/>
      <c r="T186" s="587"/>
      <c r="U186" s="587"/>
      <c r="V186" s="587"/>
      <c r="W186" s="587"/>
      <c r="X186" s="587"/>
      <c r="Y186" s="587"/>
      <c r="Z186" s="587"/>
    </row>
    <row r="187" ht="15.75" customHeight="1">
      <c r="A187" s="587"/>
      <c r="B187" s="587"/>
      <c r="C187" s="587"/>
      <c r="D187" s="587"/>
      <c r="E187" s="587"/>
      <c r="F187" s="587"/>
      <c r="G187" s="587"/>
      <c r="H187" s="587"/>
      <c r="I187" s="587"/>
      <c r="J187" s="587"/>
      <c r="K187" s="587"/>
      <c r="L187" s="587"/>
      <c r="M187" s="587"/>
      <c r="N187" s="587"/>
      <c r="O187" s="587"/>
      <c r="P187" s="587"/>
      <c r="Q187" s="587"/>
      <c r="R187" s="587"/>
      <c r="S187" s="587"/>
      <c r="T187" s="587"/>
      <c r="U187" s="587"/>
      <c r="V187" s="587"/>
      <c r="W187" s="587"/>
      <c r="X187" s="587"/>
      <c r="Y187" s="587"/>
      <c r="Z187" s="587"/>
    </row>
    <row r="188" ht="15.75" customHeight="1">
      <c r="A188" s="587"/>
      <c r="B188" s="587"/>
      <c r="C188" s="587"/>
      <c r="D188" s="587"/>
      <c r="E188" s="587"/>
      <c r="F188" s="587"/>
      <c r="G188" s="587"/>
      <c r="H188" s="587"/>
      <c r="I188" s="587"/>
      <c r="J188" s="587"/>
      <c r="K188" s="587"/>
      <c r="L188" s="587"/>
      <c r="M188" s="587"/>
      <c r="N188" s="587"/>
      <c r="O188" s="587"/>
      <c r="P188" s="587"/>
      <c r="Q188" s="587"/>
      <c r="R188" s="587"/>
      <c r="S188" s="587"/>
      <c r="T188" s="587"/>
      <c r="U188" s="587"/>
      <c r="V188" s="587"/>
      <c r="W188" s="587"/>
      <c r="X188" s="587"/>
      <c r="Y188" s="587"/>
      <c r="Z188" s="587"/>
    </row>
    <row r="189" ht="15.75" customHeight="1">
      <c r="A189" s="587"/>
      <c r="B189" s="587"/>
      <c r="C189" s="587"/>
      <c r="D189" s="587"/>
      <c r="E189" s="587"/>
      <c r="F189" s="587"/>
      <c r="G189" s="587"/>
      <c r="H189" s="587"/>
      <c r="I189" s="587"/>
      <c r="J189" s="587"/>
      <c r="K189" s="587"/>
      <c r="L189" s="587"/>
      <c r="M189" s="587"/>
      <c r="N189" s="587"/>
      <c r="O189" s="587"/>
      <c r="P189" s="587"/>
      <c r="Q189" s="587"/>
      <c r="R189" s="587"/>
      <c r="S189" s="587"/>
      <c r="T189" s="587"/>
      <c r="U189" s="587"/>
      <c r="V189" s="587"/>
      <c r="W189" s="587"/>
      <c r="X189" s="587"/>
      <c r="Y189" s="587"/>
      <c r="Z189" s="587"/>
    </row>
    <row r="190" ht="15.75" customHeight="1">
      <c r="A190" s="587"/>
      <c r="B190" s="587"/>
      <c r="C190" s="587"/>
      <c r="D190" s="587"/>
      <c r="E190" s="587"/>
      <c r="F190" s="587"/>
      <c r="G190" s="587"/>
      <c r="H190" s="587"/>
      <c r="I190" s="587"/>
      <c r="J190" s="587"/>
      <c r="K190" s="587"/>
      <c r="L190" s="587"/>
      <c r="M190" s="587"/>
      <c r="N190" s="587"/>
      <c r="O190" s="587"/>
      <c r="P190" s="587"/>
      <c r="Q190" s="587"/>
      <c r="R190" s="587"/>
      <c r="S190" s="587"/>
      <c r="T190" s="587"/>
      <c r="U190" s="587"/>
      <c r="V190" s="587"/>
      <c r="W190" s="587"/>
      <c r="X190" s="587"/>
      <c r="Y190" s="587"/>
      <c r="Z190" s="587"/>
    </row>
    <row r="191" ht="15.75" customHeight="1">
      <c r="A191" s="587"/>
      <c r="B191" s="587"/>
      <c r="C191" s="587"/>
      <c r="D191" s="587"/>
      <c r="E191" s="587"/>
      <c r="F191" s="587"/>
      <c r="G191" s="587"/>
      <c r="H191" s="587"/>
      <c r="I191" s="587"/>
      <c r="J191" s="587"/>
      <c r="K191" s="587"/>
      <c r="L191" s="587"/>
      <c r="M191" s="587"/>
      <c r="N191" s="587"/>
      <c r="O191" s="587"/>
      <c r="P191" s="587"/>
      <c r="Q191" s="587"/>
      <c r="R191" s="587"/>
      <c r="S191" s="587"/>
      <c r="T191" s="587"/>
      <c r="U191" s="587"/>
      <c r="V191" s="587"/>
      <c r="W191" s="587"/>
      <c r="X191" s="587"/>
      <c r="Y191" s="587"/>
      <c r="Z191" s="587"/>
    </row>
    <row r="192" ht="15.75" customHeight="1">
      <c r="A192" s="587"/>
      <c r="B192" s="587"/>
      <c r="C192" s="587"/>
      <c r="D192" s="587"/>
      <c r="E192" s="587"/>
      <c r="F192" s="587"/>
      <c r="G192" s="587"/>
      <c r="H192" s="587"/>
      <c r="I192" s="587"/>
      <c r="J192" s="587"/>
      <c r="K192" s="587"/>
      <c r="L192" s="587"/>
      <c r="M192" s="587"/>
      <c r="N192" s="587"/>
      <c r="O192" s="587"/>
      <c r="P192" s="587"/>
      <c r="Q192" s="587"/>
      <c r="R192" s="587"/>
      <c r="S192" s="587"/>
      <c r="T192" s="587"/>
      <c r="U192" s="587"/>
      <c r="V192" s="587"/>
      <c r="W192" s="587"/>
      <c r="X192" s="587"/>
      <c r="Y192" s="587"/>
      <c r="Z192" s="587"/>
    </row>
    <row r="193" ht="15.75" customHeight="1">
      <c r="A193" s="587"/>
      <c r="B193" s="587"/>
      <c r="C193" s="587"/>
      <c r="D193" s="587"/>
      <c r="E193" s="587"/>
      <c r="F193" s="587"/>
      <c r="G193" s="587"/>
      <c r="H193" s="587"/>
      <c r="I193" s="587"/>
      <c r="J193" s="587"/>
      <c r="K193" s="587"/>
      <c r="L193" s="587"/>
      <c r="M193" s="587"/>
      <c r="N193" s="587"/>
      <c r="O193" s="587"/>
      <c r="P193" s="587"/>
      <c r="Q193" s="587"/>
      <c r="R193" s="587"/>
      <c r="S193" s="587"/>
      <c r="T193" s="587"/>
      <c r="U193" s="587"/>
      <c r="V193" s="587"/>
      <c r="W193" s="587"/>
      <c r="X193" s="587"/>
      <c r="Y193" s="587"/>
      <c r="Z193" s="587"/>
    </row>
    <row r="194" ht="15.75" customHeight="1">
      <c r="A194" s="587"/>
      <c r="B194" s="587"/>
      <c r="C194" s="587"/>
      <c r="D194" s="587"/>
      <c r="E194" s="587"/>
      <c r="F194" s="587"/>
      <c r="G194" s="587"/>
      <c r="H194" s="587"/>
      <c r="I194" s="587"/>
      <c r="J194" s="587"/>
      <c r="K194" s="587"/>
      <c r="L194" s="587"/>
      <c r="M194" s="587"/>
      <c r="N194" s="587"/>
      <c r="O194" s="587"/>
      <c r="P194" s="587"/>
      <c r="Q194" s="587"/>
      <c r="R194" s="587"/>
      <c r="S194" s="587"/>
      <c r="T194" s="587"/>
      <c r="U194" s="587"/>
      <c r="V194" s="587"/>
      <c r="W194" s="587"/>
      <c r="X194" s="587"/>
      <c r="Y194" s="587"/>
      <c r="Z194" s="587"/>
    </row>
    <row r="195" ht="15.75" customHeight="1">
      <c r="A195" s="587"/>
      <c r="B195" s="587"/>
      <c r="C195" s="587"/>
      <c r="D195" s="587"/>
      <c r="E195" s="587"/>
      <c r="F195" s="587"/>
      <c r="G195" s="587"/>
      <c r="H195" s="587"/>
      <c r="I195" s="587"/>
      <c r="J195" s="587"/>
      <c r="K195" s="587"/>
      <c r="L195" s="587"/>
      <c r="M195" s="587"/>
      <c r="N195" s="587"/>
      <c r="O195" s="587"/>
      <c r="P195" s="587"/>
      <c r="Q195" s="587"/>
      <c r="R195" s="587"/>
      <c r="S195" s="587"/>
      <c r="T195" s="587"/>
      <c r="U195" s="587"/>
      <c r="V195" s="587"/>
      <c r="W195" s="587"/>
      <c r="X195" s="587"/>
      <c r="Y195" s="587"/>
      <c r="Z195" s="587"/>
    </row>
    <row r="196" ht="15.75" customHeight="1">
      <c r="A196" s="587"/>
      <c r="B196" s="587"/>
      <c r="C196" s="587"/>
      <c r="D196" s="587"/>
      <c r="E196" s="587"/>
      <c r="F196" s="587"/>
      <c r="G196" s="587"/>
      <c r="H196" s="587"/>
      <c r="I196" s="587"/>
      <c r="J196" s="587"/>
      <c r="K196" s="587"/>
      <c r="L196" s="587"/>
      <c r="M196" s="587"/>
      <c r="N196" s="587"/>
      <c r="O196" s="587"/>
      <c r="P196" s="587"/>
      <c r="Q196" s="587"/>
      <c r="R196" s="587"/>
      <c r="S196" s="587"/>
      <c r="T196" s="587"/>
      <c r="U196" s="587"/>
      <c r="V196" s="587"/>
      <c r="W196" s="587"/>
      <c r="X196" s="587"/>
      <c r="Y196" s="587"/>
      <c r="Z196" s="587"/>
    </row>
    <row r="197" ht="15.75" customHeight="1">
      <c r="A197" s="587"/>
      <c r="B197" s="587"/>
      <c r="C197" s="587"/>
      <c r="D197" s="587"/>
      <c r="E197" s="587"/>
      <c r="F197" s="587"/>
      <c r="G197" s="587"/>
      <c r="H197" s="587"/>
      <c r="I197" s="587"/>
      <c r="J197" s="587"/>
      <c r="K197" s="587"/>
      <c r="L197" s="587"/>
      <c r="M197" s="587"/>
      <c r="N197" s="587"/>
      <c r="O197" s="587"/>
      <c r="P197" s="587"/>
      <c r="Q197" s="587"/>
      <c r="R197" s="587"/>
      <c r="S197" s="587"/>
      <c r="T197" s="587"/>
      <c r="U197" s="587"/>
      <c r="V197" s="587"/>
      <c r="W197" s="587"/>
      <c r="X197" s="587"/>
      <c r="Y197" s="587"/>
      <c r="Z197" s="587"/>
    </row>
    <row r="198" ht="15.75" customHeight="1">
      <c r="A198" s="587"/>
      <c r="B198" s="587"/>
      <c r="C198" s="587"/>
      <c r="D198" s="587"/>
      <c r="E198" s="587"/>
      <c r="F198" s="587"/>
      <c r="G198" s="587"/>
      <c r="H198" s="587"/>
      <c r="I198" s="587"/>
      <c r="J198" s="587"/>
      <c r="K198" s="587"/>
      <c r="L198" s="587"/>
      <c r="M198" s="587"/>
      <c r="N198" s="587"/>
      <c r="O198" s="587"/>
      <c r="P198" s="587"/>
      <c r="Q198" s="587"/>
      <c r="R198" s="587"/>
      <c r="S198" s="587"/>
      <c r="T198" s="587"/>
      <c r="U198" s="587"/>
      <c r="V198" s="587"/>
      <c r="W198" s="587"/>
      <c r="X198" s="587"/>
      <c r="Y198" s="587"/>
      <c r="Z198" s="587"/>
    </row>
    <row r="199" ht="15.75" customHeight="1">
      <c r="A199" s="587"/>
      <c r="B199" s="587"/>
      <c r="C199" s="587"/>
      <c r="D199" s="587"/>
      <c r="E199" s="587"/>
      <c r="F199" s="587"/>
      <c r="G199" s="587"/>
      <c r="H199" s="587"/>
      <c r="I199" s="587"/>
      <c r="J199" s="587"/>
      <c r="K199" s="587"/>
      <c r="L199" s="587"/>
      <c r="M199" s="587"/>
      <c r="N199" s="587"/>
      <c r="O199" s="587"/>
      <c r="P199" s="587"/>
      <c r="Q199" s="587"/>
      <c r="R199" s="587"/>
      <c r="S199" s="587"/>
      <c r="T199" s="587"/>
      <c r="U199" s="587"/>
      <c r="V199" s="587"/>
      <c r="W199" s="587"/>
      <c r="X199" s="587"/>
      <c r="Y199" s="587"/>
      <c r="Z199" s="587"/>
    </row>
    <row r="200" ht="15.75" customHeight="1">
      <c r="A200" s="587"/>
      <c r="B200" s="587"/>
      <c r="C200" s="587"/>
      <c r="D200" s="587"/>
      <c r="E200" s="587"/>
      <c r="F200" s="587"/>
      <c r="G200" s="587"/>
      <c r="H200" s="587"/>
      <c r="I200" s="587"/>
      <c r="J200" s="587"/>
      <c r="K200" s="587"/>
      <c r="L200" s="587"/>
      <c r="M200" s="587"/>
      <c r="N200" s="587"/>
      <c r="O200" s="587"/>
      <c r="P200" s="587"/>
      <c r="Q200" s="587"/>
      <c r="R200" s="587"/>
      <c r="S200" s="587"/>
      <c r="T200" s="587"/>
      <c r="U200" s="587"/>
      <c r="V200" s="587"/>
      <c r="W200" s="587"/>
      <c r="X200" s="587"/>
      <c r="Y200" s="587"/>
      <c r="Z200" s="587"/>
    </row>
    <row r="201" ht="15.75" customHeight="1">
      <c r="A201" s="587"/>
      <c r="B201" s="587"/>
      <c r="C201" s="587"/>
      <c r="D201" s="587"/>
      <c r="E201" s="587"/>
      <c r="F201" s="587"/>
      <c r="G201" s="587"/>
      <c r="H201" s="587"/>
      <c r="I201" s="587"/>
      <c r="J201" s="587"/>
      <c r="K201" s="587"/>
      <c r="L201" s="587"/>
      <c r="M201" s="587"/>
      <c r="N201" s="587"/>
      <c r="O201" s="587"/>
      <c r="P201" s="587"/>
      <c r="Q201" s="587"/>
      <c r="R201" s="587"/>
      <c r="S201" s="587"/>
      <c r="T201" s="587"/>
      <c r="U201" s="587"/>
      <c r="V201" s="587"/>
      <c r="W201" s="587"/>
      <c r="X201" s="587"/>
      <c r="Y201" s="587"/>
      <c r="Z201" s="587"/>
    </row>
    <row r="202" ht="15.75" customHeight="1">
      <c r="A202" s="587"/>
      <c r="B202" s="587"/>
      <c r="C202" s="587"/>
      <c r="D202" s="587"/>
      <c r="E202" s="587"/>
      <c r="F202" s="587"/>
      <c r="G202" s="587"/>
      <c r="H202" s="587"/>
      <c r="I202" s="587"/>
      <c r="J202" s="587"/>
      <c r="K202" s="587"/>
      <c r="L202" s="587"/>
      <c r="M202" s="587"/>
      <c r="N202" s="587"/>
      <c r="O202" s="587"/>
      <c r="P202" s="587"/>
      <c r="Q202" s="587"/>
      <c r="R202" s="587"/>
      <c r="S202" s="587"/>
      <c r="T202" s="587"/>
      <c r="U202" s="587"/>
      <c r="V202" s="587"/>
      <c r="W202" s="587"/>
      <c r="X202" s="587"/>
      <c r="Y202" s="587"/>
      <c r="Z202" s="587"/>
    </row>
    <row r="203" ht="15.75" customHeight="1">
      <c r="A203" s="587"/>
      <c r="B203" s="587"/>
      <c r="C203" s="587"/>
      <c r="D203" s="587"/>
      <c r="E203" s="587"/>
      <c r="F203" s="587"/>
      <c r="G203" s="587"/>
      <c r="H203" s="587"/>
      <c r="I203" s="587"/>
      <c r="J203" s="587"/>
      <c r="K203" s="587"/>
      <c r="L203" s="587"/>
      <c r="M203" s="587"/>
      <c r="N203" s="587"/>
      <c r="O203" s="587"/>
      <c r="P203" s="587"/>
      <c r="Q203" s="587"/>
      <c r="R203" s="587"/>
      <c r="S203" s="587"/>
      <c r="T203" s="587"/>
      <c r="U203" s="587"/>
      <c r="V203" s="587"/>
      <c r="W203" s="587"/>
      <c r="X203" s="587"/>
      <c r="Y203" s="587"/>
      <c r="Z203" s="587"/>
    </row>
    <row r="204" ht="15.75" customHeight="1">
      <c r="A204" s="587"/>
      <c r="B204" s="587"/>
      <c r="C204" s="587"/>
      <c r="D204" s="587"/>
      <c r="E204" s="587"/>
      <c r="F204" s="587"/>
      <c r="G204" s="587"/>
      <c r="H204" s="587"/>
      <c r="I204" s="587"/>
      <c r="J204" s="587"/>
      <c r="K204" s="587"/>
      <c r="L204" s="587"/>
      <c r="M204" s="587"/>
      <c r="N204" s="587"/>
      <c r="O204" s="587"/>
      <c r="P204" s="587"/>
      <c r="Q204" s="587"/>
      <c r="R204" s="587"/>
      <c r="S204" s="587"/>
      <c r="T204" s="587"/>
      <c r="U204" s="587"/>
      <c r="V204" s="587"/>
      <c r="W204" s="587"/>
      <c r="X204" s="587"/>
      <c r="Y204" s="587"/>
      <c r="Z204" s="587"/>
    </row>
    <row r="205" ht="15.75" customHeight="1">
      <c r="A205" s="587"/>
      <c r="B205" s="587"/>
      <c r="C205" s="587"/>
      <c r="D205" s="587"/>
      <c r="E205" s="587"/>
      <c r="F205" s="587"/>
      <c r="G205" s="587"/>
      <c r="H205" s="587"/>
      <c r="I205" s="587"/>
      <c r="J205" s="587"/>
      <c r="K205" s="587"/>
      <c r="L205" s="587"/>
      <c r="M205" s="587"/>
      <c r="N205" s="587"/>
      <c r="O205" s="587"/>
      <c r="P205" s="587"/>
      <c r="Q205" s="587"/>
      <c r="R205" s="587"/>
      <c r="S205" s="587"/>
      <c r="T205" s="587"/>
      <c r="U205" s="587"/>
      <c r="V205" s="587"/>
      <c r="W205" s="587"/>
      <c r="X205" s="587"/>
      <c r="Y205" s="587"/>
      <c r="Z205" s="587"/>
    </row>
    <row r="206" ht="15.75" customHeight="1">
      <c r="A206" s="587"/>
      <c r="B206" s="587"/>
      <c r="C206" s="587"/>
      <c r="D206" s="587"/>
      <c r="E206" s="587"/>
      <c r="F206" s="587"/>
      <c r="G206" s="587"/>
      <c r="H206" s="587"/>
      <c r="I206" s="587"/>
      <c r="J206" s="587"/>
      <c r="K206" s="587"/>
      <c r="L206" s="587"/>
      <c r="M206" s="587"/>
      <c r="N206" s="587"/>
      <c r="O206" s="587"/>
      <c r="P206" s="587"/>
      <c r="Q206" s="587"/>
      <c r="R206" s="587"/>
      <c r="S206" s="587"/>
      <c r="T206" s="587"/>
      <c r="U206" s="587"/>
      <c r="V206" s="587"/>
      <c r="W206" s="587"/>
      <c r="X206" s="587"/>
      <c r="Y206" s="587"/>
      <c r="Z206" s="587"/>
    </row>
    <row r="207" ht="15.75" customHeight="1">
      <c r="A207" s="587"/>
      <c r="B207" s="587"/>
      <c r="C207" s="587"/>
      <c r="D207" s="587"/>
      <c r="E207" s="587"/>
      <c r="F207" s="587"/>
      <c r="G207" s="587"/>
      <c r="H207" s="587"/>
      <c r="I207" s="587"/>
      <c r="J207" s="587"/>
      <c r="K207" s="587"/>
      <c r="L207" s="587"/>
      <c r="M207" s="587"/>
      <c r="N207" s="587"/>
      <c r="O207" s="587"/>
      <c r="P207" s="587"/>
      <c r="Q207" s="587"/>
      <c r="R207" s="587"/>
      <c r="S207" s="587"/>
      <c r="T207" s="587"/>
      <c r="U207" s="587"/>
      <c r="V207" s="587"/>
      <c r="W207" s="587"/>
      <c r="X207" s="587"/>
      <c r="Y207" s="587"/>
      <c r="Z207" s="587"/>
    </row>
    <row r="208" ht="15.75" customHeight="1">
      <c r="A208" s="587"/>
      <c r="B208" s="587"/>
      <c r="C208" s="587"/>
      <c r="D208" s="587"/>
      <c r="E208" s="587"/>
      <c r="F208" s="587"/>
      <c r="G208" s="587"/>
      <c r="H208" s="587"/>
      <c r="I208" s="587"/>
      <c r="J208" s="587"/>
      <c r="K208" s="587"/>
      <c r="L208" s="587"/>
      <c r="M208" s="587"/>
      <c r="N208" s="587"/>
      <c r="O208" s="587"/>
      <c r="P208" s="587"/>
      <c r="Q208" s="587"/>
      <c r="R208" s="587"/>
      <c r="S208" s="587"/>
      <c r="T208" s="587"/>
      <c r="U208" s="587"/>
      <c r="V208" s="587"/>
      <c r="W208" s="587"/>
      <c r="X208" s="587"/>
      <c r="Y208" s="587"/>
      <c r="Z208" s="587"/>
    </row>
    <row r="209" ht="15.75" customHeight="1">
      <c r="A209" s="587"/>
      <c r="B209" s="587"/>
      <c r="C209" s="587"/>
      <c r="D209" s="587"/>
      <c r="E209" s="587"/>
      <c r="F209" s="587"/>
      <c r="G209" s="587"/>
      <c r="H209" s="587"/>
      <c r="I209" s="587"/>
      <c r="J209" s="587"/>
      <c r="K209" s="587"/>
      <c r="L209" s="587"/>
      <c r="M209" s="587"/>
      <c r="N209" s="587"/>
      <c r="O209" s="587"/>
      <c r="P209" s="587"/>
      <c r="Q209" s="587"/>
      <c r="R209" s="587"/>
      <c r="S209" s="587"/>
      <c r="T209" s="587"/>
      <c r="U209" s="587"/>
      <c r="V209" s="587"/>
      <c r="W209" s="587"/>
      <c r="X209" s="587"/>
      <c r="Y209" s="587"/>
      <c r="Z209" s="587"/>
    </row>
    <row r="210" ht="15.75" customHeight="1">
      <c r="A210" s="587"/>
      <c r="B210" s="587"/>
      <c r="C210" s="587"/>
      <c r="D210" s="587"/>
      <c r="E210" s="587"/>
      <c r="F210" s="587"/>
      <c r="G210" s="587"/>
      <c r="H210" s="587"/>
      <c r="I210" s="587"/>
      <c r="J210" s="587"/>
      <c r="K210" s="587"/>
      <c r="L210" s="587"/>
      <c r="M210" s="587"/>
      <c r="N210" s="587"/>
      <c r="O210" s="587"/>
      <c r="P210" s="587"/>
      <c r="Q210" s="587"/>
      <c r="R210" s="587"/>
      <c r="S210" s="587"/>
      <c r="T210" s="587"/>
      <c r="U210" s="587"/>
      <c r="V210" s="587"/>
      <c r="W210" s="587"/>
      <c r="X210" s="587"/>
      <c r="Y210" s="587"/>
      <c r="Z210" s="587"/>
    </row>
    <row r="211" ht="15.75" customHeight="1">
      <c r="A211" s="587"/>
      <c r="B211" s="587"/>
      <c r="C211" s="587"/>
      <c r="D211" s="587"/>
      <c r="E211" s="587"/>
      <c r="F211" s="587"/>
      <c r="G211" s="587"/>
      <c r="H211" s="587"/>
      <c r="I211" s="587"/>
      <c r="J211" s="587"/>
      <c r="K211" s="587"/>
      <c r="L211" s="587"/>
      <c r="M211" s="587"/>
      <c r="N211" s="587"/>
      <c r="O211" s="587"/>
      <c r="P211" s="587"/>
      <c r="Q211" s="587"/>
      <c r="R211" s="587"/>
      <c r="S211" s="587"/>
      <c r="T211" s="587"/>
      <c r="U211" s="587"/>
      <c r="V211" s="587"/>
      <c r="W211" s="587"/>
      <c r="X211" s="587"/>
      <c r="Y211" s="587"/>
      <c r="Z211" s="587"/>
    </row>
    <row r="212" ht="15.75" customHeight="1">
      <c r="A212" s="587"/>
      <c r="B212" s="587"/>
      <c r="C212" s="587"/>
      <c r="D212" s="587"/>
      <c r="E212" s="587"/>
      <c r="F212" s="587"/>
      <c r="G212" s="587"/>
      <c r="H212" s="587"/>
      <c r="I212" s="587"/>
      <c r="J212" s="587"/>
      <c r="K212" s="587"/>
      <c r="L212" s="587"/>
      <c r="M212" s="587"/>
      <c r="N212" s="587"/>
      <c r="O212" s="587"/>
      <c r="P212" s="587"/>
      <c r="Q212" s="587"/>
      <c r="R212" s="587"/>
      <c r="S212" s="587"/>
      <c r="T212" s="587"/>
      <c r="U212" s="587"/>
      <c r="V212" s="587"/>
      <c r="W212" s="587"/>
      <c r="X212" s="587"/>
      <c r="Y212" s="587"/>
      <c r="Z212" s="587"/>
    </row>
    <row r="213" ht="15.75" customHeight="1">
      <c r="A213" s="587"/>
      <c r="B213" s="587"/>
      <c r="C213" s="587"/>
      <c r="D213" s="587"/>
      <c r="E213" s="587"/>
      <c r="F213" s="587"/>
      <c r="G213" s="587"/>
      <c r="H213" s="587"/>
      <c r="I213" s="587"/>
      <c r="J213" s="587"/>
      <c r="K213" s="587"/>
      <c r="L213" s="587"/>
      <c r="M213" s="587"/>
      <c r="N213" s="587"/>
      <c r="O213" s="587"/>
      <c r="P213" s="587"/>
      <c r="Q213" s="587"/>
      <c r="R213" s="587"/>
      <c r="S213" s="587"/>
      <c r="T213" s="587"/>
      <c r="U213" s="587"/>
      <c r="V213" s="587"/>
      <c r="W213" s="587"/>
      <c r="X213" s="587"/>
      <c r="Y213" s="587"/>
      <c r="Z213" s="587"/>
    </row>
    <row r="214" ht="15.75" customHeight="1">
      <c r="A214" s="587"/>
      <c r="B214" s="587"/>
      <c r="C214" s="587"/>
      <c r="D214" s="587"/>
      <c r="E214" s="587"/>
      <c r="F214" s="587"/>
      <c r="G214" s="587"/>
      <c r="H214" s="587"/>
      <c r="I214" s="587"/>
      <c r="J214" s="587"/>
      <c r="K214" s="587"/>
      <c r="L214" s="587"/>
      <c r="M214" s="587"/>
      <c r="N214" s="587"/>
      <c r="O214" s="587"/>
      <c r="P214" s="587"/>
      <c r="Q214" s="587"/>
      <c r="R214" s="587"/>
      <c r="S214" s="587"/>
      <c r="T214" s="587"/>
      <c r="U214" s="587"/>
      <c r="V214" s="587"/>
      <c r="W214" s="587"/>
      <c r="X214" s="587"/>
      <c r="Y214" s="587"/>
      <c r="Z214" s="587"/>
    </row>
    <row r="215" ht="15.75" customHeight="1">
      <c r="A215" s="587"/>
      <c r="B215" s="587"/>
      <c r="C215" s="587"/>
      <c r="D215" s="587"/>
      <c r="E215" s="587"/>
      <c r="F215" s="587"/>
      <c r="G215" s="587"/>
      <c r="H215" s="587"/>
      <c r="I215" s="587"/>
      <c r="J215" s="587"/>
      <c r="K215" s="587"/>
      <c r="L215" s="587"/>
      <c r="M215" s="587"/>
      <c r="N215" s="587"/>
      <c r="O215" s="587"/>
      <c r="P215" s="587"/>
      <c r="Q215" s="587"/>
      <c r="R215" s="587"/>
      <c r="S215" s="587"/>
      <c r="T215" s="587"/>
      <c r="U215" s="587"/>
      <c r="V215" s="587"/>
      <c r="W215" s="587"/>
      <c r="X215" s="587"/>
      <c r="Y215" s="587"/>
      <c r="Z215" s="587"/>
    </row>
    <row r="216" ht="15.75" customHeight="1">
      <c r="A216" s="587"/>
      <c r="B216" s="587"/>
      <c r="C216" s="587"/>
      <c r="D216" s="587"/>
      <c r="E216" s="587"/>
      <c r="F216" s="587"/>
      <c r="G216" s="587"/>
      <c r="H216" s="587"/>
      <c r="I216" s="587"/>
      <c r="J216" s="587"/>
      <c r="K216" s="587"/>
      <c r="L216" s="587"/>
      <c r="M216" s="587"/>
      <c r="N216" s="587"/>
      <c r="O216" s="587"/>
      <c r="P216" s="587"/>
      <c r="Q216" s="587"/>
      <c r="R216" s="587"/>
      <c r="S216" s="587"/>
      <c r="T216" s="587"/>
      <c r="U216" s="587"/>
      <c r="V216" s="587"/>
      <c r="W216" s="587"/>
      <c r="X216" s="587"/>
      <c r="Y216" s="587"/>
      <c r="Z216" s="587"/>
    </row>
    <row r="217" ht="15.75" customHeight="1">
      <c r="A217" s="587"/>
      <c r="B217" s="587"/>
      <c r="C217" s="587"/>
      <c r="D217" s="587"/>
      <c r="E217" s="587"/>
      <c r="F217" s="587"/>
      <c r="G217" s="587"/>
      <c r="H217" s="587"/>
      <c r="I217" s="587"/>
      <c r="J217" s="587"/>
      <c r="K217" s="587"/>
      <c r="L217" s="587"/>
      <c r="M217" s="587"/>
      <c r="N217" s="587"/>
      <c r="O217" s="587"/>
      <c r="P217" s="587"/>
      <c r="Q217" s="587"/>
      <c r="R217" s="587"/>
      <c r="S217" s="587"/>
      <c r="T217" s="587"/>
      <c r="U217" s="587"/>
      <c r="V217" s="587"/>
      <c r="W217" s="587"/>
      <c r="X217" s="587"/>
      <c r="Y217" s="587"/>
      <c r="Z217" s="587"/>
    </row>
    <row r="218" ht="15.75" customHeight="1">
      <c r="A218" s="587"/>
      <c r="B218" s="587"/>
      <c r="C218" s="587"/>
      <c r="D218" s="587"/>
      <c r="E218" s="587"/>
      <c r="F218" s="587"/>
      <c r="G218" s="587"/>
      <c r="H218" s="587"/>
      <c r="I218" s="587"/>
      <c r="J218" s="587"/>
      <c r="K218" s="587"/>
      <c r="L218" s="587"/>
      <c r="M218" s="587"/>
      <c r="N218" s="587"/>
      <c r="O218" s="587"/>
      <c r="P218" s="587"/>
      <c r="Q218" s="587"/>
      <c r="R218" s="587"/>
      <c r="S218" s="587"/>
      <c r="T218" s="587"/>
      <c r="U218" s="587"/>
      <c r="V218" s="587"/>
      <c r="W218" s="587"/>
      <c r="X218" s="587"/>
      <c r="Y218" s="587"/>
      <c r="Z218" s="587"/>
    </row>
    <row r="219" ht="15.75" customHeight="1">
      <c r="A219" s="587"/>
      <c r="B219" s="587"/>
      <c r="C219" s="587"/>
      <c r="D219" s="587"/>
      <c r="E219" s="587"/>
      <c r="F219" s="587"/>
      <c r="G219" s="587"/>
      <c r="H219" s="587"/>
      <c r="I219" s="587"/>
      <c r="J219" s="587"/>
      <c r="K219" s="587"/>
      <c r="L219" s="587"/>
      <c r="M219" s="587"/>
      <c r="N219" s="587"/>
      <c r="O219" s="587"/>
      <c r="P219" s="587"/>
      <c r="Q219" s="587"/>
      <c r="R219" s="587"/>
      <c r="S219" s="587"/>
      <c r="T219" s="587"/>
      <c r="U219" s="587"/>
      <c r="V219" s="587"/>
      <c r="W219" s="587"/>
      <c r="X219" s="587"/>
      <c r="Y219" s="587"/>
      <c r="Z219" s="587"/>
    </row>
    <row r="220" ht="15.75" customHeight="1">
      <c r="A220" s="587"/>
      <c r="B220" s="587"/>
      <c r="C220" s="587"/>
      <c r="D220" s="587"/>
      <c r="E220" s="587"/>
      <c r="F220" s="587"/>
      <c r="G220" s="587"/>
      <c r="H220" s="587"/>
      <c r="I220" s="587"/>
      <c r="J220" s="587"/>
      <c r="K220" s="587"/>
      <c r="L220" s="587"/>
      <c r="M220" s="587"/>
      <c r="N220" s="587"/>
      <c r="O220" s="587"/>
      <c r="P220" s="587"/>
      <c r="Q220" s="587"/>
      <c r="R220" s="587"/>
      <c r="S220" s="587"/>
      <c r="T220" s="587"/>
      <c r="U220" s="587"/>
      <c r="V220" s="587"/>
      <c r="W220" s="587"/>
      <c r="X220" s="587"/>
      <c r="Y220" s="587"/>
      <c r="Z220" s="587"/>
    </row>
    <row r="221" ht="15.75" customHeight="1">
      <c r="A221" s="587"/>
      <c r="B221" s="587"/>
      <c r="C221" s="587"/>
      <c r="D221" s="587"/>
      <c r="E221" s="587"/>
      <c r="F221" s="587"/>
      <c r="G221" s="587"/>
      <c r="H221" s="587"/>
      <c r="I221" s="587"/>
      <c r="J221" s="587"/>
      <c r="K221" s="587"/>
      <c r="L221" s="587"/>
      <c r="M221" s="587"/>
      <c r="N221" s="587"/>
      <c r="O221" s="587"/>
      <c r="P221" s="587"/>
      <c r="Q221" s="587"/>
      <c r="R221" s="587"/>
      <c r="S221" s="587"/>
      <c r="T221" s="587"/>
      <c r="U221" s="587"/>
      <c r="V221" s="587"/>
      <c r="W221" s="587"/>
      <c r="X221" s="587"/>
      <c r="Y221" s="587"/>
      <c r="Z221" s="58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39.88"/>
    <col customWidth="1" min="3" max="3" width="16.63"/>
    <col customWidth="1" min="4" max="4" width="13.13"/>
    <col customWidth="1" min="5" max="5" width="13.63"/>
    <col customWidth="1" min="6" max="7" width="14.88"/>
    <col customWidth="1" min="8" max="8" width="6.88"/>
    <col customWidth="1" min="9" max="9" width="6.13"/>
    <col customWidth="1" min="10" max="10" width="35.63"/>
    <col customWidth="1" min="11" max="11" width="15.63"/>
    <col customWidth="1" min="12" max="12" width="16.13"/>
    <col customWidth="1" min="13" max="13" width="13.88"/>
    <col customWidth="1" min="14" max="15" width="15.63"/>
    <col customWidth="1" min="16" max="16" width="6.38"/>
    <col customWidth="1" min="17" max="17" width="6.13"/>
    <col customWidth="1" min="18" max="18" width="29.63"/>
    <col customWidth="1" min="19" max="19" width="21.88"/>
    <col customWidth="1" min="20" max="21" width="26.63"/>
  </cols>
  <sheetData>
    <row r="1" ht="46.5" customHeight="1">
      <c r="A1" s="604"/>
      <c r="B1" s="605" t="s">
        <v>6</v>
      </c>
      <c r="C1" s="605" t="s">
        <v>7</v>
      </c>
      <c r="D1" s="606" t="s">
        <v>18</v>
      </c>
      <c r="E1" s="605" t="s">
        <v>696</v>
      </c>
      <c r="F1" s="607" t="s">
        <v>4</v>
      </c>
      <c r="G1" s="605" t="s">
        <v>552</v>
      </c>
      <c r="H1" s="608"/>
      <c r="I1" s="609"/>
      <c r="J1" s="605" t="s">
        <v>6</v>
      </c>
      <c r="K1" s="605" t="s">
        <v>7</v>
      </c>
      <c r="L1" s="606" t="s">
        <v>18</v>
      </c>
      <c r="M1" s="605" t="s">
        <v>696</v>
      </c>
      <c r="N1" s="605" t="s">
        <v>4</v>
      </c>
      <c r="O1" s="605" t="s">
        <v>552</v>
      </c>
      <c r="P1" s="608"/>
      <c r="Q1" s="610"/>
      <c r="R1" s="610"/>
    </row>
    <row r="2" ht="46.5" customHeight="1">
      <c r="A2" s="604"/>
      <c r="B2" s="611" t="s">
        <v>77</v>
      </c>
      <c r="C2" s="611"/>
      <c r="D2" s="612"/>
      <c r="E2" s="613"/>
      <c r="F2" s="614"/>
      <c r="G2" s="613"/>
      <c r="H2" s="608"/>
      <c r="I2" s="609"/>
      <c r="J2" s="611" t="s">
        <v>697</v>
      </c>
      <c r="K2" s="611"/>
      <c r="L2" s="615"/>
      <c r="M2" s="615"/>
      <c r="N2" s="615"/>
      <c r="O2" s="615"/>
      <c r="P2" s="608"/>
      <c r="Q2" s="610"/>
      <c r="R2" s="610"/>
    </row>
    <row r="3" ht="46.5" customHeight="1">
      <c r="A3" s="604"/>
      <c r="B3" s="611" t="s">
        <v>16</v>
      </c>
      <c r="C3" s="611"/>
      <c r="D3" s="612"/>
      <c r="E3" s="613"/>
      <c r="F3" s="614"/>
      <c r="G3" s="613"/>
      <c r="H3" s="608"/>
      <c r="I3" s="609"/>
      <c r="J3" s="611" t="s">
        <v>698</v>
      </c>
      <c r="K3" s="611"/>
      <c r="L3" s="615"/>
      <c r="M3" s="615"/>
      <c r="N3" s="615"/>
      <c r="O3" s="615"/>
      <c r="P3" s="608"/>
      <c r="Q3" s="610"/>
      <c r="R3" s="610"/>
    </row>
    <row r="4" ht="46.5" customHeight="1">
      <c r="A4" s="616"/>
      <c r="B4" s="611" t="s">
        <v>104</v>
      </c>
      <c r="C4" s="611"/>
      <c r="D4" s="612"/>
      <c r="E4" s="613"/>
      <c r="F4" s="614"/>
      <c r="G4" s="613"/>
      <c r="H4" s="608"/>
      <c r="I4" s="609"/>
      <c r="J4" s="611" t="s">
        <v>349</v>
      </c>
      <c r="K4" s="611"/>
      <c r="L4" s="615"/>
      <c r="M4" s="615"/>
      <c r="N4" s="615"/>
      <c r="O4" s="615"/>
      <c r="P4" s="608"/>
      <c r="Q4" s="610"/>
      <c r="R4" s="610"/>
    </row>
    <row r="5" ht="46.5" customHeight="1">
      <c r="A5" s="604"/>
      <c r="B5" s="611" t="s">
        <v>95</v>
      </c>
      <c r="C5" s="611"/>
      <c r="D5" s="612"/>
      <c r="E5" s="613"/>
      <c r="F5" s="614"/>
      <c r="G5" s="613"/>
      <c r="H5" s="608"/>
      <c r="I5" s="609"/>
      <c r="J5" s="611" t="s">
        <v>241</v>
      </c>
      <c r="K5" s="611"/>
      <c r="L5" s="615"/>
      <c r="M5" s="615"/>
      <c r="N5" s="615"/>
      <c r="O5" s="615"/>
      <c r="P5" s="608"/>
      <c r="Q5" s="610"/>
      <c r="R5" s="610"/>
    </row>
    <row r="6" ht="46.5" customHeight="1">
      <c r="A6" s="604"/>
      <c r="B6" s="611" t="s">
        <v>236</v>
      </c>
      <c r="C6" s="611"/>
      <c r="D6" s="612"/>
      <c r="E6" s="613"/>
      <c r="F6" s="614"/>
      <c r="G6" s="613"/>
      <c r="H6" s="608"/>
      <c r="I6" s="609"/>
      <c r="J6" s="611" t="s">
        <v>177</v>
      </c>
      <c r="K6" s="611"/>
      <c r="L6" s="615"/>
      <c r="M6" s="615"/>
      <c r="N6" s="615"/>
      <c r="O6" s="615"/>
      <c r="P6" s="608"/>
      <c r="Q6" s="610"/>
      <c r="R6" s="610"/>
    </row>
    <row r="7" ht="46.5" customHeight="1">
      <c r="A7" s="616"/>
      <c r="B7" s="611" t="s">
        <v>289</v>
      </c>
      <c r="C7" s="611"/>
      <c r="D7" s="612"/>
      <c r="E7" s="613"/>
      <c r="F7" s="614"/>
      <c r="G7" s="613"/>
      <c r="H7" s="608"/>
      <c r="I7" s="609"/>
      <c r="J7" s="611" t="s">
        <v>699</v>
      </c>
      <c r="K7" s="611"/>
      <c r="L7" s="615"/>
      <c r="M7" s="615"/>
      <c r="N7" s="615"/>
      <c r="O7" s="615"/>
      <c r="P7" s="608"/>
      <c r="Q7" s="610"/>
      <c r="R7" s="610"/>
    </row>
    <row r="8" ht="46.5" customHeight="1">
      <c r="A8" s="617"/>
      <c r="B8" s="611" t="s">
        <v>103</v>
      </c>
      <c r="C8" s="611"/>
      <c r="D8" s="612"/>
      <c r="E8" s="613"/>
      <c r="F8" s="614"/>
      <c r="G8" s="613"/>
      <c r="H8" s="608"/>
      <c r="I8" s="609"/>
      <c r="J8" s="611" t="s">
        <v>700</v>
      </c>
      <c r="K8" s="611"/>
      <c r="L8" s="615"/>
      <c r="M8" s="615"/>
      <c r="N8" s="615"/>
      <c r="O8" s="615"/>
      <c r="P8" s="608"/>
      <c r="Q8" s="610"/>
      <c r="R8" s="610"/>
    </row>
    <row r="9" ht="46.5" customHeight="1">
      <c r="A9" s="616"/>
      <c r="B9" s="611" t="s">
        <v>195</v>
      </c>
      <c r="C9" s="611"/>
      <c r="D9" s="612"/>
      <c r="E9" s="613"/>
      <c r="F9" s="614"/>
      <c r="G9" s="613"/>
      <c r="H9" s="608"/>
      <c r="I9" s="609"/>
      <c r="J9" s="611" t="s">
        <v>701</v>
      </c>
      <c r="K9" s="611"/>
      <c r="L9" s="615"/>
      <c r="M9" s="615"/>
      <c r="N9" s="615"/>
      <c r="O9" s="615"/>
      <c r="P9" s="608"/>
      <c r="Q9" s="610"/>
      <c r="R9" s="610"/>
    </row>
    <row r="10" ht="46.5" customHeight="1">
      <c r="A10" s="604"/>
      <c r="B10" s="611" t="s">
        <v>233</v>
      </c>
      <c r="C10" s="611"/>
      <c r="D10" s="612"/>
      <c r="E10" s="613"/>
      <c r="F10" s="614"/>
      <c r="G10" s="613"/>
      <c r="H10" s="608"/>
      <c r="I10" s="609"/>
      <c r="J10" s="611" t="s">
        <v>20</v>
      </c>
      <c r="K10" s="611"/>
      <c r="L10" s="615"/>
      <c r="M10" s="615"/>
      <c r="N10" s="615"/>
      <c r="O10" s="615"/>
      <c r="P10" s="608"/>
      <c r="Q10" s="610"/>
      <c r="R10" s="610"/>
    </row>
    <row r="11" ht="46.5" customHeight="1">
      <c r="A11" s="604"/>
      <c r="B11" s="611" t="s">
        <v>194</v>
      </c>
      <c r="C11" s="611"/>
      <c r="D11" s="612"/>
      <c r="E11" s="613"/>
      <c r="F11" s="614"/>
      <c r="G11" s="613"/>
      <c r="H11" s="608"/>
      <c r="I11" s="609"/>
      <c r="J11" s="611" t="s">
        <v>64</v>
      </c>
      <c r="K11" s="611"/>
      <c r="L11" s="615"/>
      <c r="M11" s="615"/>
      <c r="N11" s="615"/>
      <c r="O11" s="615"/>
      <c r="P11" s="608"/>
      <c r="Q11" s="610"/>
      <c r="R11" s="610"/>
    </row>
    <row r="12" ht="46.5" customHeight="1">
      <c r="A12" s="617"/>
      <c r="B12" s="611" t="s">
        <v>263</v>
      </c>
      <c r="C12" s="611"/>
      <c r="D12" s="612"/>
      <c r="E12" s="613"/>
      <c r="F12" s="614"/>
      <c r="G12" s="613"/>
      <c r="H12" s="608"/>
      <c r="I12" s="609"/>
      <c r="J12" s="611" t="s">
        <v>19</v>
      </c>
      <c r="K12" s="611"/>
      <c r="L12" s="615"/>
      <c r="M12" s="615"/>
      <c r="N12" s="615"/>
      <c r="O12" s="615"/>
      <c r="P12" s="608"/>
      <c r="Q12" s="610"/>
      <c r="R12" s="610"/>
    </row>
    <row r="13" ht="46.5" customHeight="1">
      <c r="A13" s="617"/>
      <c r="B13" s="611" t="s">
        <v>68</v>
      </c>
      <c r="C13" s="611"/>
      <c r="D13" s="612"/>
      <c r="E13" s="613"/>
      <c r="F13" s="614"/>
      <c r="G13" s="613"/>
      <c r="H13" s="608"/>
      <c r="I13" s="609"/>
      <c r="J13" s="611" t="s">
        <v>191</v>
      </c>
      <c r="K13" s="611"/>
      <c r="L13" s="615"/>
      <c r="M13" s="615"/>
      <c r="N13" s="615"/>
      <c r="O13" s="615"/>
      <c r="P13" s="608"/>
      <c r="Q13" s="610"/>
      <c r="R13" s="610"/>
    </row>
    <row r="14" ht="46.5" customHeight="1">
      <c r="A14" s="617"/>
      <c r="B14" s="611" t="s">
        <v>702</v>
      </c>
      <c r="C14" s="611"/>
      <c r="D14" s="612"/>
      <c r="E14" s="613"/>
      <c r="F14" s="614"/>
      <c r="G14" s="613"/>
      <c r="H14" s="608"/>
      <c r="I14" s="609"/>
      <c r="J14" s="611" t="s">
        <v>192</v>
      </c>
      <c r="K14" s="611"/>
      <c r="L14" s="615"/>
      <c r="M14" s="615"/>
      <c r="N14" s="615"/>
      <c r="O14" s="615"/>
      <c r="P14" s="608"/>
      <c r="Q14" s="610"/>
      <c r="R14" s="610"/>
    </row>
    <row r="15" ht="46.5" customHeight="1">
      <c r="A15" s="617"/>
      <c r="B15" s="611" t="s">
        <v>69</v>
      </c>
      <c r="C15" s="611"/>
      <c r="D15" s="612"/>
      <c r="E15" s="613"/>
      <c r="F15" s="614"/>
      <c r="G15" s="613"/>
      <c r="H15" s="608"/>
      <c r="I15" s="610"/>
      <c r="J15" s="618"/>
      <c r="K15" s="618"/>
      <c r="L15" s="619"/>
      <c r="M15" s="620"/>
      <c r="P15" s="610"/>
      <c r="Q15" s="610"/>
      <c r="R15" s="610"/>
    </row>
    <row r="16" ht="46.5" customHeight="1">
      <c r="A16" s="617"/>
      <c r="B16" s="611" t="s">
        <v>99</v>
      </c>
      <c r="C16" s="611"/>
      <c r="D16" s="612"/>
      <c r="E16" s="613"/>
      <c r="F16" s="614"/>
      <c r="G16" s="613"/>
      <c r="H16" s="608"/>
      <c r="I16" s="609"/>
      <c r="J16" s="605" t="s">
        <v>6</v>
      </c>
      <c r="K16" s="605"/>
      <c r="L16" s="606" t="s">
        <v>18</v>
      </c>
      <c r="M16" s="605" t="s">
        <v>696</v>
      </c>
      <c r="N16" s="605" t="s">
        <v>4</v>
      </c>
      <c r="O16" s="605" t="s">
        <v>552</v>
      </c>
      <c r="P16" s="608"/>
      <c r="Q16" s="610"/>
      <c r="R16" s="610"/>
    </row>
    <row r="17" ht="46.5" customHeight="1">
      <c r="A17" s="617"/>
      <c r="B17" s="611" t="s">
        <v>252</v>
      </c>
      <c r="C17" s="611"/>
      <c r="D17" s="612"/>
      <c r="E17" s="613"/>
      <c r="F17" s="614"/>
      <c r="G17" s="613"/>
      <c r="H17" s="608"/>
      <c r="I17" s="609"/>
      <c r="J17" s="611" t="s">
        <v>176</v>
      </c>
      <c r="K17" s="611"/>
      <c r="L17" s="612"/>
      <c r="M17" s="613"/>
      <c r="N17" s="613"/>
      <c r="O17" s="613"/>
      <c r="P17" s="608"/>
      <c r="Q17" s="610"/>
      <c r="R17" s="610"/>
    </row>
    <row r="18" ht="46.5" customHeight="1">
      <c r="A18" s="604"/>
      <c r="B18" s="611" t="s">
        <v>65</v>
      </c>
      <c r="C18" s="611"/>
      <c r="D18" s="612"/>
      <c r="E18" s="613"/>
      <c r="F18" s="614"/>
      <c r="G18" s="613"/>
      <c r="H18" s="608"/>
      <c r="I18" s="609"/>
      <c r="J18" s="611" t="s">
        <v>180</v>
      </c>
      <c r="K18" s="611"/>
      <c r="L18" s="612"/>
      <c r="M18" s="613"/>
      <c r="N18" s="613"/>
      <c r="O18" s="613"/>
      <c r="P18" s="608"/>
      <c r="Q18" s="610"/>
      <c r="R18" s="610"/>
    </row>
    <row r="19" ht="46.5" customHeight="1">
      <c r="A19" s="621"/>
      <c r="B19" s="611" t="s">
        <v>308</v>
      </c>
      <c r="C19" s="611"/>
      <c r="D19" s="612"/>
      <c r="E19" s="613"/>
      <c r="F19" s="614"/>
      <c r="G19" s="622"/>
      <c r="H19" s="608"/>
      <c r="I19" s="609"/>
      <c r="J19" s="611" t="s">
        <v>117</v>
      </c>
      <c r="K19" s="611"/>
      <c r="L19" s="612"/>
      <c r="M19" s="613"/>
      <c r="N19" s="613"/>
      <c r="O19" s="613"/>
      <c r="P19" s="608"/>
      <c r="Q19" s="610"/>
      <c r="R19" s="610"/>
    </row>
    <row r="20" ht="46.5" customHeight="1">
      <c r="A20" s="604"/>
      <c r="B20" s="610"/>
      <c r="C20" s="610"/>
      <c r="D20" s="610"/>
      <c r="E20" s="610"/>
      <c r="F20" s="610"/>
      <c r="G20" s="623"/>
      <c r="H20" s="608"/>
      <c r="I20" s="609"/>
      <c r="J20" s="611" t="s">
        <v>303</v>
      </c>
      <c r="K20" s="611"/>
      <c r="L20" s="612"/>
      <c r="M20" s="613"/>
      <c r="N20" s="613"/>
      <c r="O20" s="613"/>
      <c r="P20" s="608"/>
      <c r="Q20" s="610"/>
      <c r="R20" s="610"/>
    </row>
    <row r="21" ht="46.5" customHeight="1">
      <c r="A21" s="604"/>
      <c r="B21" s="610"/>
      <c r="C21" s="610"/>
      <c r="D21" s="610"/>
      <c r="E21" s="610"/>
      <c r="F21" s="610"/>
      <c r="G21" s="608"/>
      <c r="H21" s="608"/>
      <c r="I21" s="609"/>
      <c r="J21" s="611" t="s">
        <v>174</v>
      </c>
      <c r="K21" s="611"/>
      <c r="L21" s="612"/>
      <c r="M21" s="613"/>
      <c r="N21" s="613"/>
      <c r="O21" s="613"/>
      <c r="P21" s="608"/>
      <c r="Q21" s="610"/>
      <c r="R21" s="610"/>
    </row>
    <row r="22" ht="46.5" customHeight="1">
      <c r="A22" s="604"/>
      <c r="B22" s="610"/>
      <c r="C22" s="610"/>
      <c r="D22" s="610"/>
      <c r="E22" s="610"/>
      <c r="F22" s="610"/>
      <c r="G22" s="624"/>
      <c r="H22" s="608"/>
      <c r="I22" s="609"/>
      <c r="J22" s="611" t="s">
        <v>703</v>
      </c>
      <c r="K22" s="611"/>
      <c r="L22" s="612"/>
      <c r="M22" s="613"/>
      <c r="N22" s="613"/>
      <c r="O22" s="613"/>
      <c r="P22" s="608"/>
      <c r="Q22" s="610"/>
      <c r="R22" s="610"/>
    </row>
    <row r="23" ht="46.5" customHeight="1">
      <c r="A23" s="604"/>
      <c r="B23" s="605" t="s">
        <v>6</v>
      </c>
      <c r="C23" s="605"/>
      <c r="D23" s="606" t="s">
        <v>18</v>
      </c>
      <c r="E23" s="605" t="s">
        <v>696</v>
      </c>
      <c r="F23" s="605" t="s">
        <v>4</v>
      </c>
      <c r="G23" s="605" t="s">
        <v>552</v>
      </c>
      <c r="H23" s="608"/>
      <c r="I23" s="609"/>
      <c r="J23" s="611" t="s">
        <v>704</v>
      </c>
      <c r="K23" s="611"/>
      <c r="L23" s="612"/>
      <c r="M23" s="613"/>
      <c r="N23" s="613"/>
      <c r="O23" s="613"/>
      <c r="P23" s="608"/>
      <c r="Q23" s="610"/>
      <c r="R23" s="610"/>
    </row>
    <row r="24" ht="46.5" customHeight="1">
      <c r="A24" s="616"/>
      <c r="B24" s="625" t="s">
        <v>188</v>
      </c>
      <c r="C24" s="625"/>
      <c r="D24" s="612"/>
      <c r="E24" s="613"/>
      <c r="F24" s="613"/>
      <c r="G24" s="613"/>
      <c r="H24" s="608"/>
      <c r="I24" s="609"/>
      <c r="J24" s="611" t="s">
        <v>705</v>
      </c>
      <c r="K24" s="611"/>
      <c r="L24" s="612"/>
      <c r="M24" s="613"/>
      <c r="N24" s="613"/>
      <c r="O24" s="613"/>
      <c r="P24" s="608"/>
      <c r="Q24" s="610"/>
      <c r="R24" s="610"/>
    </row>
    <row r="25" ht="46.5" customHeight="1">
      <c r="A25" s="617"/>
      <c r="B25" s="625" t="s">
        <v>706</v>
      </c>
      <c r="C25" s="625"/>
      <c r="D25" s="612"/>
      <c r="E25" s="613"/>
      <c r="F25" s="613"/>
      <c r="G25" s="613"/>
      <c r="H25" s="608"/>
      <c r="I25" s="609"/>
      <c r="J25" s="611" t="s">
        <v>707</v>
      </c>
      <c r="K25" s="611"/>
      <c r="L25" s="612"/>
      <c r="M25" s="613"/>
      <c r="N25" s="613"/>
      <c r="O25" s="613"/>
      <c r="P25" s="608"/>
      <c r="Q25" s="610"/>
      <c r="R25" s="610"/>
    </row>
    <row r="26" ht="46.5" customHeight="1">
      <c r="A26" s="604"/>
      <c r="B26" s="625" t="s">
        <v>97</v>
      </c>
      <c r="C26" s="625"/>
      <c r="D26" s="612"/>
      <c r="E26" s="613"/>
      <c r="F26" s="613"/>
      <c r="G26" s="613"/>
      <c r="H26" s="608"/>
      <c r="I26" s="609"/>
      <c r="J26" s="611" t="s">
        <v>708</v>
      </c>
      <c r="K26" s="611"/>
      <c r="L26" s="612"/>
      <c r="M26" s="613"/>
      <c r="N26" s="613"/>
      <c r="O26" s="613"/>
      <c r="P26" s="608"/>
      <c r="Q26" s="610"/>
      <c r="R26" s="610"/>
    </row>
    <row r="27" ht="46.5" customHeight="1">
      <c r="A27" s="604"/>
      <c r="B27" s="625" t="s">
        <v>709</v>
      </c>
      <c r="C27" s="625"/>
      <c r="D27" s="612"/>
      <c r="E27" s="613"/>
      <c r="F27" s="613"/>
      <c r="G27" s="613"/>
      <c r="H27" s="608"/>
      <c r="I27" s="609"/>
      <c r="J27" s="611" t="s">
        <v>710</v>
      </c>
      <c r="K27" s="611"/>
      <c r="L27" s="612"/>
      <c r="M27" s="613"/>
      <c r="N27" s="613"/>
      <c r="O27" s="613"/>
      <c r="P27" s="608"/>
      <c r="Q27" s="610"/>
      <c r="R27" s="610"/>
    </row>
    <row r="28" ht="46.5" customHeight="1">
      <c r="A28" s="617"/>
      <c r="B28" s="625" t="s">
        <v>711</v>
      </c>
      <c r="C28" s="625"/>
      <c r="D28" s="612"/>
      <c r="E28" s="613"/>
      <c r="F28" s="613"/>
      <c r="G28" s="613"/>
      <c r="H28" s="608"/>
      <c r="I28" s="610"/>
      <c r="J28" s="618"/>
      <c r="K28" s="618"/>
      <c r="L28" s="619"/>
      <c r="M28" s="619"/>
      <c r="N28" s="620"/>
      <c r="O28" s="620"/>
      <c r="P28" s="610"/>
      <c r="Q28" s="610"/>
      <c r="R28" s="610"/>
    </row>
    <row r="29" ht="46.5" customHeight="1">
      <c r="A29" s="604"/>
      <c r="B29" s="625" t="s">
        <v>712</v>
      </c>
      <c r="C29" s="625"/>
      <c r="D29" s="612"/>
      <c r="E29" s="613"/>
      <c r="F29" s="613"/>
      <c r="G29" s="613"/>
      <c r="H29" s="608"/>
      <c r="I29" s="609"/>
      <c r="J29" s="605" t="s">
        <v>6</v>
      </c>
      <c r="K29" s="605"/>
      <c r="L29" s="606" t="s">
        <v>18</v>
      </c>
      <c r="M29" s="605" t="s">
        <v>696</v>
      </c>
      <c r="N29" s="605" t="s">
        <v>4</v>
      </c>
      <c r="O29" s="605"/>
      <c r="P29" s="608"/>
      <c r="Q29" s="610"/>
      <c r="R29" s="610"/>
    </row>
    <row r="30" ht="46.5" customHeight="1">
      <c r="A30" s="604"/>
      <c r="B30" s="625" t="s">
        <v>713</v>
      </c>
      <c r="C30" s="625"/>
      <c r="D30" s="612"/>
      <c r="E30" s="613"/>
      <c r="F30" s="613"/>
      <c r="G30" s="613"/>
      <c r="H30" s="608"/>
      <c r="I30" s="609"/>
      <c r="J30" s="611" t="s">
        <v>55</v>
      </c>
      <c r="K30" s="611"/>
      <c r="L30" s="612"/>
      <c r="M30" s="613"/>
      <c r="N30" s="613"/>
      <c r="O30" s="613"/>
      <c r="P30" s="608"/>
      <c r="Q30" s="610"/>
      <c r="R30" s="610"/>
    </row>
    <row r="31" ht="46.5" customHeight="1">
      <c r="A31" s="604"/>
      <c r="B31" s="625" t="s">
        <v>714</v>
      </c>
      <c r="C31" s="625"/>
      <c r="D31" s="612"/>
      <c r="E31" s="613"/>
      <c r="F31" s="613"/>
      <c r="G31" s="613"/>
      <c r="H31" s="608"/>
      <c r="I31" s="609"/>
      <c r="J31" s="611" t="s">
        <v>242</v>
      </c>
      <c r="K31" s="611"/>
      <c r="L31" s="612"/>
      <c r="M31" s="613"/>
      <c r="N31" s="613"/>
      <c r="O31" s="613"/>
      <c r="P31" s="608"/>
      <c r="Q31" s="610"/>
      <c r="R31" s="610"/>
    </row>
    <row r="32" ht="46.5" customHeight="1">
      <c r="A32" s="604"/>
      <c r="B32" s="625" t="s">
        <v>715</v>
      </c>
      <c r="C32" s="625"/>
      <c r="D32" s="612"/>
      <c r="E32" s="613"/>
      <c r="F32" s="613"/>
      <c r="G32" s="613"/>
      <c r="H32" s="608"/>
      <c r="I32" s="609"/>
      <c r="J32" s="611" t="s">
        <v>57</v>
      </c>
      <c r="K32" s="611"/>
      <c r="L32" s="612"/>
      <c r="M32" s="613"/>
      <c r="N32" s="613"/>
      <c r="O32" s="613"/>
      <c r="P32" s="608"/>
      <c r="Q32" s="610"/>
      <c r="R32" s="610"/>
    </row>
    <row r="33" ht="46.5" customHeight="1">
      <c r="A33" s="604"/>
      <c r="B33" s="625" t="s">
        <v>716</v>
      </c>
      <c r="C33" s="625"/>
      <c r="D33" s="612"/>
      <c r="E33" s="613"/>
      <c r="F33" s="613"/>
      <c r="G33" s="613"/>
      <c r="H33" s="608"/>
      <c r="I33" s="609"/>
      <c r="J33" s="611" t="s">
        <v>53</v>
      </c>
      <c r="K33" s="611"/>
      <c r="L33" s="612"/>
      <c r="M33" s="613"/>
      <c r="N33" s="613"/>
      <c r="O33" s="613"/>
      <c r="P33" s="608"/>
      <c r="Q33" s="610"/>
      <c r="R33" s="610"/>
    </row>
    <row r="34" ht="46.5" customHeight="1">
      <c r="A34" s="621"/>
      <c r="B34" s="625" t="s">
        <v>717</v>
      </c>
      <c r="C34" s="625"/>
      <c r="D34" s="612"/>
      <c r="E34" s="613"/>
      <c r="F34" s="613"/>
      <c r="G34" s="613"/>
      <c r="H34" s="608"/>
      <c r="I34" s="609"/>
      <c r="J34" s="611" t="s">
        <v>72</v>
      </c>
      <c r="K34" s="611"/>
      <c r="L34" s="612"/>
      <c r="M34" s="613"/>
      <c r="N34" s="613"/>
      <c r="O34" s="613"/>
      <c r="P34" s="608"/>
      <c r="Q34" s="610"/>
      <c r="R34" s="610"/>
    </row>
    <row r="35" ht="46.5" customHeight="1">
      <c r="A35" s="626"/>
      <c r="B35" s="625" t="s">
        <v>718</v>
      </c>
      <c r="C35" s="625"/>
      <c r="D35" s="612"/>
      <c r="E35" s="613"/>
      <c r="F35" s="613"/>
      <c r="G35" s="613"/>
      <c r="H35" s="608"/>
      <c r="I35" s="609"/>
      <c r="J35" s="611" t="s">
        <v>278</v>
      </c>
      <c r="K35" s="611"/>
      <c r="L35" s="612"/>
      <c r="M35" s="613"/>
      <c r="N35" s="613"/>
      <c r="O35" s="613"/>
      <c r="P35" s="608"/>
      <c r="Q35" s="610"/>
      <c r="R35" s="610"/>
    </row>
    <row r="36" ht="46.5" customHeight="1">
      <c r="A36" s="627"/>
      <c r="B36" s="625" t="s">
        <v>719</v>
      </c>
      <c r="C36" s="625"/>
      <c r="D36" s="612"/>
      <c r="E36" s="613"/>
      <c r="F36" s="613"/>
      <c r="G36" s="613"/>
      <c r="H36" s="608"/>
      <c r="I36" s="609"/>
      <c r="J36" s="611" t="s">
        <v>118</v>
      </c>
      <c r="K36" s="611"/>
      <c r="L36" s="612"/>
      <c r="M36" s="613"/>
      <c r="N36" s="613"/>
      <c r="O36" s="613"/>
      <c r="P36" s="608"/>
      <c r="Q36" s="610"/>
      <c r="R36" s="610"/>
    </row>
    <row r="37" ht="46.5" customHeight="1">
      <c r="A37" s="628"/>
      <c r="B37" s="610"/>
      <c r="C37" s="610"/>
      <c r="D37" s="610"/>
      <c r="E37" s="610"/>
      <c r="F37" s="610"/>
      <c r="G37" s="629"/>
      <c r="H37" s="610"/>
      <c r="I37" s="609"/>
      <c r="J37" s="611" t="s">
        <v>30</v>
      </c>
      <c r="K37" s="611"/>
      <c r="L37" s="612"/>
      <c r="M37" s="613"/>
      <c r="N37" s="613"/>
      <c r="O37" s="613"/>
      <c r="P37" s="608"/>
      <c r="Q37" s="610"/>
      <c r="R37" s="610"/>
    </row>
    <row r="38" ht="46.5" customHeight="1">
      <c r="A38" s="626"/>
      <c r="B38" s="610"/>
      <c r="C38" s="610"/>
      <c r="D38" s="610"/>
      <c r="E38" s="610"/>
      <c r="F38" s="610"/>
      <c r="G38" s="610"/>
      <c r="H38" s="610"/>
      <c r="I38" s="609"/>
      <c r="J38" s="611" t="s">
        <v>720</v>
      </c>
      <c r="K38" s="611"/>
      <c r="L38" s="612"/>
      <c r="M38" s="613"/>
      <c r="N38" s="613"/>
      <c r="O38" s="613"/>
      <c r="P38" s="608"/>
      <c r="Q38" s="610"/>
      <c r="R38" s="610"/>
    </row>
    <row r="39" ht="46.5" customHeight="1">
      <c r="A39" s="628"/>
      <c r="B39" s="610"/>
      <c r="C39" s="610"/>
      <c r="D39" s="610"/>
      <c r="E39" s="610"/>
      <c r="F39" s="610"/>
      <c r="G39" s="610"/>
      <c r="H39" s="610"/>
      <c r="I39" s="609"/>
      <c r="J39" s="611" t="s">
        <v>721</v>
      </c>
      <c r="K39" s="611"/>
      <c r="L39" s="612"/>
      <c r="M39" s="613"/>
      <c r="N39" s="613"/>
      <c r="O39" s="613"/>
      <c r="P39" s="608"/>
      <c r="Q39" s="610"/>
      <c r="R39" s="610"/>
    </row>
    <row r="40" ht="46.5" customHeight="1">
      <c r="A40" s="626"/>
      <c r="B40" s="610"/>
      <c r="C40" s="610"/>
      <c r="D40" s="610"/>
      <c r="E40" s="610"/>
      <c r="F40" s="610"/>
      <c r="G40" s="610"/>
      <c r="H40" s="610"/>
      <c r="I40" s="609"/>
      <c r="J40" s="611" t="s">
        <v>281</v>
      </c>
      <c r="K40" s="611"/>
      <c r="L40" s="612"/>
      <c r="M40" s="613"/>
      <c r="N40" s="613"/>
      <c r="O40" s="613"/>
      <c r="P40" s="608"/>
      <c r="Q40" s="610"/>
      <c r="R40" s="610"/>
    </row>
    <row r="41" ht="46.5" customHeight="1">
      <c r="A41" s="621"/>
      <c r="B41" s="610"/>
      <c r="C41" s="610"/>
      <c r="D41" s="610"/>
      <c r="E41" s="610"/>
      <c r="F41" s="610"/>
      <c r="G41" s="610"/>
      <c r="H41" s="610"/>
      <c r="I41" s="609"/>
      <c r="J41" s="611" t="s">
        <v>722</v>
      </c>
      <c r="K41" s="611"/>
      <c r="L41" s="612"/>
      <c r="M41" s="613"/>
      <c r="N41" s="613"/>
      <c r="O41" s="613"/>
      <c r="P41" s="608"/>
      <c r="Q41" s="610"/>
      <c r="R41" s="610"/>
    </row>
    <row r="42" ht="46.5" customHeight="1">
      <c r="A42" s="626"/>
      <c r="B42" s="610"/>
      <c r="C42" s="610"/>
      <c r="D42" s="610"/>
      <c r="E42" s="610"/>
      <c r="F42" s="610"/>
      <c r="G42" s="610"/>
      <c r="H42" s="610"/>
      <c r="I42" s="609"/>
      <c r="J42" s="611" t="s">
        <v>723</v>
      </c>
      <c r="K42" s="611"/>
      <c r="L42" s="612"/>
      <c r="M42" s="613"/>
      <c r="N42" s="613"/>
      <c r="O42" s="613"/>
      <c r="P42" s="608"/>
      <c r="Q42" s="610"/>
      <c r="R42" s="610"/>
    </row>
    <row r="43" ht="46.5" customHeight="1">
      <c r="A43" s="626"/>
      <c r="B43" s="610"/>
      <c r="C43" s="610"/>
      <c r="D43" s="610"/>
      <c r="E43" s="610"/>
      <c r="F43" s="610"/>
      <c r="G43" s="610"/>
      <c r="H43" s="610"/>
      <c r="I43" s="609"/>
      <c r="J43" s="611" t="s">
        <v>724</v>
      </c>
      <c r="K43" s="611"/>
      <c r="L43" s="612"/>
      <c r="M43" s="613"/>
      <c r="N43" s="613"/>
      <c r="O43" s="613"/>
      <c r="P43" s="608"/>
      <c r="Q43" s="610"/>
      <c r="R43" s="610"/>
    </row>
    <row r="44" ht="46.5" customHeight="1">
      <c r="A44" s="621"/>
      <c r="B44" s="610"/>
      <c r="C44" s="610"/>
      <c r="D44" s="610"/>
      <c r="E44" s="610"/>
      <c r="F44" s="610"/>
      <c r="G44" s="610"/>
      <c r="H44" s="610"/>
      <c r="I44" s="609"/>
      <c r="J44" s="611" t="s">
        <v>725</v>
      </c>
      <c r="K44" s="611"/>
      <c r="L44" s="612"/>
      <c r="M44" s="613"/>
      <c r="N44" s="613"/>
      <c r="O44" s="613"/>
      <c r="P44" s="608"/>
      <c r="Q44" s="610"/>
      <c r="R44" s="610"/>
    </row>
    <row r="45" ht="46.5" customHeight="1">
      <c r="A45" s="621"/>
      <c r="B45" s="610"/>
      <c r="C45" s="610"/>
      <c r="D45" s="610"/>
      <c r="E45" s="610"/>
      <c r="F45" s="610"/>
      <c r="G45" s="610"/>
      <c r="H45" s="610"/>
      <c r="I45" s="609"/>
      <c r="J45" s="611" t="s">
        <v>56</v>
      </c>
      <c r="K45" s="611"/>
      <c r="L45" s="612"/>
      <c r="M45" s="613"/>
      <c r="N45" s="613"/>
      <c r="O45" s="613"/>
      <c r="P45" s="608"/>
      <c r="Q45" s="610"/>
      <c r="R45" s="610"/>
    </row>
    <row r="46" ht="25.5" customHeight="1">
      <c r="A46" s="621"/>
      <c r="B46" s="610"/>
      <c r="C46" s="610"/>
      <c r="D46" s="610"/>
      <c r="E46" s="610"/>
      <c r="F46" s="610"/>
      <c r="G46" s="610"/>
      <c r="H46" s="610"/>
      <c r="I46" s="610"/>
      <c r="J46" s="629"/>
      <c r="K46" s="629"/>
      <c r="L46" s="629"/>
      <c r="M46" s="629"/>
      <c r="N46" s="629"/>
      <c r="O46" s="629"/>
      <c r="P46" s="610"/>
      <c r="Q46" s="610"/>
      <c r="R46" s="610"/>
    </row>
    <row r="47" ht="25.5" customHeight="1">
      <c r="A47" s="621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0"/>
      <c r="P47" s="610"/>
      <c r="Q47" s="610"/>
      <c r="R47" s="610"/>
    </row>
    <row r="48" ht="25.5" customHeight="1">
      <c r="A48" s="628"/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0"/>
      <c r="P48" s="610"/>
      <c r="Q48" s="610"/>
      <c r="R48" s="610"/>
    </row>
    <row r="49" ht="25.5" customHeight="1">
      <c r="A49" s="626"/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</row>
    <row r="50" ht="25.5" customHeight="1">
      <c r="A50" s="626"/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</row>
    <row r="51" ht="27.0" customHeight="1">
      <c r="A51" s="626"/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  <c r="P51" s="610"/>
      <c r="Q51" s="610"/>
      <c r="R51" s="610"/>
    </row>
    <row r="52" ht="27.0" customHeight="1">
      <c r="A52" s="621"/>
      <c r="B52" s="610"/>
      <c r="C52" s="610"/>
      <c r="D52" s="610"/>
      <c r="E52" s="610"/>
      <c r="F52" s="610"/>
      <c r="G52" s="610"/>
      <c r="H52" s="610"/>
      <c r="I52" s="610"/>
      <c r="J52" s="610"/>
      <c r="K52" s="610"/>
      <c r="L52" s="610"/>
      <c r="M52" s="610"/>
      <c r="N52" s="610"/>
      <c r="O52" s="610"/>
      <c r="P52" s="610"/>
      <c r="Q52" s="610"/>
      <c r="R52" s="610"/>
    </row>
    <row r="53" ht="27.0" customHeight="1">
      <c r="A53" s="626"/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</row>
    <row r="54" ht="27.0" customHeight="1">
      <c r="A54" s="621"/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</row>
    <row r="55" ht="27.0" customHeight="1">
      <c r="A55" s="621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  <c r="P55" s="610"/>
      <c r="Q55" s="610"/>
      <c r="R55" s="610"/>
    </row>
    <row r="56" ht="27.0" customHeight="1">
      <c r="A56" s="621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0"/>
      <c r="P56" s="610"/>
      <c r="Q56" s="610"/>
      <c r="R56" s="610"/>
    </row>
    <row r="57" ht="27.0" customHeight="1">
      <c r="A57" s="621"/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</row>
    <row r="58" ht="27.0" customHeight="1">
      <c r="A58" s="621"/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</row>
    <row r="59" ht="27.0" customHeight="1">
      <c r="A59" s="621"/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</row>
    <row r="60" ht="27.0" customHeight="1">
      <c r="A60" s="626"/>
      <c r="B60" s="610"/>
      <c r="C60" s="610"/>
      <c r="D60" s="610"/>
      <c r="E60" s="610"/>
      <c r="F60" s="610"/>
      <c r="G60" s="610"/>
      <c r="H60" s="610"/>
      <c r="I60" s="610"/>
      <c r="J60" s="610"/>
      <c r="K60" s="610"/>
      <c r="L60" s="610"/>
      <c r="M60" s="610"/>
      <c r="N60" s="610"/>
      <c r="O60" s="610"/>
      <c r="P60" s="610"/>
      <c r="Q60" s="610"/>
      <c r="R60" s="610"/>
    </row>
    <row r="61" ht="27.0" customHeight="1">
      <c r="A61" s="626"/>
      <c r="B61" s="610"/>
      <c r="C61" s="610"/>
      <c r="D61" s="610"/>
      <c r="E61" s="610"/>
      <c r="F61" s="610"/>
      <c r="G61" s="610"/>
      <c r="H61" s="610"/>
      <c r="I61" s="610"/>
      <c r="J61" s="610"/>
      <c r="K61" s="610"/>
      <c r="L61" s="610"/>
      <c r="M61" s="610"/>
      <c r="N61" s="610"/>
      <c r="O61" s="610"/>
      <c r="P61" s="610"/>
      <c r="Q61" s="610"/>
      <c r="R61" s="610"/>
    </row>
    <row r="62" ht="27.0" customHeight="1">
      <c r="A62" s="621"/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</row>
    <row r="63" ht="27.0" customHeight="1">
      <c r="A63" s="626"/>
      <c r="B63" s="610"/>
      <c r="C63" s="610"/>
      <c r="D63" s="610"/>
      <c r="E63" s="610"/>
      <c r="F63" s="610"/>
      <c r="G63" s="610"/>
      <c r="H63" s="610"/>
      <c r="I63" s="610"/>
      <c r="J63" s="610"/>
      <c r="K63" s="610"/>
      <c r="L63" s="610"/>
      <c r="M63" s="610"/>
      <c r="N63" s="610"/>
      <c r="O63" s="610"/>
      <c r="P63" s="610"/>
      <c r="Q63" s="610"/>
      <c r="R63" s="610"/>
    </row>
    <row r="64" ht="27.0" customHeight="1">
      <c r="A64" s="626"/>
      <c r="B64" s="610"/>
      <c r="C64" s="610"/>
      <c r="D64" s="610"/>
      <c r="E64" s="610"/>
      <c r="F64" s="610"/>
      <c r="G64" s="610"/>
      <c r="H64" s="610"/>
      <c r="I64" s="610"/>
      <c r="J64" s="610"/>
      <c r="K64" s="610"/>
      <c r="L64" s="610"/>
      <c r="M64" s="610"/>
      <c r="N64" s="610"/>
      <c r="O64" s="610"/>
      <c r="P64" s="610"/>
      <c r="Q64" s="610"/>
      <c r="R64" s="610"/>
    </row>
    <row r="65" ht="27.0" customHeight="1">
      <c r="A65" s="626"/>
      <c r="B65" s="610"/>
      <c r="C65" s="610"/>
      <c r="D65" s="610"/>
      <c r="E65" s="610"/>
      <c r="F65" s="610"/>
      <c r="G65" s="610"/>
      <c r="H65" s="610"/>
      <c r="I65" s="610"/>
      <c r="J65" s="610"/>
      <c r="K65" s="610"/>
      <c r="L65" s="610"/>
      <c r="M65" s="610"/>
      <c r="N65" s="610"/>
      <c r="O65" s="610"/>
      <c r="P65" s="610"/>
      <c r="Q65" s="610"/>
      <c r="R65" s="610"/>
    </row>
    <row r="66" ht="27.0" customHeight="1">
      <c r="A66" s="626"/>
      <c r="B66" s="610"/>
      <c r="C66" s="610"/>
      <c r="D66" s="610"/>
      <c r="E66" s="610"/>
      <c r="F66" s="610"/>
      <c r="G66" s="610"/>
      <c r="H66" s="610"/>
      <c r="I66" s="610"/>
      <c r="J66" s="610"/>
      <c r="K66" s="610"/>
      <c r="L66" s="610"/>
      <c r="M66" s="610"/>
      <c r="N66" s="610"/>
      <c r="O66" s="610"/>
      <c r="P66" s="610"/>
      <c r="Q66" s="610"/>
      <c r="R66" s="610"/>
    </row>
    <row r="67" ht="27.0" customHeight="1">
      <c r="A67" s="621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0"/>
      <c r="P67" s="610"/>
      <c r="Q67" s="610"/>
      <c r="R67" s="610"/>
    </row>
    <row r="68" ht="27.0" customHeight="1">
      <c r="A68" s="621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0"/>
      <c r="P68" s="610"/>
      <c r="Q68" s="610"/>
      <c r="R68" s="610"/>
    </row>
    <row r="69" ht="27.0" customHeight="1">
      <c r="A69" s="621"/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</row>
    <row r="70" ht="27.0" customHeight="1">
      <c r="A70" s="626"/>
      <c r="B70" s="610"/>
      <c r="C70" s="610"/>
      <c r="D70" s="610"/>
      <c r="E70" s="610"/>
      <c r="F70" s="610"/>
      <c r="G70" s="610"/>
      <c r="H70" s="610"/>
      <c r="I70" s="610"/>
      <c r="J70" s="610"/>
      <c r="K70" s="610"/>
      <c r="L70" s="610"/>
      <c r="M70" s="610"/>
      <c r="N70" s="610"/>
      <c r="O70" s="610"/>
      <c r="P70" s="610"/>
      <c r="Q70" s="610"/>
      <c r="R70" s="610"/>
    </row>
    <row r="71" ht="27.0" customHeight="1">
      <c r="A71" s="626"/>
      <c r="B71" s="610"/>
      <c r="C71" s="610"/>
      <c r="D71" s="610"/>
      <c r="E71" s="610"/>
      <c r="F71" s="610"/>
      <c r="G71" s="610"/>
      <c r="H71" s="610"/>
      <c r="I71" s="610"/>
      <c r="J71" s="610"/>
      <c r="K71" s="610"/>
      <c r="L71" s="610"/>
      <c r="M71" s="610"/>
      <c r="N71" s="610"/>
      <c r="O71" s="610"/>
      <c r="P71" s="610"/>
      <c r="Q71" s="610"/>
      <c r="R71" s="610"/>
    </row>
    <row r="72">
      <c r="A72" s="626"/>
      <c r="B72" s="610"/>
      <c r="C72" s="610"/>
      <c r="D72" s="610"/>
      <c r="E72" s="610"/>
      <c r="F72" s="610"/>
      <c r="G72" s="610"/>
      <c r="H72" s="610"/>
      <c r="I72" s="610"/>
      <c r="J72" s="610"/>
      <c r="K72" s="610"/>
      <c r="L72" s="610"/>
      <c r="M72" s="610"/>
      <c r="N72" s="610"/>
      <c r="O72" s="610"/>
      <c r="P72" s="610"/>
      <c r="Q72" s="610"/>
      <c r="R72" s="610"/>
    </row>
    <row r="73">
      <c r="A73" s="621"/>
      <c r="B73" s="610"/>
      <c r="C73" s="610"/>
      <c r="D73" s="610"/>
      <c r="E73" s="610"/>
      <c r="F73" s="610"/>
      <c r="G73" s="610"/>
      <c r="H73" s="610"/>
      <c r="I73" s="610"/>
      <c r="J73" s="610"/>
      <c r="K73" s="610"/>
      <c r="L73" s="610"/>
      <c r="M73" s="610"/>
      <c r="N73" s="610"/>
      <c r="O73" s="610"/>
      <c r="P73" s="610"/>
      <c r="Q73" s="610"/>
      <c r="R73" s="610"/>
    </row>
    <row r="74">
      <c r="A74" s="62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0"/>
      <c r="P74" s="610"/>
      <c r="Q74" s="610"/>
      <c r="R74" s="610"/>
    </row>
    <row r="75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0"/>
      <c r="P75" s="610"/>
      <c r="Q75" s="610"/>
      <c r="R75" s="610"/>
    </row>
    <row r="76">
      <c r="A76" s="610"/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</row>
    <row r="77">
      <c r="A77" s="610"/>
      <c r="B77" s="610"/>
      <c r="C77" s="610"/>
      <c r="D77" s="610"/>
      <c r="E77" s="610"/>
      <c r="F77" s="610"/>
      <c r="G77" s="610"/>
      <c r="H77" s="610"/>
      <c r="I77" s="610"/>
      <c r="J77" s="610"/>
      <c r="K77" s="610"/>
      <c r="L77" s="610"/>
      <c r="M77" s="610"/>
      <c r="N77" s="610"/>
      <c r="O77" s="610"/>
      <c r="P77" s="610"/>
      <c r="Q77" s="610"/>
      <c r="R77" s="610"/>
    </row>
    <row r="78">
      <c r="A78" s="610"/>
      <c r="B78" s="610"/>
      <c r="C78" s="610"/>
      <c r="D78" s="610"/>
      <c r="E78" s="610"/>
      <c r="F78" s="610"/>
      <c r="G78" s="610"/>
      <c r="H78" s="610"/>
      <c r="I78" s="610"/>
      <c r="J78" s="610"/>
      <c r="K78" s="610"/>
      <c r="L78" s="610"/>
      <c r="M78" s="610"/>
      <c r="N78" s="610"/>
      <c r="O78" s="610"/>
      <c r="P78" s="610"/>
      <c r="Q78" s="610"/>
      <c r="R78" s="610"/>
    </row>
    <row r="79">
      <c r="A79" s="610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0"/>
      <c r="P79" s="610"/>
      <c r="Q79" s="610"/>
      <c r="R79" s="610"/>
    </row>
    <row r="80">
      <c r="A80" s="610"/>
      <c r="H80" s="610"/>
      <c r="I80" s="610"/>
      <c r="P80" s="610"/>
      <c r="Q80" s="610"/>
      <c r="R80" s="610"/>
    </row>
    <row r="81">
      <c r="A81" s="610"/>
      <c r="H81" s="610"/>
      <c r="I81" s="610"/>
      <c r="P81" s="610"/>
      <c r="Q81" s="610"/>
      <c r="R81" s="610"/>
    </row>
    <row r="82">
      <c r="A82" s="610"/>
      <c r="H82" s="610"/>
      <c r="I82" s="610"/>
      <c r="P82" s="610"/>
      <c r="Q82" s="610"/>
      <c r="R82" s="610"/>
    </row>
    <row r="83">
      <c r="A83" s="610"/>
      <c r="H83" s="610"/>
      <c r="I83" s="610"/>
      <c r="P83" s="610"/>
      <c r="Q83" s="610"/>
      <c r="R83" s="610"/>
    </row>
    <row r="84">
      <c r="A84" s="610"/>
      <c r="H84" s="610"/>
      <c r="I84" s="610"/>
      <c r="P84" s="610"/>
      <c r="Q84" s="610"/>
      <c r="R84" s="610"/>
    </row>
    <row r="85">
      <c r="A85" s="610"/>
      <c r="H85" s="610"/>
      <c r="I85" s="610"/>
      <c r="P85" s="610"/>
      <c r="Q85" s="610"/>
      <c r="R85" s="610"/>
    </row>
    <row r="86">
      <c r="A86" s="610"/>
      <c r="H86" s="610"/>
      <c r="I86" s="610"/>
      <c r="P86" s="610"/>
      <c r="Q86" s="610"/>
      <c r="R86" s="610"/>
    </row>
    <row r="87">
      <c r="A87" s="610"/>
      <c r="H87" s="610"/>
      <c r="I87" s="610"/>
      <c r="P87" s="610"/>
      <c r="Q87" s="610"/>
      <c r="R87" s="610"/>
    </row>
    <row r="88">
      <c r="A88" s="610"/>
      <c r="H88" s="610"/>
      <c r="I88" s="610"/>
      <c r="P88" s="610"/>
      <c r="Q88" s="610"/>
      <c r="R88" s="610"/>
    </row>
    <row r="89">
      <c r="A89" s="610"/>
      <c r="H89" s="610"/>
      <c r="I89" s="610"/>
      <c r="P89" s="610"/>
      <c r="Q89" s="610"/>
      <c r="R89" s="610"/>
    </row>
    <row r="90">
      <c r="A90" s="610"/>
      <c r="H90" s="610"/>
      <c r="I90" s="610"/>
      <c r="P90" s="610"/>
      <c r="Q90" s="610"/>
      <c r="R90" s="610"/>
    </row>
    <row r="91">
      <c r="A91" s="610"/>
      <c r="H91" s="610"/>
      <c r="I91" s="610"/>
      <c r="P91" s="610"/>
      <c r="Q91" s="610"/>
      <c r="R91" s="610"/>
    </row>
    <row r="92">
      <c r="A92" s="610"/>
      <c r="H92" s="610"/>
      <c r="I92" s="610"/>
      <c r="P92" s="610"/>
      <c r="Q92" s="610"/>
      <c r="R92" s="610"/>
    </row>
    <row r="93">
      <c r="A93" s="610"/>
      <c r="H93" s="610"/>
      <c r="I93" s="610"/>
      <c r="P93" s="610"/>
      <c r="Q93" s="610"/>
      <c r="R93" s="610"/>
    </row>
    <row r="94">
      <c r="A94" s="610"/>
      <c r="H94" s="610"/>
      <c r="I94" s="610"/>
      <c r="P94" s="610"/>
      <c r="Q94" s="610"/>
      <c r="R94" s="610"/>
    </row>
    <row r="95">
      <c r="A95" s="610"/>
      <c r="H95" s="610"/>
      <c r="I95" s="610"/>
      <c r="P95" s="610"/>
      <c r="Q95" s="610"/>
      <c r="R95" s="610"/>
    </row>
    <row r="96">
      <c r="A96" s="610"/>
      <c r="H96" s="610"/>
      <c r="I96" s="610"/>
      <c r="P96" s="610"/>
      <c r="Q96" s="610"/>
      <c r="R96" s="610"/>
    </row>
    <row r="97">
      <c r="A97" s="610"/>
      <c r="H97" s="610"/>
      <c r="I97" s="610"/>
      <c r="P97" s="610"/>
      <c r="Q97" s="610"/>
      <c r="R97" s="610"/>
    </row>
    <row r="98">
      <c r="A98" s="610"/>
      <c r="H98" s="610"/>
      <c r="I98" s="610"/>
      <c r="P98" s="610"/>
      <c r="Q98" s="610"/>
      <c r="R98" s="610"/>
    </row>
    <row r="99">
      <c r="A99" s="610"/>
      <c r="H99" s="610"/>
      <c r="I99" s="610"/>
      <c r="P99" s="610"/>
      <c r="Q99" s="610"/>
      <c r="R99" s="610"/>
    </row>
    <row r="100">
      <c r="A100" s="610"/>
      <c r="H100" s="610"/>
      <c r="I100" s="610"/>
      <c r="P100" s="610"/>
      <c r="Q100" s="610"/>
      <c r="R100" s="610"/>
    </row>
    <row r="101">
      <c r="A101" s="610"/>
      <c r="H101" s="610"/>
      <c r="I101" s="610"/>
      <c r="P101" s="610"/>
      <c r="Q101" s="610"/>
      <c r="R101" s="610"/>
    </row>
    <row r="102">
      <c r="A102" s="610"/>
      <c r="H102" s="610"/>
      <c r="I102" s="610"/>
      <c r="P102" s="610"/>
      <c r="Q102" s="610"/>
      <c r="R102" s="610"/>
    </row>
    <row r="103">
      <c r="A103" s="610"/>
      <c r="H103" s="610"/>
      <c r="I103" s="610"/>
      <c r="P103" s="610"/>
      <c r="Q103" s="610"/>
      <c r="R103" s="610"/>
    </row>
    <row r="104">
      <c r="A104" s="610"/>
      <c r="H104" s="610"/>
      <c r="I104" s="610"/>
      <c r="P104" s="610"/>
      <c r="Q104" s="610"/>
      <c r="R104" s="610"/>
    </row>
    <row r="105">
      <c r="A105" s="610"/>
      <c r="H105" s="610"/>
      <c r="I105" s="610"/>
      <c r="P105" s="610"/>
      <c r="Q105" s="610"/>
      <c r="R105" s="610"/>
    </row>
    <row r="106">
      <c r="A106" s="610"/>
      <c r="H106" s="610"/>
      <c r="I106" s="610"/>
      <c r="P106" s="610"/>
      <c r="Q106" s="610"/>
      <c r="R106" s="610"/>
    </row>
    <row r="107">
      <c r="A107" s="610"/>
      <c r="H107" s="610"/>
      <c r="I107" s="610"/>
      <c r="P107" s="610"/>
      <c r="Q107" s="610"/>
      <c r="R107" s="610"/>
    </row>
    <row r="108">
      <c r="A108" s="610"/>
      <c r="H108" s="610"/>
      <c r="I108" s="610"/>
      <c r="P108" s="610"/>
      <c r="Q108" s="610"/>
      <c r="R108" s="610"/>
    </row>
    <row r="109">
      <c r="A109" s="610"/>
      <c r="H109" s="610"/>
      <c r="I109" s="610"/>
      <c r="P109" s="610"/>
      <c r="Q109" s="610"/>
      <c r="R109" s="610"/>
    </row>
    <row r="110">
      <c r="A110" s="610"/>
      <c r="H110" s="610"/>
      <c r="I110" s="610"/>
      <c r="P110" s="610"/>
      <c r="Q110" s="610"/>
      <c r="R110" s="610"/>
    </row>
    <row r="111">
      <c r="A111" s="610"/>
      <c r="H111" s="610"/>
      <c r="I111" s="610"/>
      <c r="P111" s="610"/>
      <c r="Q111" s="610"/>
      <c r="R111" s="610"/>
    </row>
    <row r="112">
      <c r="A112" s="610"/>
      <c r="H112" s="610"/>
      <c r="I112" s="610"/>
      <c r="P112" s="610"/>
      <c r="Q112" s="610"/>
      <c r="R112" s="610"/>
    </row>
    <row r="113">
      <c r="A113" s="610"/>
      <c r="H113" s="610"/>
      <c r="I113" s="610"/>
      <c r="P113" s="610"/>
      <c r="Q113" s="610"/>
      <c r="R113" s="610"/>
    </row>
    <row r="114">
      <c r="A114" s="610"/>
      <c r="H114" s="610"/>
      <c r="I114" s="610"/>
      <c r="P114" s="610"/>
      <c r="Q114" s="610"/>
      <c r="R114" s="610"/>
    </row>
    <row r="115">
      <c r="A115" s="610"/>
      <c r="H115" s="610"/>
      <c r="I115" s="610"/>
      <c r="P115" s="610"/>
      <c r="Q115" s="610"/>
      <c r="R115" s="610"/>
    </row>
    <row r="116">
      <c r="A116" s="610"/>
      <c r="H116" s="610"/>
      <c r="I116" s="610"/>
      <c r="P116" s="610"/>
      <c r="Q116" s="610"/>
      <c r="R116" s="610"/>
    </row>
    <row r="117">
      <c r="A117" s="610"/>
      <c r="H117" s="610"/>
      <c r="I117" s="610"/>
      <c r="P117" s="610"/>
      <c r="Q117" s="610"/>
      <c r="R117" s="610"/>
    </row>
    <row r="118">
      <c r="A118" s="610"/>
      <c r="H118" s="610"/>
      <c r="I118" s="610"/>
      <c r="P118" s="610"/>
      <c r="Q118" s="610"/>
      <c r="R118" s="610"/>
    </row>
    <row r="119">
      <c r="A119" s="610"/>
      <c r="H119" s="610"/>
      <c r="I119" s="610"/>
      <c r="P119" s="610"/>
      <c r="Q119" s="610"/>
      <c r="R119" s="610"/>
    </row>
    <row r="120">
      <c r="A120" s="610"/>
      <c r="H120" s="610"/>
      <c r="I120" s="610"/>
      <c r="P120" s="610"/>
      <c r="Q120" s="610"/>
      <c r="R120" s="610"/>
    </row>
    <row r="121">
      <c r="A121" s="610"/>
      <c r="H121" s="610"/>
      <c r="I121" s="610"/>
      <c r="P121" s="610"/>
      <c r="Q121" s="610"/>
      <c r="R121" s="610"/>
    </row>
    <row r="122">
      <c r="A122" s="610"/>
      <c r="H122" s="610"/>
      <c r="I122" s="610"/>
      <c r="P122" s="610"/>
      <c r="Q122" s="610"/>
      <c r="R122" s="610"/>
    </row>
    <row r="123">
      <c r="A123" s="610"/>
      <c r="H123" s="610"/>
      <c r="I123" s="610"/>
      <c r="P123" s="610"/>
      <c r="Q123" s="610"/>
      <c r="R123" s="610"/>
    </row>
    <row r="124">
      <c r="A124" s="610"/>
      <c r="H124" s="610"/>
      <c r="I124" s="610"/>
      <c r="P124" s="610"/>
      <c r="Q124" s="610"/>
      <c r="R124" s="610"/>
    </row>
    <row r="125">
      <c r="A125" s="610"/>
      <c r="H125" s="610"/>
      <c r="I125" s="610"/>
      <c r="P125" s="610"/>
      <c r="Q125" s="610"/>
      <c r="R125" s="610"/>
    </row>
    <row r="126">
      <c r="A126" s="610"/>
      <c r="H126" s="610"/>
      <c r="I126" s="610"/>
      <c r="P126" s="610"/>
      <c r="Q126" s="610"/>
      <c r="R126" s="610"/>
    </row>
    <row r="127">
      <c r="A127" s="610"/>
      <c r="H127" s="610"/>
      <c r="I127" s="610"/>
      <c r="P127" s="610"/>
      <c r="Q127" s="610"/>
      <c r="R127" s="610"/>
    </row>
    <row r="128">
      <c r="A128" s="610"/>
      <c r="H128" s="610"/>
      <c r="I128" s="610"/>
      <c r="P128" s="610"/>
      <c r="Q128" s="610"/>
      <c r="R128" s="610"/>
    </row>
    <row r="129">
      <c r="A129" s="610"/>
      <c r="H129" s="610"/>
      <c r="I129" s="610"/>
      <c r="P129" s="610"/>
      <c r="Q129" s="610"/>
      <c r="R129" s="610"/>
    </row>
    <row r="130">
      <c r="A130" s="610"/>
      <c r="H130" s="610"/>
      <c r="I130" s="610"/>
      <c r="P130" s="610"/>
      <c r="Q130" s="610"/>
      <c r="R130" s="610"/>
    </row>
    <row r="131">
      <c r="A131" s="610"/>
      <c r="H131" s="610"/>
      <c r="I131" s="610"/>
      <c r="P131" s="610"/>
      <c r="Q131" s="610"/>
      <c r="R131" s="610"/>
    </row>
    <row r="132">
      <c r="A132" s="610"/>
      <c r="H132" s="610"/>
      <c r="I132" s="610"/>
      <c r="P132" s="610"/>
      <c r="Q132" s="610"/>
      <c r="R132" s="610"/>
    </row>
    <row r="133">
      <c r="A133" s="610"/>
      <c r="H133" s="610"/>
      <c r="I133" s="610"/>
      <c r="P133" s="610"/>
      <c r="Q133" s="610"/>
      <c r="R133" s="610"/>
    </row>
    <row r="134">
      <c r="A134" s="610"/>
      <c r="H134" s="610"/>
      <c r="I134" s="610"/>
      <c r="P134" s="610"/>
      <c r="Q134" s="610"/>
      <c r="R134" s="610"/>
    </row>
    <row r="135">
      <c r="A135" s="610"/>
      <c r="H135" s="610"/>
      <c r="I135" s="610"/>
      <c r="P135" s="610"/>
      <c r="Q135" s="610"/>
      <c r="R135" s="610"/>
    </row>
    <row r="136">
      <c r="A136" s="610"/>
      <c r="H136" s="610"/>
      <c r="I136" s="610"/>
      <c r="P136" s="610"/>
      <c r="Q136" s="610"/>
      <c r="R136" s="610"/>
    </row>
    <row r="137">
      <c r="A137" s="610"/>
      <c r="H137" s="610"/>
      <c r="I137" s="610"/>
      <c r="P137" s="610"/>
      <c r="Q137" s="610"/>
      <c r="R137" s="610"/>
    </row>
    <row r="138">
      <c r="A138" s="610"/>
      <c r="H138" s="610"/>
      <c r="I138" s="610"/>
      <c r="P138" s="610"/>
      <c r="Q138" s="610"/>
      <c r="R138" s="610"/>
    </row>
    <row r="139">
      <c r="A139" s="610"/>
      <c r="H139" s="610"/>
      <c r="I139" s="610"/>
      <c r="P139" s="610"/>
      <c r="Q139" s="610"/>
      <c r="R139" s="610"/>
    </row>
    <row r="140">
      <c r="A140" s="610"/>
      <c r="H140" s="610"/>
      <c r="I140" s="610"/>
      <c r="P140" s="610"/>
      <c r="Q140" s="610"/>
      <c r="R140" s="610"/>
    </row>
    <row r="141">
      <c r="A141" s="610"/>
      <c r="H141" s="610"/>
      <c r="I141" s="610"/>
      <c r="P141" s="610"/>
      <c r="Q141" s="610"/>
      <c r="R141" s="610"/>
    </row>
    <row r="142">
      <c r="A142" s="610"/>
      <c r="H142" s="610"/>
      <c r="I142" s="610"/>
      <c r="P142" s="610"/>
      <c r="Q142" s="610"/>
      <c r="R142" s="610"/>
    </row>
    <row r="143">
      <c r="A143" s="610"/>
      <c r="H143" s="610"/>
      <c r="I143" s="610"/>
      <c r="P143" s="610"/>
      <c r="Q143" s="610"/>
      <c r="R143" s="610"/>
    </row>
    <row r="144">
      <c r="A144" s="610"/>
      <c r="H144" s="610"/>
      <c r="I144" s="610"/>
      <c r="P144" s="610"/>
      <c r="Q144" s="610"/>
      <c r="R144" s="610"/>
    </row>
    <row r="145">
      <c r="A145" s="610"/>
      <c r="H145" s="610"/>
      <c r="I145" s="610"/>
      <c r="P145" s="610"/>
      <c r="Q145" s="610"/>
      <c r="R145" s="610"/>
    </row>
    <row r="146">
      <c r="A146" s="610"/>
      <c r="H146" s="610"/>
      <c r="I146" s="610"/>
      <c r="P146" s="610"/>
      <c r="Q146" s="610"/>
      <c r="R146" s="610"/>
    </row>
    <row r="147">
      <c r="A147" s="610"/>
      <c r="H147" s="610"/>
      <c r="I147" s="610"/>
      <c r="P147" s="610"/>
      <c r="Q147" s="610"/>
      <c r="R147" s="610"/>
    </row>
    <row r="148">
      <c r="A148" s="610"/>
      <c r="H148" s="610"/>
      <c r="I148" s="610"/>
      <c r="P148" s="610"/>
      <c r="Q148" s="610"/>
      <c r="R148" s="610"/>
    </row>
    <row r="149">
      <c r="A149" s="610"/>
      <c r="H149" s="610"/>
      <c r="I149" s="610"/>
      <c r="P149" s="610"/>
      <c r="Q149" s="610"/>
      <c r="R149" s="610"/>
    </row>
    <row r="150">
      <c r="A150" s="610"/>
      <c r="H150" s="610"/>
      <c r="I150" s="610"/>
      <c r="P150" s="610"/>
      <c r="Q150" s="610"/>
      <c r="R150" s="610"/>
    </row>
    <row r="151">
      <c r="A151" s="610"/>
      <c r="H151" s="610"/>
      <c r="I151" s="610"/>
      <c r="P151" s="610"/>
      <c r="Q151" s="610"/>
      <c r="R151" s="610"/>
    </row>
    <row r="152">
      <c r="A152" s="610"/>
      <c r="H152" s="610"/>
      <c r="I152" s="610"/>
      <c r="P152" s="610"/>
      <c r="Q152" s="610"/>
      <c r="R152" s="610"/>
    </row>
    <row r="153">
      <c r="A153" s="610"/>
      <c r="H153" s="610"/>
      <c r="I153" s="610"/>
      <c r="P153" s="610"/>
      <c r="Q153" s="610"/>
      <c r="R153" s="610"/>
    </row>
    <row r="154">
      <c r="A154" s="610"/>
      <c r="H154" s="610"/>
      <c r="I154" s="610"/>
      <c r="P154" s="610"/>
      <c r="Q154" s="610"/>
      <c r="R154" s="610"/>
    </row>
    <row r="155">
      <c r="A155" s="610"/>
      <c r="H155" s="610"/>
      <c r="I155" s="610"/>
      <c r="P155" s="610"/>
      <c r="Q155" s="610"/>
      <c r="R155" s="610"/>
    </row>
    <row r="156">
      <c r="A156" s="610"/>
      <c r="H156" s="610"/>
      <c r="I156" s="610"/>
      <c r="P156" s="610"/>
      <c r="Q156" s="610"/>
      <c r="R156" s="610"/>
    </row>
    <row r="157">
      <c r="A157" s="610"/>
      <c r="H157" s="610"/>
      <c r="I157" s="610"/>
      <c r="P157" s="610"/>
      <c r="Q157" s="610"/>
      <c r="R157" s="610"/>
    </row>
    <row r="158">
      <c r="A158" s="610"/>
      <c r="H158" s="610"/>
      <c r="I158" s="610"/>
      <c r="P158" s="610"/>
      <c r="Q158" s="610"/>
      <c r="R158" s="610"/>
    </row>
    <row r="159">
      <c r="A159" s="610"/>
      <c r="H159" s="610"/>
      <c r="I159" s="610"/>
      <c r="P159" s="610"/>
      <c r="Q159" s="610"/>
      <c r="R159" s="610"/>
    </row>
    <row r="160">
      <c r="A160" s="610"/>
      <c r="H160" s="610"/>
      <c r="I160" s="610"/>
      <c r="P160" s="610"/>
      <c r="Q160" s="610"/>
      <c r="R160" s="610"/>
    </row>
    <row r="161">
      <c r="A161" s="610"/>
      <c r="H161" s="610"/>
      <c r="I161" s="610"/>
      <c r="P161" s="610"/>
      <c r="Q161" s="610"/>
      <c r="R161" s="610"/>
    </row>
    <row r="162">
      <c r="A162" s="610"/>
      <c r="H162" s="610"/>
      <c r="I162" s="610"/>
      <c r="P162" s="610"/>
      <c r="Q162" s="610"/>
      <c r="R162" s="610"/>
    </row>
    <row r="163">
      <c r="A163" s="610"/>
      <c r="H163" s="610"/>
      <c r="I163" s="610"/>
      <c r="P163" s="610"/>
      <c r="Q163" s="610"/>
      <c r="R163" s="610"/>
    </row>
    <row r="164">
      <c r="A164" s="610"/>
      <c r="H164" s="610"/>
      <c r="I164" s="610"/>
      <c r="P164" s="610"/>
      <c r="Q164" s="610"/>
      <c r="R164" s="610"/>
    </row>
    <row r="165">
      <c r="A165" s="610"/>
      <c r="H165" s="610"/>
      <c r="I165" s="610"/>
      <c r="P165" s="610"/>
      <c r="Q165" s="610"/>
      <c r="R165" s="610"/>
    </row>
    <row r="166">
      <c r="A166" s="610"/>
      <c r="H166" s="610"/>
      <c r="I166" s="610"/>
      <c r="P166" s="610"/>
      <c r="Q166" s="610"/>
      <c r="R166" s="610"/>
    </row>
    <row r="167">
      <c r="A167" s="610"/>
      <c r="H167" s="610"/>
      <c r="I167" s="610"/>
      <c r="P167" s="610"/>
      <c r="Q167" s="610"/>
      <c r="R167" s="610"/>
    </row>
    <row r="168">
      <c r="A168" s="610"/>
      <c r="H168" s="610"/>
      <c r="I168" s="610"/>
      <c r="P168" s="610"/>
      <c r="Q168" s="610"/>
      <c r="R168" s="610"/>
    </row>
    <row r="169">
      <c r="A169" s="610"/>
      <c r="H169" s="610"/>
      <c r="I169" s="610"/>
      <c r="P169" s="610"/>
      <c r="Q169" s="610"/>
      <c r="R169" s="610"/>
    </row>
    <row r="170">
      <c r="A170" s="610"/>
      <c r="H170" s="610"/>
      <c r="I170" s="610"/>
      <c r="P170" s="610"/>
      <c r="Q170" s="610"/>
      <c r="R170" s="610"/>
    </row>
    <row r="171">
      <c r="A171" s="610"/>
      <c r="H171" s="610"/>
      <c r="I171" s="610"/>
      <c r="P171" s="610"/>
      <c r="Q171" s="610"/>
      <c r="R171" s="610"/>
    </row>
    <row r="172">
      <c r="A172" s="610"/>
      <c r="H172" s="610"/>
      <c r="I172" s="610"/>
      <c r="P172" s="610"/>
      <c r="Q172" s="610"/>
      <c r="R172" s="610"/>
    </row>
    <row r="173">
      <c r="A173" s="610"/>
      <c r="H173" s="610"/>
      <c r="I173" s="610"/>
      <c r="P173" s="610"/>
      <c r="Q173" s="610"/>
      <c r="R173" s="610"/>
    </row>
    <row r="174">
      <c r="A174" s="610"/>
      <c r="H174" s="610"/>
      <c r="I174" s="610"/>
      <c r="P174" s="610"/>
      <c r="Q174" s="610"/>
      <c r="R174" s="610"/>
    </row>
    <row r="175">
      <c r="A175" s="610"/>
      <c r="H175" s="610"/>
      <c r="I175" s="610"/>
      <c r="P175" s="610"/>
      <c r="Q175" s="610"/>
      <c r="R175" s="610"/>
    </row>
    <row r="176">
      <c r="A176" s="610"/>
      <c r="H176" s="610"/>
      <c r="I176" s="610"/>
      <c r="P176" s="610"/>
      <c r="Q176" s="610"/>
      <c r="R176" s="610"/>
    </row>
    <row r="177">
      <c r="A177" s="610"/>
      <c r="H177" s="610"/>
      <c r="I177" s="610"/>
      <c r="P177" s="610"/>
      <c r="Q177" s="610"/>
      <c r="R177" s="610"/>
    </row>
    <row r="178">
      <c r="A178" s="610"/>
      <c r="H178" s="610"/>
      <c r="I178" s="610"/>
      <c r="P178" s="610"/>
      <c r="Q178" s="610"/>
      <c r="R178" s="610"/>
    </row>
    <row r="179">
      <c r="A179" s="610"/>
      <c r="H179" s="610"/>
      <c r="I179" s="610"/>
      <c r="P179" s="610"/>
      <c r="Q179" s="610"/>
      <c r="R179" s="610"/>
    </row>
    <row r="180">
      <c r="A180" s="610"/>
      <c r="H180" s="610"/>
      <c r="I180" s="610"/>
      <c r="P180" s="610"/>
      <c r="Q180" s="610"/>
      <c r="R180" s="610"/>
    </row>
    <row r="181">
      <c r="A181" s="610"/>
      <c r="H181" s="610"/>
      <c r="I181" s="610"/>
      <c r="P181" s="610"/>
      <c r="Q181" s="610"/>
      <c r="R181" s="610"/>
    </row>
    <row r="182">
      <c r="A182" s="610"/>
      <c r="H182" s="610"/>
      <c r="I182" s="610"/>
      <c r="P182" s="610"/>
      <c r="Q182" s="610"/>
      <c r="R182" s="610"/>
    </row>
    <row r="183">
      <c r="A183" s="610"/>
      <c r="H183" s="610"/>
      <c r="I183" s="610"/>
      <c r="P183" s="610"/>
      <c r="Q183" s="610"/>
      <c r="R183" s="610"/>
    </row>
    <row r="184">
      <c r="A184" s="610"/>
      <c r="H184" s="610"/>
      <c r="I184" s="610"/>
      <c r="P184" s="610"/>
      <c r="Q184" s="610"/>
      <c r="R184" s="610"/>
    </row>
    <row r="185">
      <c r="A185" s="610"/>
      <c r="H185" s="610"/>
      <c r="I185" s="610"/>
      <c r="P185" s="610"/>
      <c r="Q185" s="610"/>
      <c r="R185" s="610"/>
    </row>
    <row r="186">
      <c r="A186" s="610"/>
      <c r="H186" s="610"/>
      <c r="I186" s="610"/>
      <c r="P186" s="610"/>
      <c r="Q186" s="610"/>
      <c r="R186" s="610"/>
    </row>
    <row r="187">
      <c r="A187" s="610"/>
      <c r="H187" s="610"/>
      <c r="I187" s="610"/>
      <c r="P187" s="610"/>
      <c r="Q187" s="610"/>
      <c r="R187" s="610"/>
    </row>
    <row r="188">
      <c r="A188" s="610"/>
      <c r="H188" s="610"/>
      <c r="I188" s="610"/>
      <c r="P188" s="610"/>
      <c r="Q188" s="610"/>
      <c r="R188" s="610"/>
    </row>
    <row r="189">
      <c r="A189" s="610"/>
      <c r="H189" s="610"/>
      <c r="I189" s="610"/>
      <c r="P189" s="610"/>
      <c r="Q189" s="610"/>
      <c r="R189" s="610"/>
    </row>
    <row r="190">
      <c r="A190" s="610"/>
      <c r="H190" s="610"/>
      <c r="I190" s="610"/>
      <c r="P190" s="610"/>
      <c r="Q190" s="610"/>
      <c r="R190" s="610"/>
    </row>
    <row r="191">
      <c r="A191" s="610"/>
      <c r="H191" s="610"/>
      <c r="I191" s="610"/>
      <c r="P191" s="610"/>
      <c r="Q191" s="610"/>
      <c r="R191" s="610"/>
    </row>
    <row r="192">
      <c r="A192" s="610"/>
      <c r="H192" s="610"/>
      <c r="I192" s="610"/>
      <c r="P192" s="610"/>
      <c r="Q192" s="610"/>
      <c r="R192" s="610"/>
    </row>
    <row r="193">
      <c r="A193" s="610"/>
      <c r="H193" s="610"/>
      <c r="I193" s="610"/>
      <c r="P193" s="610"/>
      <c r="Q193" s="610"/>
      <c r="R193" s="610"/>
    </row>
    <row r="194">
      <c r="A194" s="610"/>
      <c r="H194" s="610"/>
      <c r="I194" s="610"/>
      <c r="P194" s="610"/>
      <c r="Q194" s="610"/>
      <c r="R194" s="610"/>
    </row>
    <row r="195">
      <c r="A195" s="610"/>
      <c r="H195" s="610"/>
      <c r="I195" s="610"/>
      <c r="P195" s="610"/>
      <c r="Q195" s="610"/>
      <c r="R195" s="610"/>
    </row>
    <row r="196">
      <c r="A196" s="610"/>
      <c r="H196" s="610"/>
      <c r="I196" s="610"/>
      <c r="P196" s="610"/>
      <c r="Q196" s="610"/>
      <c r="R196" s="610"/>
    </row>
    <row r="197">
      <c r="A197" s="610"/>
      <c r="H197" s="610"/>
      <c r="I197" s="610"/>
      <c r="P197" s="610"/>
      <c r="Q197" s="610"/>
      <c r="R197" s="610"/>
    </row>
    <row r="198">
      <c r="A198" s="610"/>
      <c r="H198" s="610"/>
      <c r="I198" s="610"/>
      <c r="P198" s="610"/>
      <c r="Q198" s="610"/>
      <c r="R198" s="610"/>
    </row>
    <row r="199">
      <c r="A199" s="610"/>
      <c r="H199" s="610"/>
      <c r="I199" s="610"/>
      <c r="P199" s="610"/>
      <c r="Q199" s="610"/>
      <c r="R199" s="610"/>
    </row>
    <row r="200">
      <c r="A200" s="610"/>
      <c r="H200" s="610"/>
      <c r="I200" s="610"/>
      <c r="P200" s="610"/>
      <c r="Q200" s="610"/>
      <c r="R200" s="610"/>
    </row>
    <row r="201">
      <c r="A201" s="610"/>
      <c r="H201" s="610"/>
      <c r="I201" s="610"/>
      <c r="P201" s="610"/>
      <c r="Q201" s="610"/>
      <c r="R201" s="610"/>
    </row>
    <row r="202">
      <c r="A202" s="610"/>
      <c r="H202" s="610"/>
      <c r="I202" s="610"/>
      <c r="P202" s="610"/>
      <c r="Q202" s="610"/>
      <c r="R202" s="610"/>
    </row>
    <row r="203">
      <c r="A203" s="610"/>
      <c r="H203" s="610"/>
      <c r="I203" s="610"/>
      <c r="P203" s="610"/>
      <c r="Q203" s="610"/>
      <c r="R203" s="610"/>
    </row>
    <row r="204">
      <c r="A204" s="610"/>
      <c r="H204" s="610"/>
      <c r="I204" s="610"/>
      <c r="P204" s="610"/>
      <c r="Q204" s="610"/>
      <c r="R204" s="610"/>
    </row>
    <row r="205">
      <c r="A205" s="610"/>
      <c r="H205" s="610"/>
      <c r="I205" s="610"/>
      <c r="P205" s="610"/>
      <c r="Q205" s="610"/>
      <c r="R205" s="610"/>
    </row>
    <row r="206">
      <c r="A206" s="610"/>
      <c r="H206" s="610"/>
      <c r="I206" s="610"/>
      <c r="P206" s="610"/>
      <c r="Q206" s="610"/>
      <c r="R206" s="610"/>
    </row>
    <row r="207">
      <c r="A207" s="610"/>
      <c r="H207" s="610"/>
      <c r="I207" s="610"/>
      <c r="P207" s="610"/>
      <c r="Q207" s="610"/>
      <c r="R207" s="610"/>
    </row>
    <row r="208">
      <c r="A208" s="610"/>
      <c r="H208" s="610"/>
      <c r="I208" s="610"/>
      <c r="P208" s="610"/>
      <c r="Q208" s="610"/>
      <c r="R208" s="610"/>
    </row>
    <row r="209">
      <c r="A209" s="610"/>
      <c r="H209" s="610"/>
      <c r="I209" s="610"/>
      <c r="P209" s="610"/>
      <c r="Q209" s="610"/>
      <c r="R209" s="610"/>
    </row>
    <row r="210">
      <c r="A210" s="610"/>
      <c r="H210" s="610"/>
      <c r="I210" s="610"/>
      <c r="P210" s="610"/>
      <c r="Q210" s="610"/>
      <c r="R210" s="610"/>
    </row>
    <row r="211">
      <c r="A211" s="610"/>
      <c r="H211" s="610"/>
      <c r="I211" s="610"/>
      <c r="P211" s="610"/>
      <c r="Q211" s="610"/>
      <c r="R211" s="610"/>
    </row>
    <row r="212">
      <c r="A212" s="610"/>
      <c r="H212" s="610"/>
      <c r="I212" s="610"/>
      <c r="P212" s="610"/>
      <c r="Q212" s="610"/>
      <c r="R212" s="610"/>
    </row>
    <row r="213">
      <c r="A213" s="610"/>
      <c r="H213" s="610"/>
      <c r="I213" s="610"/>
      <c r="P213" s="610"/>
      <c r="Q213" s="610"/>
      <c r="R213" s="610"/>
    </row>
    <row r="214">
      <c r="A214" s="610"/>
      <c r="H214" s="610"/>
      <c r="I214" s="610"/>
      <c r="P214" s="610"/>
      <c r="Q214" s="610"/>
      <c r="R214" s="610"/>
    </row>
    <row r="215">
      <c r="A215" s="610"/>
      <c r="H215" s="610"/>
      <c r="I215" s="610"/>
      <c r="P215" s="610"/>
      <c r="Q215" s="610"/>
      <c r="R215" s="610"/>
    </row>
    <row r="216">
      <c r="A216" s="610"/>
      <c r="H216" s="610"/>
      <c r="I216" s="610"/>
      <c r="P216" s="610"/>
      <c r="Q216" s="610"/>
      <c r="R216" s="610"/>
    </row>
    <row r="217">
      <c r="A217" s="610"/>
      <c r="H217" s="610"/>
      <c r="I217" s="610"/>
      <c r="P217" s="610"/>
      <c r="Q217" s="610"/>
      <c r="R217" s="610"/>
    </row>
    <row r="218">
      <c r="A218" s="610"/>
      <c r="H218" s="610"/>
      <c r="I218" s="610"/>
      <c r="P218" s="610"/>
      <c r="Q218" s="610"/>
      <c r="R218" s="610"/>
    </row>
    <row r="219">
      <c r="A219" s="610"/>
      <c r="H219" s="610"/>
      <c r="I219" s="610"/>
      <c r="P219" s="610"/>
      <c r="Q219" s="610"/>
      <c r="R219" s="610"/>
    </row>
    <row r="220">
      <c r="A220" s="610"/>
      <c r="H220" s="610"/>
      <c r="I220" s="610"/>
      <c r="P220" s="610"/>
      <c r="Q220" s="610"/>
      <c r="R220" s="610"/>
    </row>
    <row r="221">
      <c r="A221" s="610"/>
      <c r="H221" s="610"/>
      <c r="I221" s="610"/>
      <c r="P221" s="610"/>
      <c r="Q221" s="610"/>
      <c r="R221" s="610"/>
    </row>
    <row r="222">
      <c r="A222" s="610"/>
      <c r="H222" s="610"/>
      <c r="I222" s="610"/>
      <c r="P222" s="610"/>
      <c r="Q222" s="610"/>
      <c r="R222" s="610"/>
    </row>
    <row r="223">
      <c r="A223" s="610"/>
      <c r="H223" s="610"/>
      <c r="I223" s="610"/>
      <c r="P223" s="610"/>
      <c r="Q223" s="610"/>
      <c r="R223" s="610"/>
    </row>
    <row r="224">
      <c r="A224" s="610"/>
      <c r="H224" s="610"/>
      <c r="I224" s="610"/>
      <c r="P224" s="610"/>
      <c r="Q224" s="610"/>
      <c r="R224" s="610"/>
    </row>
    <row r="225">
      <c r="A225" s="610"/>
      <c r="H225" s="610"/>
      <c r="I225" s="610"/>
      <c r="P225" s="610"/>
      <c r="Q225" s="610"/>
      <c r="R225" s="610"/>
    </row>
    <row r="226">
      <c r="A226" s="610"/>
      <c r="H226" s="610"/>
      <c r="I226" s="610"/>
      <c r="P226" s="610"/>
      <c r="Q226" s="610"/>
      <c r="R226" s="610"/>
    </row>
    <row r="227">
      <c r="A227" s="610"/>
      <c r="H227" s="610"/>
      <c r="I227" s="610"/>
      <c r="P227" s="610"/>
      <c r="Q227" s="610"/>
      <c r="R227" s="610"/>
    </row>
    <row r="228">
      <c r="A228" s="610"/>
      <c r="H228" s="610"/>
      <c r="I228" s="610"/>
      <c r="P228" s="610"/>
      <c r="Q228" s="610"/>
      <c r="R228" s="610"/>
    </row>
    <row r="229">
      <c r="A229" s="610"/>
      <c r="H229" s="610"/>
      <c r="I229" s="610"/>
      <c r="P229" s="610"/>
      <c r="Q229" s="610"/>
      <c r="R229" s="610"/>
    </row>
    <row r="230">
      <c r="A230" s="610"/>
      <c r="H230" s="610"/>
      <c r="I230" s="610"/>
      <c r="P230" s="610"/>
      <c r="Q230" s="610"/>
      <c r="R230" s="610"/>
    </row>
    <row r="231">
      <c r="A231" s="610"/>
      <c r="H231" s="610"/>
      <c r="I231" s="610"/>
      <c r="P231" s="610"/>
      <c r="Q231" s="610"/>
      <c r="R231" s="610"/>
    </row>
    <row r="232">
      <c r="A232" s="610"/>
      <c r="H232" s="610"/>
      <c r="I232" s="610"/>
      <c r="P232" s="610"/>
      <c r="Q232" s="610"/>
      <c r="R232" s="610"/>
    </row>
    <row r="233">
      <c r="A233" s="610"/>
      <c r="H233" s="610"/>
      <c r="I233" s="610"/>
      <c r="P233" s="610"/>
      <c r="Q233" s="610"/>
      <c r="R233" s="610"/>
    </row>
    <row r="234">
      <c r="A234" s="610"/>
      <c r="H234" s="610"/>
      <c r="I234" s="610"/>
      <c r="P234" s="610"/>
      <c r="Q234" s="610"/>
      <c r="R234" s="610"/>
    </row>
    <row r="235">
      <c r="A235" s="610"/>
      <c r="H235" s="610"/>
      <c r="I235" s="610"/>
      <c r="P235" s="610"/>
      <c r="Q235" s="610"/>
      <c r="R235" s="610"/>
    </row>
    <row r="236">
      <c r="A236" s="610"/>
      <c r="H236" s="610"/>
      <c r="I236" s="610"/>
      <c r="P236" s="610"/>
      <c r="Q236" s="610"/>
      <c r="R236" s="610"/>
    </row>
    <row r="237">
      <c r="A237" s="610"/>
      <c r="H237" s="610"/>
      <c r="I237" s="610"/>
      <c r="P237" s="610"/>
      <c r="Q237" s="610"/>
      <c r="R237" s="610"/>
    </row>
    <row r="238">
      <c r="A238" s="610"/>
      <c r="H238" s="610"/>
      <c r="I238" s="610"/>
      <c r="P238" s="610"/>
      <c r="Q238" s="610"/>
      <c r="R238" s="610"/>
    </row>
    <row r="239">
      <c r="A239" s="610"/>
      <c r="H239" s="610"/>
      <c r="I239" s="610"/>
      <c r="P239" s="610"/>
      <c r="Q239" s="610"/>
      <c r="R239" s="610"/>
    </row>
    <row r="240">
      <c r="A240" s="610"/>
      <c r="H240" s="610"/>
      <c r="I240" s="610"/>
      <c r="P240" s="610"/>
      <c r="Q240" s="610"/>
      <c r="R240" s="610"/>
    </row>
    <row r="241">
      <c r="A241" s="610"/>
      <c r="H241" s="610"/>
      <c r="I241" s="610"/>
      <c r="P241" s="610"/>
      <c r="Q241" s="610"/>
      <c r="R241" s="610"/>
    </row>
    <row r="242">
      <c r="A242" s="610"/>
      <c r="H242" s="610"/>
      <c r="I242" s="610"/>
      <c r="P242" s="610"/>
      <c r="Q242" s="610"/>
      <c r="R242" s="610"/>
    </row>
    <row r="243">
      <c r="A243" s="610"/>
      <c r="H243" s="610"/>
      <c r="I243" s="610"/>
      <c r="P243" s="610"/>
      <c r="Q243" s="610"/>
      <c r="R243" s="610"/>
    </row>
    <row r="244">
      <c r="A244" s="610"/>
      <c r="H244" s="610"/>
      <c r="I244" s="610"/>
      <c r="P244" s="610"/>
      <c r="Q244" s="610"/>
      <c r="R244" s="610"/>
    </row>
    <row r="245">
      <c r="A245" s="610"/>
      <c r="H245" s="610"/>
      <c r="I245" s="610"/>
      <c r="P245" s="610"/>
      <c r="Q245" s="610"/>
      <c r="R245" s="610"/>
    </row>
    <row r="246">
      <c r="A246" s="610"/>
      <c r="H246" s="610"/>
      <c r="I246" s="610"/>
      <c r="P246" s="610"/>
      <c r="Q246" s="610"/>
      <c r="R246" s="610"/>
    </row>
    <row r="247">
      <c r="A247" s="610"/>
      <c r="H247" s="610"/>
      <c r="I247" s="610"/>
      <c r="P247" s="610"/>
      <c r="Q247" s="610"/>
      <c r="R247" s="610"/>
    </row>
    <row r="248">
      <c r="A248" s="610"/>
      <c r="H248" s="610"/>
      <c r="I248" s="610"/>
      <c r="P248" s="610"/>
      <c r="Q248" s="610"/>
      <c r="R248" s="610"/>
    </row>
    <row r="249">
      <c r="A249" s="610"/>
      <c r="H249" s="610"/>
      <c r="I249" s="610"/>
      <c r="P249" s="610"/>
      <c r="Q249" s="610"/>
      <c r="R249" s="610"/>
    </row>
    <row r="250">
      <c r="A250" s="610"/>
      <c r="H250" s="610"/>
      <c r="I250" s="610"/>
      <c r="P250" s="610"/>
      <c r="Q250" s="610"/>
      <c r="R250" s="610"/>
    </row>
    <row r="251">
      <c r="A251" s="610"/>
      <c r="H251" s="610"/>
      <c r="I251" s="610"/>
      <c r="P251" s="610"/>
      <c r="Q251" s="610"/>
      <c r="R251" s="610"/>
    </row>
    <row r="252">
      <c r="A252" s="610"/>
      <c r="H252" s="610"/>
      <c r="I252" s="610"/>
      <c r="P252" s="610"/>
      <c r="Q252" s="610"/>
      <c r="R252" s="610"/>
    </row>
    <row r="253">
      <c r="A253" s="610"/>
      <c r="H253" s="610"/>
      <c r="I253" s="610"/>
      <c r="P253" s="610"/>
      <c r="Q253" s="610"/>
      <c r="R253" s="610"/>
    </row>
    <row r="254">
      <c r="A254" s="610"/>
      <c r="H254" s="610"/>
      <c r="I254" s="610"/>
      <c r="P254" s="610"/>
      <c r="Q254" s="610"/>
      <c r="R254" s="610"/>
    </row>
    <row r="255">
      <c r="A255" s="610"/>
      <c r="H255" s="610"/>
      <c r="I255" s="610"/>
      <c r="P255" s="610"/>
      <c r="Q255" s="610"/>
      <c r="R255" s="610"/>
    </row>
    <row r="256">
      <c r="A256" s="610"/>
      <c r="H256" s="610"/>
      <c r="I256" s="610"/>
      <c r="P256" s="610"/>
      <c r="Q256" s="610"/>
      <c r="R256" s="610"/>
    </row>
    <row r="257">
      <c r="A257" s="610"/>
      <c r="H257" s="610"/>
      <c r="I257" s="610"/>
      <c r="P257" s="610"/>
      <c r="Q257" s="610"/>
      <c r="R257" s="610"/>
    </row>
    <row r="258">
      <c r="A258" s="610"/>
      <c r="H258" s="610"/>
      <c r="I258" s="610"/>
      <c r="P258" s="610"/>
      <c r="Q258" s="610"/>
      <c r="R258" s="610"/>
    </row>
    <row r="259">
      <c r="A259" s="610"/>
      <c r="H259" s="610"/>
      <c r="I259" s="610"/>
      <c r="P259" s="610"/>
      <c r="Q259" s="610"/>
      <c r="R259" s="610"/>
    </row>
    <row r="260">
      <c r="A260" s="610"/>
      <c r="H260" s="610"/>
      <c r="I260" s="610"/>
      <c r="P260" s="610"/>
      <c r="Q260" s="610"/>
      <c r="R260" s="610"/>
    </row>
    <row r="261">
      <c r="A261" s="610"/>
      <c r="H261" s="610"/>
      <c r="I261" s="610"/>
      <c r="P261" s="610"/>
      <c r="Q261" s="610"/>
      <c r="R261" s="610"/>
    </row>
    <row r="262">
      <c r="A262" s="610"/>
      <c r="H262" s="610"/>
      <c r="I262" s="610"/>
      <c r="P262" s="610"/>
      <c r="Q262" s="610"/>
      <c r="R262" s="610"/>
    </row>
    <row r="263">
      <c r="A263" s="610"/>
      <c r="H263" s="610"/>
      <c r="I263" s="610"/>
      <c r="P263" s="610"/>
      <c r="Q263" s="610"/>
      <c r="R263" s="610"/>
    </row>
    <row r="264">
      <c r="A264" s="610"/>
      <c r="H264" s="610"/>
      <c r="I264" s="610"/>
      <c r="P264" s="610"/>
      <c r="Q264" s="610"/>
      <c r="R264" s="610"/>
    </row>
    <row r="265">
      <c r="A265" s="610"/>
      <c r="H265" s="610"/>
      <c r="I265" s="610"/>
      <c r="P265" s="610"/>
      <c r="Q265" s="610"/>
      <c r="R265" s="610"/>
    </row>
    <row r="266">
      <c r="A266" s="610"/>
      <c r="H266" s="610"/>
      <c r="I266" s="610"/>
      <c r="P266" s="610"/>
      <c r="Q266" s="610"/>
      <c r="R266" s="610"/>
    </row>
    <row r="267">
      <c r="A267" s="610"/>
      <c r="H267" s="610"/>
      <c r="I267" s="610"/>
      <c r="P267" s="610"/>
      <c r="Q267" s="610"/>
      <c r="R267" s="610"/>
    </row>
    <row r="268">
      <c r="A268" s="610"/>
      <c r="H268" s="610"/>
      <c r="I268" s="610"/>
      <c r="P268" s="610"/>
      <c r="Q268" s="610"/>
      <c r="R268" s="610"/>
    </row>
    <row r="269">
      <c r="A269" s="610"/>
      <c r="H269" s="610"/>
      <c r="I269" s="610"/>
      <c r="P269" s="610"/>
      <c r="Q269" s="610"/>
      <c r="R269" s="610"/>
    </row>
    <row r="270">
      <c r="A270" s="610"/>
      <c r="H270" s="610"/>
      <c r="I270" s="610"/>
      <c r="P270" s="610"/>
      <c r="Q270" s="610"/>
      <c r="R270" s="610"/>
    </row>
    <row r="271">
      <c r="A271" s="610"/>
      <c r="H271" s="610"/>
      <c r="I271" s="610"/>
      <c r="P271" s="610"/>
      <c r="Q271" s="610"/>
      <c r="R271" s="610"/>
    </row>
    <row r="272">
      <c r="A272" s="610"/>
      <c r="H272" s="610"/>
      <c r="I272" s="610"/>
      <c r="P272" s="610"/>
      <c r="Q272" s="610"/>
      <c r="R272" s="610"/>
    </row>
    <row r="273">
      <c r="A273" s="610"/>
      <c r="H273" s="610"/>
      <c r="I273" s="610"/>
      <c r="P273" s="610"/>
      <c r="Q273" s="610"/>
      <c r="R273" s="610"/>
    </row>
    <row r="274">
      <c r="A274" s="610"/>
      <c r="H274" s="610"/>
      <c r="I274" s="610"/>
      <c r="P274" s="610"/>
      <c r="Q274" s="610"/>
      <c r="R274" s="610"/>
    </row>
    <row r="275">
      <c r="A275" s="610"/>
      <c r="H275" s="610"/>
      <c r="I275" s="610"/>
      <c r="P275" s="610"/>
      <c r="Q275" s="610"/>
      <c r="R275" s="610"/>
    </row>
    <row r="276">
      <c r="A276" s="610"/>
      <c r="H276" s="610"/>
      <c r="I276" s="610"/>
      <c r="P276" s="610"/>
      <c r="Q276" s="610"/>
      <c r="R276" s="610"/>
    </row>
    <row r="277">
      <c r="A277" s="610"/>
      <c r="H277" s="610"/>
      <c r="I277" s="610"/>
      <c r="P277" s="610"/>
      <c r="Q277" s="610"/>
      <c r="R277" s="610"/>
    </row>
    <row r="278">
      <c r="A278" s="610"/>
      <c r="H278" s="610"/>
      <c r="I278" s="610"/>
      <c r="P278" s="610"/>
      <c r="Q278" s="610"/>
      <c r="R278" s="610"/>
    </row>
    <row r="279">
      <c r="A279" s="610"/>
      <c r="H279" s="610"/>
      <c r="I279" s="610"/>
      <c r="P279" s="610"/>
      <c r="Q279" s="610"/>
      <c r="R279" s="610"/>
    </row>
    <row r="280">
      <c r="A280" s="610"/>
      <c r="H280" s="610"/>
      <c r="I280" s="610"/>
      <c r="P280" s="610"/>
      <c r="Q280" s="610"/>
      <c r="R280" s="610"/>
    </row>
    <row r="281">
      <c r="A281" s="610"/>
      <c r="H281" s="610"/>
      <c r="I281" s="610"/>
      <c r="P281" s="610"/>
      <c r="Q281" s="610"/>
      <c r="R281" s="610"/>
    </row>
    <row r="282">
      <c r="A282" s="610"/>
      <c r="H282" s="610"/>
      <c r="I282" s="610"/>
      <c r="P282" s="610"/>
      <c r="Q282" s="610"/>
      <c r="R282" s="610"/>
    </row>
    <row r="283">
      <c r="A283" s="610"/>
      <c r="H283" s="610"/>
      <c r="I283" s="610"/>
      <c r="P283" s="610"/>
      <c r="Q283" s="610"/>
      <c r="R283" s="610"/>
    </row>
    <row r="284">
      <c r="A284" s="610"/>
      <c r="H284" s="610"/>
      <c r="I284" s="610"/>
      <c r="P284" s="610"/>
      <c r="Q284" s="610"/>
      <c r="R284" s="610"/>
    </row>
    <row r="285">
      <c r="A285" s="610"/>
      <c r="H285" s="610"/>
      <c r="I285" s="610"/>
      <c r="P285" s="610"/>
      <c r="Q285" s="610"/>
      <c r="R285" s="610"/>
    </row>
    <row r="286">
      <c r="A286" s="610"/>
      <c r="H286" s="610"/>
      <c r="I286" s="610"/>
      <c r="P286" s="610"/>
      <c r="Q286" s="610"/>
      <c r="R286" s="610"/>
    </row>
    <row r="287">
      <c r="A287" s="610"/>
      <c r="H287" s="610"/>
      <c r="I287" s="610"/>
      <c r="P287" s="610"/>
      <c r="Q287" s="610"/>
      <c r="R287" s="610"/>
    </row>
    <row r="288">
      <c r="A288" s="610"/>
      <c r="H288" s="610"/>
      <c r="I288" s="610"/>
      <c r="P288" s="610"/>
      <c r="Q288" s="610"/>
      <c r="R288" s="610"/>
    </row>
    <row r="289">
      <c r="A289" s="610"/>
      <c r="H289" s="610"/>
      <c r="I289" s="610"/>
      <c r="P289" s="610"/>
      <c r="Q289" s="610"/>
      <c r="R289" s="610"/>
    </row>
    <row r="290">
      <c r="A290" s="610"/>
      <c r="H290" s="610"/>
      <c r="I290" s="610"/>
      <c r="P290" s="610"/>
      <c r="Q290" s="610"/>
      <c r="R290" s="610"/>
    </row>
    <row r="291">
      <c r="A291" s="610"/>
      <c r="H291" s="610"/>
      <c r="I291" s="610"/>
      <c r="P291" s="610"/>
      <c r="Q291" s="610"/>
      <c r="R291" s="610"/>
    </row>
    <row r="292">
      <c r="A292" s="610"/>
      <c r="H292" s="610"/>
      <c r="I292" s="610"/>
      <c r="P292" s="610"/>
      <c r="Q292" s="610"/>
      <c r="R292" s="610"/>
    </row>
    <row r="293">
      <c r="A293" s="610"/>
      <c r="H293" s="610"/>
      <c r="I293" s="610"/>
      <c r="P293" s="610"/>
      <c r="Q293" s="610"/>
      <c r="R293" s="610"/>
    </row>
    <row r="294">
      <c r="A294" s="610"/>
      <c r="H294" s="610"/>
      <c r="I294" s="610"/>
      <c r="P294" s="610"/>
      <c r="Q294" s="610"/>
      <c r="R294" s="610"/>
    </row>
    <row r="295">
      <c r="A295" s="610"/>
      <c r="H295" s="610"/>
      <c r="I295" s="610"/>
      <c r="P295" s="610"/>
      <c r="Q295" s="610"/>
      <c r="R295" s="610"/>
    </row>
    <row r="296">
      <c r="A296" s="610"/>
      <c r="H296" s="610"/>
      <c r="I296" s="610"/>
      <c r="P296" s="610"/>
      <c r="Q296" s="610"/>
      <c r="R296" s="610"/>
    </row>
    <row r="297">
      <c r="A297" s="610"/>
      <c r="H297" s="610"/>
      <c r="I297" s="610"/>
      <c r="P297" s="610"/>
      <c r="Q297" s="610"/>
      <c r="R297" s="610"/>
    </row>
    <row r="298">
      <c r="A298" s="610"/>
      <c r="H298" s="610"/>
      <c r="I298" s="610"/>
      <c r="P298" s="610"/>
      <c r="Q298" s="610"/>
      <c r="R298" s="610"/>
    </row>
    <row r="299">
      <c r="A299" s="610"/>
      <c r="H299" s="610"/>
      <c r="I299" s="610"/>
      <c r="P299" s="610"/>
      <c r="Q299" s="610"/>
      <c r="R299" s="610"/>
    </row>
    <row r="300">
      <c r="A300" s="610"/>
      <c r="H300" s="610"/>
      <c r="I300" s="610"/>
      <c r="P300" s="610"/>
      <c r="Q300" s="610"/>
      <c r="R300" s="610"/>
    </row>
    <row r="301">
      <c r="A301" s="610"/>
      <c r="H301" s="610"/>
      <c r="I301" s="610"/>
      <c r="P301" s="610"/>
      <c r="Q301" s="610"/>
      <c r="R301" s="610"/>
    </row>
    <row r="302">
      <c r="A302" s="610"/>
      <c r="H302" s="610"/>
      <c r="I302" s="610"/>
      <c r="P302" s="610"/>
      <c r="Q302" s="610"/>
      <c r="R302" s="610"/>
    </row>
    <row r="303">
      <c r="A303" s="610"/>
      <c r="H303" s="610"/>
      <c r="I303" s="610"/>
      <c r="P303" s="610"/>
      <c r="Q303" s="610"/>
      <c r="R303" s="610"/>
    </row>
    <row r="304">
      <c r="A304" s="610"/>
      <c r="H304" s="610"/>
      <c r="I304" s="610"/>
      <c r="P304" s="610"/>
      <c r="Q304" s="610"/>
      <c r="R304" s="610"/>
    </row>
    <row r="305">
      <c r="A305" s="610"/>
      <c r="H305" s="610"/>
      <c r="I305" s="610"/>
      <c r="P305" s="610"/>
      <c r="Q305" s="610"/>
      <c r="R305" s="610"/>
    </row>
    <row r="306">
      <c r="A306" s="610"/>
      <c r="H306" s="610"/>
      <c r="I306" s="610"/>
      <c r="P306" s="610"/>
      <c r="Q306" s="610"/>
      <c r="R306" s="610"/>
    </row>
    <row r="307">
      <c r="A307" s="610"/>
      <c r="H307" s="610"/>
      <c r="I307" s="610"/>
      <c r="P307" s="610"/>
      <c r="Q307" s="610"/>
      <c r="R307" s="610"/>
    </row>
    <row r="308">
      <c r="A308" s="610"/>
      <c r="H308" s="610"/>
      <c r="I308" s="610"/>
      <c r="P308" s="610"/>
      <c r="Q308" s="610"/>
      <c r="R308" s="610"/>
    </row>
    <row r="309">
      <c r="A309" s="610"/>
      <c r="H309" s="610"/>
      <c r="I309" s="610"/>
      <c r="P309" s="610"/>
      <c r="Q309" s="610"/>
      <c r="R309" s="610"/>
    </row>
    <row r="310">
      <c r="A310" s="610"/>
      <c r="H310" s="610"/>
      <c r="I310" s="610"/>
      <c r="P310" s="610"/>
      <c r="Q310" s="610"/>
      <c r="R310" s="610"/>
    </row>
    <row r="311">
      <c r="A311" s="610"/>
      <c r="H311" s="610"/>
      <c r="I311" s="610"/>
      <c r="P311" s="610"/>
      <c r="Q311" s="610"/>
      <c r="R311" s="610"/>
    </row>
    <row r="312">
      <c r="A312" s="610"/>
      <c r="H312" s="610"/>
      <c r="I312" s="610"/>
      <c r="P312" s="610"/>
      <c r="Q312" s="610"/>
      <c r="R312" s="610"/>
    </row>
    <row r="313">
      <c r="A313" s="610"/>
      <c r="H313" s="610"/>
      <c r="I313" s="610"/>
      <c r="P313" s="610"/>
      <c r="Q313" s="610"/>
      <c r="R313" s="610"/>
    </row>
    <row r="314">
      <c r="A314" s="610"/>
      <c r="H314" s="610"/>
      <c r="I314" s="610"/>
      <c r="P314" s="610"/>
      <c r="Q314" s="610"/>
      <c r="R314" s="610"/>
    </row>
    <row r="315">
      <c r="A315" s="610"/>
      <c r="H315" s="610"/>
      <c r="I315" s="610"/>
      <c r="P315" s="610"/>
      <c r="Q315" s="610"/>
      <c r="R315" s="610"/>
    </row>
    <row r="316">
      <c r="A316" s="610"/>
      <c r="H316" s="610"/>
      <c r="I316" s="610"/>
      <c r="P316" s="610"/>
      <c r="Q316" s="610"/>
      <c r="R316" s="610"/>
    </row>
    <row r="317">
      <c r="A317" s="610"/>
      <c r="H317" s="610"/>
      <c r="I317" s="610"/>
      <c r="P317" s="610"/>
      <c r="Q317" s="610"/>
      <c r="R317" s="610"/>
    </row>
    <row r="318">
      <c r="A318" s="610"/>
      <c r="H318" s="610"/>
      <c r="I318" s="610"/>
      <c r="P318" s="610"/>
      <c r="Q318" s="610"/>
      <c r="R318" s="610"/>
    </row>
    <row r="319">
      <c r="A319" s="610"/>
      <c r="H319" s="610"/>
      <c r="I319" s="610"/>
      <c r="P319" s="610"/>
      <c r="Q319" s="610"/>
      <c r="R319" s="610"/>
    </row>
    <row r="320">
      <c r="A320" s="610"/>
      <c r="H320" s="610"/>
      <c r="I320" s="610"/>
      <c r="P320" s="610"/>
      <c r="Q320" s="610"/>
      <c r="R320" s="610"/>
    </row>
    <row r="321">
      <c r="A321" s="610"/>
      <c r="H321" s="610"/>
      <c r="I321" s="610"/>
      <c r="P321" s="610"/>
      <c r="Q321" s="610"/>
      <c r="R321" s="610"/>
    </row>
    <row r="322">
      <c r="A322" s="610"/>
      <c r="H322" s="610"/>
      <c r="I322" s="610"/>
      <c r="P322" s="610"/>
      <c r="Q322" s="610"/>
      <c r="R322" s="610"/>
    </row>
    <row r="323">
      <c r="A323" s="610"/>
      <c r="H323" s="610"/>
      <c r="I323" s="610"/>
      <c r="P323" s="610"/>
      <c r="Q323" s="610"/>
      <c r="R323" s="610"/>
    </row>
    <row r="324">
      <c r="A324" s="610"/>
      <c r="H324" s="610"/>
      <c r="I324" s="610"/>
      <c r="P324" s="610"/>
      <c r="Q324" s="610"/>
      <c r="R324" s="610"/>
    </row>
    <row r="325">
      <c r="A325" s="610"/>
      <c r="H325" s="610"/>
      <c r="I325" s="610"/>
      <c r="P325" s="610"/>
      <c r="Q325" s="610"/>
      <c r="R325" s="610"/>
    </row>
    <row r="326">
      <c r="A326" s="610"/>
      <c r="H326" s="610"/>
      <c r="I326" s="610"/>
      <c r="P326" s="610"/>
      <c r="Q326" s="610"/>
      <c r="R326" s="610"/>
    </row>
    <row r="327">
      <c r="A327" s="610"/>
      <c r="H327" s="610"/>
      <c r="I327" s="610"/>
      <c r="P327" s="610"/>
      <c r="Q327" s="610"/>
      <c r="R327" s="610"/>
    </row>
    <row r="328">
      <c r="A328" s="610"/>
      <c r="H328" s="610"/>
      <c r="I328" s="610"/>
      <c r="P328" s="610"/>
      <c r="Q328" s="610"/>
      <c r="R328" s="610"/>
    </row>
    <row r="329">
      <c r="A329" s="610"/>
      <c r="H329" s="610"/>
      <c r="I329" s="610"/>
      <c r="P329" s="610"/>
      <c r="Q329" s="610"/>
      <c r="R329" s="610"/>
    </row>
    <row r="330">
      <c r="A330" s="610"/>
      <c r="H330" s="610"/>
      <c r="I330" s="610"/>
      <c r="P330" s="610"/>
      <c r="Q330" s="610"/>
      <c r="R330" s="610"/>
    </row>
    <row r="331">
      <c r="A331" s="610"/>
      <c r="H331" s="610"/>
      <c r="I331" s="610"/>
      <c r="P331" s="610"/>
      <c r="Q331" s="610"/>
      <c r="R331" s="610"/>
    </row>
    <row r="332">
      <c r="A332" s="610"/>
      <c r="H332" s="610"/>
      <c r="I332" s="610"/>
      <c r="P332" s="610"/>
      <c r="Q332" s="610"/>
      <c r="R332" s="610"/>
    </row>
    <row r="333">
      <c r="A333" s="610"/>
      <c r="H333" s="610"/>
      <c r="I333" s="610"/>
      <c r="P333" s="610"/>
      <c r="Q333" s="610"/>
      <c r="R333" s="610"/>
    </row>
    <row r="334">
      <c r="A334" s="610"/>
      <c r="H334" s="610"/>
      <c r="I334" s="610"/>
      <c r="P334" s="610"/>
      <c r="Q334" s="610"/>
      <c r="R334" s="610"/>
    </row>
    <row r="335">
      <c r="A335" s="610"/>
      <c r="H335" s="610"/>
      <c r="I335" s="610"/>
      <c r="P335" s="610"/>
      <c r="Q335" s="610"/>
      <c r="R335" s="610"/>
    </row>
    <row r="336">
      <c r="A336" s="610"/>
      <c r="H336" s="610"/>
      <c r="I336" s="610"/>
      <c r="P336" s="610"/>
      <c r="Q336" s="610"/>
      <c r="R336" s="610"/>
    </row>
    <row r="337">
      <c r="A337" s="610"/>
      <c r="H337" s="610"/>
      <c r="I337" s="610"/>
      <c r="P337" s="610"/>
      <c r="Q337" s="610"/>
      <c r="R337" s="610"/>
    </row>
    <row r="338">
      <c r="A338" s="610"/>
      <c r="H338" s="610"/>
      <c r="I338" s="610"/>
      <c r="P338" s="610"/>
      <c r="Q338" s="610"/>
      <c r="R338" s="610"/>
    </row>
    <row r="339">
      <c r="A339" s="610"/>
      <c r="H339" s="610"/>
      <c r="I339" s="610"/>
      <c r="P339" s="610"/>
      <c r="Q339" s="610"/>
      <c r="R339" s="610"/>
    </row>
    <row r="340">
      <c r="A340" s="610"/>
      <c r="H340" s="610"/>
      <c r="I340" s="610"/>
      <c r="P340" s="610"/>
      <c r="Q340" s="610"/>
      <c r="R340" s="610"/>
    </row>
    <row r="341">
      <c r="A341" s="610"/>
      <c r="H341" s="610"/>
      <c r="I341" s="610"/>
      <c r="P341" s="610"/>
      <c r="Q341" s="610"/>
      <c r="R341" s="610"/>
    </row>
    <row r="342">
      <c r="A342" s="610"/>
      <c r="H342" s="610"/>
      <c r="I342" s="610"/>
      <c r="P342" s="610"/>
      <c r="Q342" s="610"/>
      <c r="R342" s="610"/>
    </row>
    <row r="343">
      <c r="A343" s="610"/>
      <c r="H343" s="610"/>
      <c r="I343" s="610"/>
      <c r="P343" s="610"/>
      <c r="Q343" s="610"/>
      <c r="R343" s="610"/>
    </row>
    <row r="344">
      <c r="A344" s="610"/>
      <c r="H344" s="610"/>
      <c r="I344" s="610"/>
      <c r="P344" s="610"/>
      <c r="Q344" s="610"/>
      <c r="R344" s="610"/>
    </row>
    <row r="345">
      <c r="A345" s="610"/>
      <c r="H345" s="610"/>
      <c r="I345" s="610"/>
      <c r="P345" s="610"/>
      <c r="Q345" s="610"/>
      <c r="R345" s="610"/>
    </row>
    <row r="346">
      <c r="A346" s="610"/>
      <c r="H346" s="610"/>
      <c r="I346" s="610"/>
      <c r="P346" s="610"/>
      <c r="Q346" s="610"/>
      <c r="R346" s="610"/>
    </row>
    <row r="347">
      <c r="A347" s="610"/>
      <c r="H347" s="610"/>
      <c r="I347" s="610"/>
      <c r="P347" s="610"/>
      <c r="Q347" s="610"/>
      <c r="R347" s="610"/>
    </row>
    <row r="348">
      <c r="A348" s="610"/>
      <c r="H348" s="610"/>
      <c r="I348" s="610"/>
      <c r="P348" s="610"/>
      <c r="Q348" s="610"/>
      <c r="R348" s="610"/>
    </row>
    <row r="349">
      <c r="A349" s="610"/>
      <c r="H349" s="610"/>
      <c r="I349" s="610"/>
      <c r="P349" s="610"/>
      <c r="Q349" s="610"/>
      <c r="R349" s="610"/>
    </row>
    <row r="350">
      <c r="A350" s="610"/>
      <c r="H350" s="610"/>
      <c r="I350" s="610"/>
      <c r="P350" s="610"/>
      <c r="Q350" s="610"/>
      <c r="R350" s="610"/>
    </row>
    <row r="351">
      <c r="A351" s="610"/>
      <c r="H351" s="610"/>
      <c r="I351" s="610"/>
      <c r="P351" s="610"/>
      <c r="Q351" s="610"/>
      <c r="R351" s="610"/>
    </row>
    <row r="352">
      <c r="A352" s="610"/>
      <c r="H352" s="610"/>
      <c r="I352" s="610"/>
      <c r="P352" s="610"/>
      <c r="Q352" s="610"/>
      <c r="R352" s="610"/>
    </row>
    <row r="353">
      <c r="A353" s="610"/>
      <c r="H353" s="610"/>
      <c r="I353" s="610"/>
      <c r="P353" s="610"/>
      <c r="Q353" s="610"/>
      <c r="R353" s="610"/>
    </row>
    <row r="354">
      <c r="A354" s="610"/>
      <c r="H354" s="610"/>
      <c r="I354" s="610"/>
      <c r="P354" s="610"/>
      <c r="Q354" s="610"/>
      <c r="R354" s="610"/>
    </row>
    <row r="355">
      <c r="A355" s="610"/>
      <c r="H355" s="610"/>
      <c r="I355" s="610"/>
      <c r="P355" s="610"/>
      <c r="Q355" s="610"/>
      <c r="R355" s="610"/>
    </row>
    <row r="356">
      <c r="A356" s="610"/>
      <c r="H356" s="610"/>
      <c r="I356" s="610"/>
      <c r="P356" s="610"/>
      <c r="Q356" s="610"/>
      <c r="R356" s="610"/>
    </row>
    <row r="357">
      <c r="A357" s="610"/>
      <c r="H357" s="610"/>
      <c r="I357" s="610"/>
      <c r="P357" s="610"/>
      <c r="Q357" s="610"/>
      <c r="R357" s="610"/>
    </row>
    <row r="358">
      <c r="A358" s="610"/>
      <c r="H358" s="610"/>
      <c r="I358" s="610"/>
      <c r="P358" s="610"/>
      <c r="Q358" s="610"/>
      <c r="R358" s="610"/>
    </row>
    <row r="359">
      <c r="A359" s="610"/>
      <c r="H359" s="610"/>
      <c r="I359" s="610"/>
      <c r="P359" s="610"/>
      <c r="Q359" s="610"/>
      <c r="R359" s="610"/>
    </row>
    <row r="360">
      <c r="A360" s="610"/>
      <c r="H360" s="610"/>
      <c r="I360" s="610"/>
      <c r="P360" s="610"/>
      <c r="Q360" s="610"/>
      <c r="R360" s="610"/>
    </row>
    <row r="361">
      <c r="A361" s="610"/>
      <c r="H361" s="610"/>
      <c r="I361" s="610"/>
      <c r="P361" s="610"/>
      <c r="Q361" s="610"/>
      <c r="R361" s="610"/>
    </row>
    <row r="362">
      <c r="A362" s="610"/>
      <c r="H362" s="610"/>
      <c r="I362" s="610"/>
      <c r="P362" s="610"/>
      <c r="Q362" s="610"/>
      <c r="R362" s="610"/>
    </row>
    <row r="363">
      <c r="A363" s="610"/>
      <c r="H363" s="610"/>
      <c r="I363" s="610"/>
      <c r="P363" s="610"/>
      <c r="Q363" s="610"/>
      <c r="R363" s="610"/>
    </row>
    <row r="364">
      <c r="A364" s="610"/>
      <c r="H364" s="610"/>
      <c r="I364" s="610"/>
      <c r="P364" s="610"/>
      <c r="Q364" s="610"/>
      <c r="R364" s="610"/>
    </row>
    <row r="365">
      <c r="A365" s="610"/>
      <c r="H365" s="610"/>
      <c r="I365" s="610"/>
      <c r="P365" s="610"/>
      <c r="Q365" s="610"/>
      <c r="R365" s="610"/>
    </row>
    <row r="366">
      <c r="A366" s="610"/>
      <c r="H366" s="610"/>
      <c r="I366" s="610"/>
      <c r="P366" s="610"/>
      <c r="Q366" s="610"/>
      <c r="R366" s="610"/>
    </row>
    <row r="367">
      <c r="A367" s="610"/>
      <c r="H367" s="610"/>
      <c r="I367" s="610"/>
      <c r="P367" s="610"/>
      <c r="Q367" s="610"/>
      <c r="R367" s="610"/>
    </row>
    <row r="368">
      <c r="A368" s="610"/>
      <c r="H368" s="610"/>
      <c r="I368" s="610"/>
      <c r="P368" s="610"/>
      <c r="Q368" s="610"/>
      <c r="R368" s="610"/>
    </row>
    <row r="369">
      <c r="A369" s="610"/>
      <c r="H369" s="610"/>
      <c r="I369" s="610"/>
      <c r="P369" s="610"/>
      <c r="Q369" s="610"/>
      <c r="R369" s="610"/>
    </row>
    <row r="370">
      <c r="A370" s="610"/>
      <c r="H370" s="610"/>
      <c r="I370" s="610"/>
      <c r="P370" s="610"/>
      <c r="Q370" s="610"/>
      <c r="R370" s="610"/>
    </row>
    <row r="371">
      <c r="A371" s="610"/>
      <c r="H371" s="610"/>
      <c r="I371" s="610"/>
      <c r="P371" s="610"/>
      <c r="Q371" s="610"/>
      <c r="R371" s="610"/>
    </row>
    <row r="372">
      <c r="A372" s="610"/>
      <c r="H372" s="610"/>
      <c r="I372" s="610"/>
      <c r="P372" s="610"/>
      <c r="Q372" s="610"/>
      <c r="R372" s="610"/>
    </row>
    <row r="373">
      <c r="A373" s="610"/>
      <c r="H373" s="610"/>
      <c r="I373" s="610"/>
      <c r="P373" s="610"/>
      <c r="Q373" s="610"/>
      <c r="R373" s="610"/>
    </row>
    <row r="374">
      <c r="A374" s="610"/>
      <c r="H374" s="610"/>
      <c r="I374" s="610"/>
      <c r="P374" s="610"/>
      <c r="Q374" s="610"/>
      <c r="R374" s="610"/>
    </row>
    <row r="375">
      <c r="A375" s="610"/>
      <c r="H375" s="610"/>
      <c r="I375" s="610"/>
      <c r="P375" s="610"/>
      <c r="Q375" s="610"/>
      <c r="R375" s="610"/>
    </row>
    <row r="376">
      <c r="A376" s="610"/>
      <c r="H376" s="610"/>
      <c r="I376" s="610"/>
      <c r="P376" s="610"/>
      <c r="Q376" s="610"/>
      <c r="R376" s="610"/>
    </row>
    <row r="377">
      <c r="A377" s="610"/>
      <c r="H377" s="610"/>
      <c r="I377" s="610"/>
      <c r="P377" s="610"/>
      <c r="Q377" s="610"/>
      <c r="R377" s="610"/>
    </row>
    <row r="378">
      <c r="A378" s="610"/>
      <c r="H378" s="610"/>
      <c r="I378" s="610"/>
      <c r="P378" s="610"/>
      <c r="Q378" s="610"/>
      <c r="R378" s="610"/>
    </row>
    <row r="379">
      <c r="A379" s="610"/>
      <c r="H379" s="610"/>
      <c r="I379" s="610"/>
      <c r="P379" s="610"/>
      <c r="Q379" s="610"/>
      <c r="R379" s="610"/>
    </row>
    <row r="380">
      <c r="A380" s="610"/>
      <c r="H380" s="610"/>
      <c r="I380" s="610"/>
      <c r="P380" s="610"/>
      <c r="Q380" s="610"/>
      <c r="R380" s="610"/>
    </row>
    <row r="381">
      <c r="A381" s="610"/>
      <c r="H381" s="610"/>
      <c r="I381" s="610"/>
      <c r="P381" s="610"/>
      <c r="Q381" s="610"/>
      <c r="R381" s="610"/>
    </row>
    <row r="382">
      <c r="A382" s="610"/>
      <c r="H382" s="610"/>
      <c r="I382" s="610"/>
      <c r="P382" s="610"/>
      <c r="Q382" s="610"/>
      <c r="R382" s="610"/>
    </row>
    <row r="383">
      <c r="A383" s="610"/>
      <c r="H383" s="610"/>
      <c r="I383" s="610"/>
      <c r="P383" s="610"/>
      <c r="Q383" s="610"/>
      <c r="R383" s="610"/>
    </row>
    <row r="384">
      <c r="A384" s="610"/>
      <c r="H384" s="610"/>
      <c r="I384" s="610"/>
      <c r="P384" s="610"/>
      <c r="Q384" s="610"/>
      <c r="R384" s="610"/>
    </row>
    <row r="385">
      <c r="A385" s="610"/>
      <c r="H385" s="610"/>
      <c r="I385" s="610"/>
      <c r="P385" s="610"/>
      <c r="Q385" s="610"/>
      <c r="R385" s="610"/>
    </row>
    <row r="386">
      <c r="A386" s="610"/>
      <c r="H386" s="610"/>
      <c r="I386" s="610"/>
      <c r="P386" s="610"/>
      <c r="Q386" s="610"/>
      <c r="R386" s="610"/>
    </row>
    <row r="387">
      <c r="A387" s="610"/>
      <c r="H387" s="610"/>
      <c r="I387" s="610"/>
      <c r="P387" s="610"/>
      <c r="Q387" s="610"/>
      <c r="R387" s="610"/>
    </row>
    <row r="388">
      <c r="A388" s="610"/>
      <c r="H388" s="610"/>
      <c r="I388" s="610"/>
      <c r="P388" s="610"/>
      <c r="Q388" s="610"/>
      <c r="R388" s="610"/>
    </row>
    <row r="389">
      <c r="A389" s="610"/>
      <c r="H389" s="610"/>
      <c r="I389" s="610"/>
      <c r="P389" s="610"/>
      <c r="Q389" s="610"/>
      <c r="R389" s="610"/>
    </row>
    <row r="390">
      <c r="A390" s="610"/>
      <c r="H390" s="610"/>
      <c r="I390" s="610"/>
      <c r="P390" s="610"/>
      <c r="Q390" s="610"/>
      <c r="R390" s="610"/>
    </row>
    <row r="391">
      <c r="A391" s="610"/>
      <c r="H391" s="610"/>
      <c r="I391" s="610"/>
      <c r="P391" s="610"/>
      <c r="Q391" s="610"/>
      <c r="R391" s="610"/>
    </row>
    <row r="392">
      <c r="A392" s="610"/>
      <c r="H392" s="610"/>
      <c r="I392" s="610"/>
      <c r="P392" s="610"/>
      <c r="Q392" s="610"/>
      <c r="R392" s="610"/>
    </row>
    <row r="393">
      <c r="A393" s="610"/>
      <c r="H393" s="610"/>
      <c r="I393" s="610"/>
      <c r="P393" s="610"/>
      <c r="Q393" s="610"/>
      <c r="R393" s="610"/>
    </row>
    <row r="394">
      <c r="A394" s="610"/>
      <c r="H394" s="610"/>
      <c r="I394" s="610"/>
      <c r="P394" s="610"/>
      <c r="Q394" s="610"/>
      <c r="R394" s="610"/>
    </row>
    <row r="395">
      <c r="A395" s="610"/>
      <c r="H395" s="610"/>
      <c r="I395" s="610"/>
      <c r="P395" s="610"/>
      <c r="Q395" s="610"/>
      <c r="R395" s="610"/>
    </row>
    <row r="396">
      <c r="A396" s="610"/>
      <c r="H396" s="610"/>
      <c r="I396" s="610"/>
      <c r="P396" s="610"/>
      <c r="Q396" s="610"/>
      <c r="R396" s="610"/>
    </row>
    <row r="397">
      <c r="A397" s="610"/>
      <c r="H397" s="610"/>
      <c r="I397" s="610"/>
      <c r="P397" s="610"/>
      <c r="Q397" s="610"/>
      <c r="R397" s="610"/>
    </row>
    <row r="398">
      <c r="A398" s="610"/>
      <c r="H398" s="610"/>
      <c r="I398" s="610"/>
      <c r="P398" s="610"/>
      <c r="Q398" s="610"/>
      <c r="R398" s="610"/>
    </row>
    <row r="399">
      <c r="A399" s="610"/>
      <c r="H399" s="610"/>
      <c r="I399" s="610"/>
      <c r="P399" s="610"/>
      <c r="Q399" s="610"/>
      <c r="R399" s="610"/>
    </row>
    <row r="400">
      <c r="A400" s="610"/>
      <c r="H400" s="610"/>
      <c r="I400" s="610"/>
      <c r="P400" s="610"/>
      <c r="Q400" s="610"/>
      <c r="R400" s="610"/>
    </row>
    <row r="401">
      <c r="A401" s="610"/>
      <c r="H401" s="610"/>
      <c r="I401" s="610"/>
      <c r="P401" s="610"/>
      <c r="Q401" s="610"/>
      <c r="R401" s="610"/>
    </row>
    <row r="402">
      <c r="A402" s="610"/>
      <c r="H402" s="610"/>
      <c r="I402" s="610"/>
      <c r="P402" s="610"/>
      <c r="Q402" s="610"/>
      <c r="R402" s="610"/>
    </row>
    <row r="403">
      <c r="A403" s="610"/>
      <c r="H403" s="610"/>
      <c r="I403" s="610"/>
      <c r="P403" s="610"/>
      <c r="Q403" s="610"/>
      <c r="R403" s="610"/>
    </row>
    <row r="404">
      <c r="A404" s="610"/>
      <c r="H404" s="610"/>
      <c r="I404" s="610"/>
      <c r="P404" s="610"/>
      <c r="Q404" s="610"/>
      <c r="R404" s="610"/>
    </row>
    <row r="405">
      <c r="A405" s="610"/>
      <c r="H405" s="610"/>
      <c r="I405" s="610"/>
      <c r="P405" s="610"/>
      <c r="Q405" s="610"/>
      <c r="R405" s="610"/>
    </row>
    <row r="406">
      <c r="A406" s="610"/>
      <c r="H406" s="610"/>
      <c r="I406" s="610"/>
      <c r="P406" s="610"/>
      <c r="Q406" s="610"/>
      <c r="R406" s="610"/>
    </row>
    <row r="407">
      <c r="A407" s="610"/>
      <c r="H407" s="610"/>
      <c r="I407" s="610"/>
      <c r="P407" s="610"/>
      <c r="Q407" s="610"/>
      <c r="R407" s="610"/>
    </row>
    <row r="408">
      <c r="A408" s="610"/>
      <c r="H408" s="610"/>
      <c r="I408" s="610"/>
      <c r="P408" s="610"/>
      <c r="Q408" s="610"/>
      <c r="R408" s="610"/>
    </row>
    <row r="409">
      <c r="A409" s="610"/>
      <c r="H409" s="610"/>
      <c r="I409" s="610"/>
      <c r="P409" s="610"/>
      <c r="Q409" s="610"/>
      <c r="R409" s="610"/>
    </row>
    <row r="410">
      <c r="A410" s="610"/>
      <c r="H410" s="610"/>
      <c r="I410" s="610"/>
      <c r="P410" s="610"/>
      <c r="Q410" s="610"/>
      <c r="R410" s="610"/>
    </row>
    <row r="411">
      <c r="A411" s="610"/>
      <c r="H411" s="610"/>
      <c r="I411" s="610"/>
      <c r="P411" s="610"/>
      <c r="Q411" s="610"/>
      <c r="R411" s="610"/>
    </row>
    <row r="412">
      <c r="A412" s="610"/>
      <c r="H412" s="610"/>
      <c r="I412" s="610"/>
      <c r="P412" s="610"/>
      <c r="Q412" s="610"/>
      <c r="R412" s="610"/>
    </row>
    <row r="413">
      <c r="A413" s="610"/>
      <c r="H413" s="610"/>
      <c r="I413" s="610"/>
      <c r="P413" s="610"/>
      <c r="Q413" s="610"/>
      <c r="R413" s="610"/>
    </row>
    <row r="414">
      <c r="A414" s="610"/>
      <c r="H414" s="610"/>
      <c r="I414" s="610"/>
      <c r="P414" s="610"/>
      <c r="Q414" s="610"/>
      <c r="R414" s="610"/>
    </row>
    <row r="415">
      <c r="A415" s="610"/>
      <c r="H415" s="610"/>
      <c r="I415" s="610"/>
      <c r="P415" s="610"/>
      <c r="Q415" s="610"/>
      <c r="R415" s="610"/>
    </row>
    <row r="416">
      <c r="A416" s="610"/>
      <c r="H416" s="610"/>
      <c r="I416" s="610"/>
      <c r="P416" s="610"/>
      <c r="Q416" s="610"/>
      <c r="R416" s="610"/>
    </row>
    <row r="417">
      <c r="A417" s="610"/>
      <c r="H417" s="610"/>
      <c r="I417" s="610"/>
      <c r="P417" s="610"/>
      <c r="Q417" s="610"/>
      <c r="R417" s="610"/>
    </row>
    <row r="418">
      <c r="A418" s="610"/>
      <c r="H418" s="610"/>
      <c r="I418" s="610"/>
      <c r="P418" s="610"/>
      <c r="Q418" s="610"/>
      <c r="R418" s="610"/>
    </row>
    <row r="419">
      <c r="A419" s="610"/>
      <c r="H419" s="610"/>
      <c r="I419" s="610"/>
      <c r="P419" s="610"/>
      <c r="Q419" s="610"/>
      <c r="R419" s="610"/>
    </row>
    <row r="420">
      <c r="A420" s="610"/>
      <c r="H420" s="610"/>
      <c r="I420" s="610"/>
      <c r="P420" s="610"/>
      <c r="Q420" s="610"/>
      <c r="R420" s="610"/>
    </row>
    <row r="421">
      <c r="A421" s="610"/>
      <c r="H421" s="610"/>
      <c r="I421" s="610"/>
      <c r="P421" s="610"/>
      <c r="Q421" s="610"/>
      <c r="R421" s="610"/>
    </row>
    <row r="422">
      <c r="A422" s="610"/>
      <c r="H422" s="610"/>
      <c r="I422" s="610"/>
      <c r="P422" s="610"/>
      <c r="Q422" s="610"/>
      <c r="R422" s="610"/>
    </row>
    <row r="423">
      <c r="A423" s="610"/>
      <c r="H423" s="610"/>
      <c r="I423" s="610"/>
      <c r="P423" s="610"/>
      <c r="Q423" s="610"/>
      <c r="R423" s="610"/>
    </row>
    <row r="424">
      <c r="A424" s="610"/>
      <c r="H424" s="610"/>
      <c r="I424" s="610"/>
      <c r="P424" s="610"/>
      <c r="Q424" s="610"/>
      <c r="R424" s="610"/>
    </row>
    <row r="425">
      <c r="A425" s="610"/>
      <c r="H425" s="610"/>
      <c r="I425" s="610"/>
      <c r="P425" s="610"/>
      <c r="Q425" s="610"/>
      <c r="R425" s="610"/>
    </row>
    <row r="426">
      <c r="A426" s="610"/>
      <c r="H426" s="610"/>
      <c r="I426" s="610"/>
      <c r="P426" s="610"/>
      <c r="Q426" s="610"/>
      <c r="R426" s="610"/>
    </row>
    <row r="427">
      <c r="A427" s="610"/>
      <c r="H427" s="610"/>
      <c r="I427" s="610"/>
      <c r="P427" s="610"/>
      <c r="Q427" s="610"/>
      <c r="R427" s="610"/>
    </row>
    <row r="428">
      <c r="A428" s="610"/>
      <c r="H428" s="610"/>
      <c r="I428" s="610"/>
      <c r="P428" s="610"/>
      <c r="Q428" s="610"/>
      <c r="R428" s="610"/>
    </row>
    <row r="429">
      <c r="A429" s="610"/>
      <c r="H429" s="610"/>
      <c r="I429" s="610"/>
      <c r="P429" s="610"/>
      <c r="Q429" s="610"/>
      <c r="R429" s="610"/>
    </row>
    <row r="430">
      <c r="A430" s="610"/>
      <c r="H430" s="610"/>
      <c r="I430" s="610"/>
      <c r="P430" s="610"/>
      <c r="Q430" s="610"/>
      <c r="R430" s="610"/>
    </row>
    <row r="431">
      <c r="A431" s="610"/>
      <c r="H431" s="610"/>
      <c r="I431" s="610"/>
      <c r="P431" s="610"/>
      <c r="Q431" s="610"/>
      <c r="R431" s="610"/>
    </row>
    <row r="432">
      <c r="A432" s="610"/>
      <c r="H432" s="610"/>
      <c r="I432" s="610"/>
      <c r="P432" s="610"/>
      <c r="Q432" s="610"/>
      <c r="R432" s="610"/>
    </row>
    <row r="433">
      <c r="A433" s="610"/>
      <c r="H433" s="610"/>
      <c r="I433" s="610"/>
      <c r="P433" s="610"/>
      <c r="Q433" s="610"/>
      <c r="R433" s="610"/>
    </row>
    <row r="434">
      <c r="A434" s="610"/>
      <c r="H434" s="610"/>
      <c r="I434" s="610"/>
      <c r="P434" s="610"/>
      <c r="Q434" s="610"/>
      <c r="R434" s="610"/>
    </row>
    <row r="435">
      <c r="A435" s="610"/>
      <c r="H435" s="610"/>
      <c r="I435" s="610"/>
      <c r="P435" s="610"/>
      <c r="Q435" s="610"/>
      <c r="R435" s="610"/>
    </row>
    <row r="436">
      <c r="A436" s="610"/>
      <c r="H436" s="610"/>
      <c r="I436" s="610"/>
      <c r="P436" s="610"/>
      <c r="Q436" s="610"/>
      <c r="R436" s="610"/>
    </row>
    <row r="437">
      <c r="A437" s="610"/>
      <c r="H437" s="610"/>
      <c r="I437" s="610"/>
      <c r="P437" s="610"/>
      <c r="Q437" s="610"/>
      <c r="R437" s="610"/>
    </row>
    <row r="438">
      <c r="A438" s="610"/>
      <c r="H438" s="610"/>
      <c r="I438" s="610"/>
      <c r="P438" s="610"/>
      <c r="Q438" s="610"/>
      <c r="R438" s="610"/>
    </row>
    <row r="439">
      <c r="A439" s="610"/>
      <c r="H439" s="610"/>
      <c r="I439" s="610"/>
      <c r="P439" s="610"/>
      <c r="Q439" s="610"/>
      <c r="R439" s="610"/>
    </row>
    <row r="440">
      <c r="A440" s="610"/>
      <c r="H440" s="610"/>
      <c r="I440" s="610"/>
      <c r="P440" s="610"/>
      <c r="Q440" s="610"/>
      <c r="R440" s="610"/>
    </row>
    <row r="441">
      <c r="A441" s="610"/>
      <c r="H441" s="610"/>
      <c r="I441" s="610"/>
      <c r="P441" s="610"/>
      <c r="Q441" s="610"/>
      <c r="R441" s="610"/>
    </row>
    <row r="442">
      <c r="A442" s="610"/>
      <c r="H442" s="610"/>
      <c r="I442" s="610"/>
      <c r="P442" s="610"/>
      <c r="Q442" s="610"/>
      <c r="R442" s="610"/>
    </row>
    <row r="443">
      <c r="A443" s="610"/>
      <c r="H443" s="610"/>
      <c r="I443" s="610"/>
      <c r="P443" s="610"/>
      <c r="Q443" s="610"/>
      <c r="R443" s="610"/>
    </row>
    <row r="444">
      <c r="A444" s="610"/>
      <c r="H444" s="610"/>
      <c r="I444" s="610"/>
      <c r="P444" s="610"/>
      <c r="Q444" s="610"/>
      <c r="R444" s="610"/>
    </row>
    <row r="445">
      <c r="A445" s="610"/>
      <c r="H445" s="610"/>
      <c r="I445" s="610"/>
      <c r="P445" s="610"/>
      <c r="Q445" s="610"/>
      <c r="R445" s="610"/>
    </row>
    <row r="446">
      <c r="A446" s="610"/>
      <c r="H446" s="610"/>
      <c r="I446" s="610"/>
      <c r="P446" s="610"/>
      <c r="Q446" s="610"/>
      <c r="R446" s="610"/>
    </row>
    <row r="447">
      <c r="A447" s="610"/>
      <c r="H447" s="610"/>
      <c r="I447" s="610"/>
      <c r="P447" s="610"/>
      <c r="Q447" s="610"/>
      <c r="R447" s="610"/>
    </row>
    <row r="448">
      <c r="A448" s="610"/>
      <c r="H448" s="610"/>
      <c r="I448" s="610"/>
      <c r="P448" s="610"/>
      <c r="Q448" s="610"/>
      <c r="R448" s="610"/>
    </row>
    <row r="449">
      <c r="A449" s="610"/>
      <c r="H449" s="610"/>
      <c r="I449" s="610"/>
      <c r="P449" s="610"/>
      <c r="Q449" s="610"/>
      <c r="R449" s="610"/>
    </row>
    <row r="450">
      <c r="A450" s="610"/>
      <c r="H450" s="610"/>
      <c r="I450" s="610"/>
      <c r="P450" s="610"/>
      <c r="Q450" s="610"/>
      <c r="R450" s="610"/>
    </row>
    <row r="451">
      <c r="A451" s="610"/>
      <c r="H451" s="610"/>
      <c r="I451" s="610"/>
      <c r="P451" s="610"/>
      <c r="Q451" s="610"/>
      <c r="R451" s="610"/>
    </row>
    <row r="452">
      <c r="A452" s="610"/>
      <c r="H452" s="610"/>
      <c r="I452" s="610"/>
      <c r="P452" s="610"/>
      <c r="Q452" s="610"/>
      <c r="R452" s="610"/>
    </row>
    <row r="453">
      <c r="A453" s="610"/>
      <c r="H453" s="610"/>
      <c r="I453" s="610"/>
      <c r="P453" s="610"/>
      <c r="Q453" s="610"/>
      <c r="R453" s="610"/>
    </row>
    <row r="454">
      <c r="A454" s="610"/>
      <c r="H454" s="610"/>
      <c r="I454" s="610"/>
      <c r="P454" s="610"/>
      <c r="Q454" s="610"/>
      <c r="R454" s="610"/>
    </row>
    <row r="455">
      <c r="A455" s="610"/>
      <c r="H455" s="610"/>
      <c r="I455" s="610"/>
      <c r="P455" s="610"/>
      <c r="Q455" s="610"/>
      <c r="R455" s="610"/>
    </row>
    <row r="456">
      <c r="A456" s="610"/>
      <c r="H456" s="610"/>
      <c r="I456" s="610"/>
      <c r="P456" s="610"/>
      <c r="Q456" s="610"/>
      <c r="R456" s="610"/>
    </row>
    <row r="457">
      <c r="A457" s="610"/>
      <c r="H457" s="610"/>
      <c r="I457" s="610"/>
      <c r="P457" s="610"/>
      <c r="Q457" s="610"/>
      <c r="R457" s="610"/>
    </row>
    <row r="458">
      <c r="A458" s="610"/>
      <c r="H458" s="610"/>
      <c r="I458" s="610"/>
      <c r="P458" s="610"/>
      <c r="Q458" s="610"/>
      <c r="R458" s="610"/>
    </row>
    <row r="459">
      <c r="A459" s="610"/>
      <c r="H459" s="610"/>
      <c r="I459" s="610"/>
      <c r="P459" s="610"/>
      <c r="Q459" s="610"/>
      <c r="R459" s="610"/>
    </row>
    <row r="460">
      <c r="A460" s="610"/>
      <c r="H460" s="610"/>
      <c r="I460" s="610"/>
      <c r="P460" s="610"/>
      <c r="Q460" s="610"/>
      <c r="R460" s="610"/>
    </row>
    <row r="461">
      <c r="A461" s="610"/>
      <c r="H461" s="610"/>
      <c r="I461" s="610"/>
      <c r="P461" s="610"/>
      <c r="Q461" s="610"/>
      <c r="R461" s="610"/>
    </row>
    <row r="462">
      <c r="A462" s="610"/>
      <c r="H462" s="610"/>
      <c r="I462" s="610"/>
      <c r="P462" s="610"/>
      <c r="Q462" s="610"/>
      <c r="R462" s="610"/>
    </row>
    <row r="463">
      <c r="A463" s="610"/>
      <c r="H463" s="610"/>
      <c r="I463" s="610"/>
      <c r="P463" s="610"/>
      <c r="Q463" s="610"/>
      <c r="R463" s="610"/>
    </row>
    <row r="464">
      <c r="A464" s="610"/>
      <c r="H464" s="610"/>
      <c r="I464" s="610"/>
      <c r="P464" s="610"/>
      <c r="Q464" s="610"/>
      <c r="R464" s="610"/>
    </row>
    <row r="465">
      <c r="A465" s="610"/>
      <c r="H465" s="610"/>
      <c r="I465" s="610"/>
      <c r="P465" s="610"/>
      <c r="Q465" s="610"/>
      <c r="R465" s="610"/>
    </row>
    <row r="466">
      <c r="A466" s="610"/>
      <c r="H466" s="610"/>
      <c r="I466" s="610"/>
      <c r="P466" s="610"/>
      <c r="Q466" s="610"/>
      <c r="R466" s="610"/>
    </row>
    <row r="467">
      <c r="A467" s="610"/>
      <c r="H467" s="610"/>
      <c r="I467" s="610"/>
      <c r="P467" s="610"/>
      <c r="Q467" s="610"/>
      <c r="R467" s="610"/>
    </row>
    <row r="468">
      <c r="A468" s="610"/>
      <c r="H468" s="610"/>
      <c r="I468" s="610"/>
      <c r="P468" s="610"/>
      <c r="Q468" s="610"/>
      <c r="R468" s="610"/>
    </row>
    <row r="469">
      <c r="A469" s="610"/>
      <c r="H469" s="610"/>
      <c r="I469" s="610"/>
      <c r="P469" s="610"/>
      <c r="Q469" s="610"/>
      <c r="R469" s="610"/>
    </row>
    <row r="470">
      <c r="A470" s="610"/>
      <c r="H470" s="610"/>
      <c r="I470" s="610"/>
      <c r="P470" s="610"/>
      <c r="Q470" s="610"/>
      <c r="R470" s="610"/>
    </row>
    <row r="471">
      <c r="A471" s="610"/>
      <c r="H471" s="610"/>
      <c r="I471" s="610"/>
      <c r="P471" s="610"/>
      <c r="Q471" s="610"/>
      <c r="R471" s="610"/>
    </row>
    <row r="472">
      <c r="A472" s="610"/>
      <c r="H472" s="610"/>
      <c r="I472" s="610"/>
      <c r="P472" s="610"/>
      <c r="Q472" s="610"/>
      <c r="R472" s="610"/>
    </row>
    <row r="473">
      <c r="A473" s="610"/>
      <c r="H473" s="610"/>
      <c r="I473" s="610"/>
      <c r="P473" s="610"/>
      <c r="Q473" s="610"/>
      <c r="R473" s="610"/>
    </row>
    <row r="474">
      <c r="A474" s="610"/>
      <c r="H474" s="610"/>
      <c r="I474" s="610"/>
      <c r="P474" s="610"/>
      <c r="Q474" s="610"/>
      <c r="R474" s="610"/>
    </row>
    <row r="475">
      <c r="A475" s="610"/>
      <c r="H475" s="610"/>
      <c r="I475" s="610"/>
      <c r="P475" s="610"/>
      <c r="Q475" s="610"/>
      <c r="R475" s="610"/>
    </row>
    <row r="476">
      <c r="A476" s="610"/>
      <c r="H476" s="610"/>
      <c r="I476" s="610"/>
      <c r="P476" s="610"/>
      <c r="Q476" s="610"/>
      <c r="R476" s="610"/>
    </row>
    <row r="477">
      <c r="A477" s="610"/>
      <c r="H477" s="610"/>
      <c r="I477" s="610"/>
      <c r="P477" s="610"/>
      <c r="Q477" s="610"/>
      <c r="R477" s="610"/>
    </row>
    <row r="478">
      <c r="A478" s="610"/>
      <c r="H478" s="610"/>
      <c r="I478" s="610"/>
      <c r="P478" s="610"/>
      <c r="Q478" s="610"/>
      <c r="R478" s="610"/>
    </row>
    <row r="479">
      <c r="A479" s="610"/>
      <c r="H479" s="610"/>
      <c r="I479" s="610"/>
      <c r="P479" s="610"/>
      <c r="Q479" s="610"/>
      <c r="R479" s="610"/>
    </row>
    <row r="480">
      <c r="A480" s="610"/>
      <c r="H480" s="610"/>
      <c r="I480" s="610"/>
      <c r="P480" s="610"/>
      <c r="Q480" s="610"/>
      <c r="R480" s="610"/>
    </row>
    <row r="481">
      <c r="A481" s="610"/>
      <c r="H481" s="610"/>
      <c r="I481" s="610"/>
      <c r="P481" s="610"/>
      <c r="Q481" s="610"/>
      <c r="R481" s="610"/>
    </row>
    <row r="482">
      <c r="A482" s="610"/>
      <c r="H482" s="610"/>
      <c r="I482" s="610"/>
      <c r="P482" s="610"/>
      <c r="Q482" s="610"/>
      <c r="R482" s="610"/>
    </row>
    <row r="483">
      <c r="A483" s="610"/>
      <c r="H483" s="610"/>
      <c r="I483" s="610"/>
      <c r="P483" s="610"/>
      <c r="Q483" s="610"/>
      <c r="R483" s="610"/>
    </row>
    <row r="484">
      <c r="A484" s="610"/>
      <c r="H484" s="610"/>
      <c r="I484" s="610"/>
      <c r="P484" s="610"/>
      <c r="Q484" s="610"/>
      <c r="R484" s="610"/>
    </row>
    <row r="485">
      <c r="A485" s="610"/>
      <c r="H485" s="610"/>
      <c r="I485" s="610"/>
      <c r="P485" s="610"/>
      <c r="Q485" s="610"/>
      <c r="R485" s="610"/>
    </row>
    <row r="486">
      <c r="A486" s="610"/>
      <c r="H486" s="610"/>
      <c r="I486" s="610"/>
      <c r="P486" s="610"/>
      <c r="Q486" s="610"/>
      <c r="R486" s="610"/>
    </row>
    <row r="487">
      <c r="A487" s="610"/>
      <c r="H487" s="610"/>
      <c r="I487" s="610"/>
      <c r="P487" s="610"/>
      <c r="Q487" s="610"/>
      <c r="R487" s="610"/>
    </row>
    <row r="488">
      <c r="A488" s="610"/>
      <c r="H488" s="610"/>
      <c r="I488" s="610"/>
      <c r="P488" s="610"/>
      <c r="Q488" s="610"/>
      <c r="R488" s="610"/>
    </row>
    <row r="489">
      <c r="A489" s="610"/>
      <c r="H489" s="610"/>
      <c r="I489" s="610"/>
      <c r="P489" s="610"/>
      <c r="Q489" s="610"/>
      <c r="R489" s="610"/>
    </row>
    <row r="490">
      <c r="A490" s="610"/>
      <c r="H490" s="610"/>
      <c r="I490" s="610"/>
      <c r="P490" s="610"/>
      <c r="Q490" s="610"/>
      <c r="R490" s="610"/>
    </row>
    <row r="491">
      <c r="A491" s="610"/>
      <c r="H491" s="610"/>
      <c r="I491" s="610"/>
      <c r="P491" s="610"/>
      <c r="Q491" s="610"/>
      <c r="R491" s="610"/>
    </row>
    <row r="492">
      <c r="A492" s="610"/>
      <c r="H492" s="610"/>
      <c r="I492" s="610"/>
      <c r="P492" s="610"/>
      <c r="Q492" s="610"/>
      <c r="R492" s="610"/>
    </row>
    <row r="493">
      <c r="A493" s="610"/>
      <c r="H493" s="610"/>
      <c r="I493" s="610"/>
      <c r="P493" s="610"/>
      <c r="Q493" s="610"/>
      <c r="R493" s="610"/>
    </row>
    <row r="494">
      <c r="A494" s="610"/>
      <c r="H494" s="610"/>
      <c r="I494" s="610"/>
      <c r="P494" s="610"/>
      <c r="Q494" s="610"/>
      <c r="R494" s="610"/>
    </row>
    <row r="495">
      <c r="A495" s="610"/>
      <c r="H495" s="610"/>
      <c r="I495" s="610"/>
      <c r="P495" s="610"/>
      <c r="Q495" s="610"/>
      <c r="R495" s="610"/>
    </row>
    <row r="496">
      <c r="A496" s="610"/>
      <c r="H496" s="610"/>
      <c r="I496" s="610"/>
      <c r="P496" s="610"/>
      <c r="Q496" s="610"/>
      <c r="R496" s="610"/>
    </row>
    <row r="497">
      <c r="A497" s="610"/>
      <c r="H497" s="610"/>
      <c r="I497" s="610"/>
      <c r="P497" s="610"/>
      <c r="Q497" s="610"/>
      <c r="R497" s="610"/>
    </row>
    <row r="498">
      <c r="A498" s="610"/>
      <c r="H498" s="610"/>
      <c r="I498" s="610"/>
      <c r="P498" s="610"/>
      <c r="Q498" s="610"/>
      <c r="R498" s="610"/>
    </row>
    <row r="499">
      <c r="A499" s="610"/>
      <c r="H499" s="610"/>
      <c r="I499" s="610"/>
      <c r="P499" s="610"/>
      <c r="Q499" s="610"/>
      <c r="R499" s="610"/>
    </row>
    <row r="500">
      <c r="A500" s="610"/>
      <c r="H500" s="610"/>
      <c r="I500" s="610"/>
      <c r="P500" s="610"/>
      <c r="Q500" s="610"/>
      <c r="R500" s="610"/>
    </row>
    <row r="501">
      <c r="A501" s="610"/>
      <c r="H501" s="610"/>
      <c r="I501" s="610"/>
      <c r="P501" s="610"/>
      <c r="Q501" s="610"/>
      <c r="R501" s="610"/>
    </row>
    <row r="502">
      <c r="A502" s="610"/>
      <c r="H502" s="610"/>
      <c r="I502" s="610"/>
      <c r="P502" s="610"/>
      <c r="Q502" s="610"/>
      <c r="R502" s="610"/>
    </row>
    <row r="503">
      <c r="A503" s="610"/>
      <c r="H503" s="610"/>
      <c r="I503" s="610"/>
      <c r="P503" s="610"/>
      <c r="Q503" s="610"/>
      <c r="R503" s="610"/>
    </row>
    <row r="504">
      <c r="A504" s="610"/>
      <c r="H504" s="610"/>
      <c r="I504" s="610"/>
      <c r="P504" s="610"/>
      <c r="Q504" s="610"/>
      <c r="R504" s="610"/>
    </row>
    <row r="505">
      <c r="A505" s="610"/>
      <c r="H505" s="610"/>
      <c r="I505" s="610"/>
      <c r="P505" s="610"/>
      <c r="Q505" s="610"/>
      <c r="R505" s="610"/>
    </row>
    <row r="506">
      <c r="A506" s="610"/>
      <c r="H506" s="610"/>
      <c r="I506" s="610"/>
      <c r="P506" s="610"/>
      <c r="Q506" s="610"/>
      <c r="R506" s="610"/>
    </row>
    <row r="507">
      <c r="A507" s="610"/>
      <c r="H507" s="610"/>
      <c r="I507" s="610"/>
      <c r="P507" s="610"/>
      <c r="Q507" s="610"/>
      <c r="R507" s="610"/>
    </row>
    <row r="508">
      <c r="A508" s="630"/>
      <c r="H508" s="610"/>
      <c r="I508" s="610"/>
      <c r="P508" s="610"/>
      <c r="Q508" s="610"/>
      <c r="R508" s="610"/>
    </row>
    <row r="509">
      <c r="A509" s="631"/>
      <c r="H509" s="610"/>
      <c r="I509" s="610"/>
      <c r="P509" s="610"/>
      <c r="Q509" s="610"/>
      <c r="R509" s="610"/>
    </row>
    <row r="510">
      <c r="A510" s="630"/>
      <c r="H510" s="610"/>
      <c r="I510" s="610"/>
      <c r="P510" s="610"/>
      <c r="Q510" s="610"/>
      <c r="R510" s="610"/>
    </row>
    <row r="511">
      <c r="A511" s="631"/>
      <c r="H511" s="610"/>
      <c r="I511" s="610"/>
      <c r="P511" s="610"/>
      <c r="Q511" s="610"/>
      <c r="R511" s="610"/>
    </row>
    <row r="512">
      <c r="A512" s="631"/>
      <c r="H512" s="610"/>
      <c r="I512" s="610"/>
      <c r="P512" s="610"/>
      <c r="Q512" s="610"/>
      <c r="R512" s="610"/>
    </row>
    <row r="513">
      <c r="A513" s="631"/>
      <c r="H513" s="610"/>
      <c r="I513" s="610"/>
      <c r="P513" s="610"/>
      <c r="Q513" s="610"/>
      <c r="R513" s="610"/>
    </row>
    <row r="514">
      <c r="A514" s="631"/>
      <c r="H514" s="610"/>
      <c r="I514" s="610"/>
      <c r="P514" s="610"/>
      <c r="Q514" s="610"/>
      <c r="R514" s="610"/>
    </row>
    <row r="515">
      <c r="A515" s="630"/>
      <c r="H515" s="610"/>
      <c r="I515" s="610"/>
      <c r="P515" s="610"/>
      <c r="Q515" s="610"/>
      <c r="R515" s="610"/>
    </row>
    <row r="516">
      <c r="A516" s="631"/>
      <c r="H516" s="610"/>
      <c r="I516" s="610"/>
      <c r="P516" s="610"/>
      <c r="Q516" s="610"/>
      <c r="R516" s="610"/>
    </row>
    <row r="517">
      <c r="A517" s="631"/>
      <c r="H517" s="610"/>
      <c r="I517" s="610"/>
      <c r="P517" s="610"/>
      <c r="Q517" s="610"/>
      <c r="R517" s="610"/>
    </row>
    <row r="518">
      <c r="A518" s="631"/>
      <c r="H518" s="610"/>
      <c r="I518" s="610"/>
      <c r="P518" s="610"/>
      <c r="Q518" s="610"/>
      <c r="R518" s="610"/>
    </row>
    <row r="519">
      <c r="A519" s="631"/>
      <c r="H519" s="610"/>
      <c r="I519" s="610"/>
      <c r="P519" s="610"/>
      <c r="Q519" s="610"/>
      <c r="R519" s="610"/>
    </row>
    <row r="520">
      <c r="A520" s="630"/>
      <c r="H520" s="610"/>
      <c r="I520" s="610"/>
      <c r="P520" s="610"/>
      <c r="Q520" s="610"/>
      <c r="R520" s="610"/>
    </row>
    <row r="521">
      <c r="A521" s="631"/>
      <c r="H521" s="610"/>
      <c r="I521" s="610"/>
      <c r="P521" s="610"/>
      <c r="Q521" s="610"/>
      <c r="R521" s="610"/>
    </row>
    <row r="522">
      <c r="A522" s="631"/>
      <c r="H522" s="610"/>
      <c r="I522" s="610"/>
      <c r="P522" s="610"/>
      <c r="Q522" s="610"/>
      <c r="R522" s="610"/>
    </row>
    <row r="523">
      <c r="A523" s="631"/>
      <c r="H523" s="610"/>
      <c r="I523" s="610"/>
      <c r="P523" s="610"/>
      <c r="Q523" s="610"/>
      <c r="R523" s="610"/>
    </row>
    <row r="524">
      <c r="A524" s="631"/>
      <c r="H524" s="610"/>
      <c r="I524" s="610"/>
      <c r="P524" s="610"/>
      <c r="Q524" s="610"/>
      <c r="R524" s="610"/>
    </row>
    <row r="525">
      <c r="A525" s="631"/>
      <c r="H525" s="610"/>
      <c r="I525" s="610"/>
      <c r="P525" s="610"/>
      <c r="Q525" s="610"/>
      <c r="R525" s="610"/>
    </row>
    <row r="526">
      <c r="A526" s="630"/>
      <c r="H526" s="610"/>
      <c r="I526" s="610"/>
      <c r="P526" s="610"/>
      <c r="Q526" s="610"/>
      <c r="R526" s="610"/>
    </row>
    <row r="527">
      <c r="A527" s="631"/>
      <c r="H527" s="610"/>
      <c r="I527" s="610"/>
      <c r="P527" s="610"/>
      <c r="Q527" s="610"/>
      <c r="R527" s="610"/>
    </row>
    <row r="528">
      <c r="A528" s="631"/>
      <c r="H528" s="610"/>
      <c r="I528" s="610"/>
      <c r="P528" s="610"/>
      <c r="Q528" s="610"/>
      <c r="R528" s="610"/>
    </row>
    <row r="529">
      <c r="A529" s="631"/>
      <c r="H529" s="610"/>
      <c r="I529" s="610"/>
      <c r="P529" s="610"/>
      <c r="Q529" s="610"/>
      <c r="R529" s="610"/>
    </row>
    <row r="530">
      <c r="A530" s="631"/>
      <c r="H530" s="610"/>
      <c r="I530" s="610"/>
      <c r="P530" s="610"/>
      <c r="Q530" s="610"/>
      <c r="R530" s="610"/>
    </row>
    <row r="531">
      <c r="A531" s="630"/>
      <c r="H531" s="610"/>
      <c r="I531" s="610"/>
      <c r="P531" s="610"/>
      <c r="Q531" s="610"/>
      <c r="R531" s="610"/>
    </row>
    <row r="532">
      <c r="A532" s="631"/>
      <c r="H532" s="610"/>
      <c r="I532" s="610"/>
      <c r="P532" s="610"/>
      <c r="Q532" s="610"/>
      <c r="R532" s="610"/>
    </row>
    <row r="533">
      <c r="A533" s="631"/>
      <c r="H533" s="610"/>
      <c r="I533" s="610"/>
      <c r="P533" s="610"/>
      <c r="Q533" s="610"/>
      <c r="R533" s="610"/>
    </row>
    <row r="534">
      <c r="A534" s="631"/>
      <c r="H534" s="610"/>
      <c r="I534" s="610"/>
      <c r="P534" s="610"/>
      <c r="Q534" s="610"/>
      <c r="R534" s="610"/>
    </row>
    <row r="535">
      <c r="A535" s="630"/>
      <c r="H535" s="610"/>
      <c r="I535" s="610"/>
      <c r="P535" s="610"/>
      <c r="Q535" s="610"/>
      <c r="R535" s="610"/>
    </row>
    <row r="536">
      <c r="A536" s="630"/>
      <c r="H536" s="610"/>
      <c r="I536" s="610"/>
      <c r="P536" s="610"/>
      <c r="Q536" s="610"/>
      <c r="R536" s="610"/>
    </row>
    <row r="537">
      <c r="A537" s="630"/>
      <c r="H537" s="610"/>
      <c r="I537" s="610"/>
      <c r="P537" s="610"/>
      <c r="Q537" s="610"/>
      <c r="R537" s="610"/>
    </row>
    <row r="538">
      <c r="A538" s="631"/>
      <c r="H538" s="610"/>
      <c r="I538" s="610"/>
      <c r="P538" s="610"/>
      <c r="Q538" s="610"/>
      <c r="R538" s="610"/>
    </row>
    <row r="539">
      <c r="A539" s="631"/>
      <c r="H539" s="610"/>
      <c r="I539" s="610"/>
      <c r="P539" s="610"/>
      <c r="Q539" s="610"/>
      <c r="R539" s="610"/>
    </row>
    <row r="540">
      <c r="A540" s="631"/>
      <c r="H540" s="610"/>
      <c r="I540" s="610"/>
      <c r="P540" s="610"/>
      <c r="Q540" s="610"/>
      <c r="R540" s="610"/>
    </row>
    <row r="541">
      <c r="A541" s="631"/>
      <c r="H541" s="610"/>
      <c r="I541" s="610"/>
      <c r="P541" s="610"/>
      <c r="Q541" s="610"/>
      <c r="R541" s="610"/>
    </row>
    <row r="542">
      <c r="A542" s="630"/>
      <c r="H542" s="610"/>
      <c r="I542" s="610"/>
      <c r="P542" s="610"/>
      <c r="Q542" s="610"/>
      <c r="R542" s="610"/>
    </row>
    <row r="543">
      <c r="A543" s="630"/>
      <c r="H543" s="610"/>
      <c r="I543" s="610"/>
      <c r="P543" s="610"/>
      <c r="Q543" s="610"/>
      <c r="R543" s="610"/>
    </row>
    <row r="544">
      <c r="A544" s="630"/>
      <c r="H544" s="610"/>
      <c r="I544" s="610"/>
      <c r="P544" s="610"/>
      <c r="Q544" s="610"/>
      <c r="R544" s="610"/>
    </row>
    <row r="545">
      <c r="A545" s="631"/>
      <c r="H545" s="610"/>
      <c r="I545" s="610"/>
      <c r="P545" s="610"/>
      <c r="Q545" s="610"/>
      <c r="R545" s="610"/>
    </row>
    <row r="546">
      <c r="A546" s="631"/>
      <c r="H546" s="610"/>
      <c r="I546" s="610"/>
      <c r="P546" s="610"/>
      <c r="Q546" s="610"/>
      <c r="R546" s="610"/>
    </row>
    <row r="547">
      <c r="A547" s="630"/>
      <c r="H547" s="610"/>
      <c r="I547" s="610"/>
      <c r="P547" s="610"/>
      <c r="Q547" s="610"/>
      <c r="R547" s="610"/>
    </row>
    <row r="548">
      <c r="A548" s="630"/>
      <c r="H548" s="610"/>
      <c r="I548" s="610"/>
      <c r="P548" s="610"/>
      <c r="Q548" s="610"/>
      <c r="R548" s="610"/>
    </row>
    <row r="549">
      <c r="A549" s="630"/>
      <c r="H549" s="610"/>
      <c r="I549" s="610"/>
      <c r="P549" s="610"/>
      <c r="Q549" s="610"/>
      <c r="R549" s="610"/>
    </row>
    <row r="550">
      <c r="A550" s="631"/>
      <c r="H550" s="610"/>
      <c r="I550" s="610"/>
      <c r="P550" s="610"/>
      <c r="Q550" s="610"/>
      <c r="R550" s="610"/>
    </row>
    <row r="551">
      <c r="A551" s="630"/>
      <c r="H551" s="610"/>
      <c r="I551" s="610"/>
      <c r="P551" s="610"/>
      <c r="Q551" s="610"/>
      <c r="R551" s="610"/>
    </row>
    <row r="552">
      <c r="A552" s="630"/>
      <c r="H552" s="610"/>
      <c r="I552" s="610"/>
      <c r="P552" s="610"/>
      <c r="Q552" s="610"/>
      <c r="R552" s="610"/>
    </row>
    <row r="553">
      <c r="A553" s="630"/>
      <c r="H553" s="610"/>
      <c r="I553" s="610"/>
      <c r="P553" s="610"/>
      <c r="Q553" s="610"/>
      <c r="R553" s="610"/>
    </row>
    <row r="554">
      <c r="A554" s="630"/>
      <c r="H554" s="610"/>
      <c r="I554" s="610"/>
      <c r="P554" s="610"/>
      <c r="Q554" s="610"/>
      <c r="R554" s="610"/>
    </row>
    <row r="555">
      <c r="A555" s="631"/>
      <c r="H555" s="610"/>
      <c r="I555" s="610"/>
      <c r="P555" s="610"/>
      <c r="Q555" s="610"/>
      <c r="R555" s="610"/>
    </row>
    <row r="556">
      <c r="A556" s="631"/>
      <c r="H556" s="610"/>
      <c r="I556" s="610"/>
      <c r="P556" s="610"/>
      <c r="Q556" s="610"/>
      <c r="R556" s="610"/>
    </row>
    <row r="557">
      <c r="A557" s="631"/>
      <c r="H557" s="610"/>
      <c r="I557" s="610"/>
      <c r="P557" s="610"/>
      <c r="Q557" s="610"/>
      <c r="R557" s="610"/>
    </row>
    <row r="558">
      <c r="A558" s="631"/>
      <c r="H558" s="610"/>
      <c r="I558" s="610"/>
      <c r="P558" s="610"/>
      <c r="Q558" s="610"/>
      <c r="R558" s="610"/>
    </row>
    <row r="559">
      <c r="A559" s="630"/>
      <c r="H559" s="610"/>
      <c r="I559" s="610"/>
      <c r="P559" s="610"/>
      <c r="Q559" s="610"/>
      <c r="R559" s="610"/>
    </row>
    <row r="560">
      <c r="A560" s="632"/>
      <c r="H560" s="610"/>
      <c r="I560" s="610"/>
      <c r="P560" s="610"/>
      <c r="Q560" s="610"/>
      <c r="R560" s="610"/>
    </row>
    <row r="561">
      <c r="A561" s="632"/>
      <c r="H561" s="610"/>
      <c r="I561" s="610"/>
      <c r="P561" s="610"/>
      <c r="Q561" s="610"/>
      <c r="R561" s="610"/>
    </row>
    <row r="562">
      <c r="A562" s="632"/>
      <c r="H562" s="610"/>
      <c r="I562" s="610"/>
      <c r="P562" s="610"/>
      <c r="Q562" s="610"/>
      <c r="R562" s="610"/>
    </row>
    <row r="563">
      <c r="A563" s="632"/>
      <c r="H563" s="610"/>
      <c r="I563" s="610"/>
      <c r="P563" s="610"/>
      <c r="Q563" s="610"/>
      <c r="R563" s="610"/>
    </row>
    <row r="564">
      <c r="A564" s="630"/>
      <c r="H564" s="610"/>
      <c r="I564" s="610"/>
      <c r="P564" s="610"/>
      <c r="Q564" s="610"/>
      <c r="R564" s="610"/>
    </row>
    <row r="565">
      <c r="A565" s="632"/>
      <c r="H565" s="610"/>
      <c r="I565" s="610"/>
      <c r="P565" s="610"/>
      <c r="Q565" s="610"/>
      <c r="R565" s="610"/>
    </row>
    <row r="566">
      <c r="A566" s="633"/>
      <c r="H566" s="610"/>
      <c r="I566" s="610"/>
      <c r="P566" s="610"/>
      <c r="Q566" s="610"/>
      <c r="R566" s="610"/>
    </row>
    <row r="567">
      <c r="A567" s="633"/>
      <c r="H567" s="610"/>
      <c r="I567" s="610"/>
      <c r="P567" s="610"/>
      <c r="Q567" s="610"/>
      <c r="R567" s="610"/>
    </row>
    <row r="568">
      <c r="A568" s="610"/>
      <c r="H568" s="610"/>
      <c r="I568" s="610"/>
      <c r="P568" s="610"/>
      <c r="Q568" s="610"/>
      <c r="R568" s="610"/>
    </row>
    <row r="569">
      <c r="A569" s="634"/>
      <c r="H569" s="610"/>
      <c r="I569" s="610"/>
      <c r="P569" s="610"/>
      <c r="Q569" s="610"/>
      <c r="R569" s="610"/>
    </row>
    <row r="570">
      <c r="A570" s="634"/>
      <c r="H570" s="610"/>
      <c r="I570" s="610"/>
      <c r="P570" s="610"/>
      <c r="Q570" s="610"/>
      <c r="R570" s="610"/>
    </row>
    <row r="571">
      <c r="A571" s="634"/>
      <c r="H571" s="610"/>
      <c r="I571" s="610"/>
      <c r="P571" s="610"/>
      <c r="Q571" s="610"/>
      <c r="R571" s="610"/>
    </row>
    <row r="572">
      <c r="A572" s="635"/>
      <c r="H572" s="610"/>
      <c r="I572" s="610"/>
      <c r="P572" s="610"/>
      <c r="Q572" s="610"/>
      <c r="R572" s="610"/>
    </row>
    <row r="573">
      <c r="A573" s="610"/>
      <c r="H573" s="610"/>
      <c r="I573" s="610"/>
      <c r="P573" s="610"/>
      <c r="Q573" s="610"/>
      <c r="R573" s="610"/>
    </row>
    <row r="574">
      <c r="A574" s="634"/>
      <c r="H574" s="610"/>
      <c r="I574" s="610"/>
      <c r="P574" s="610"/>
      <c r="Q574" s="610"/>
      <c r="R574" s="610"/>
    </row>
    <row r="575">
      <c r="A575" s="634"/>
      <c r="H575" s="610"/>
      <c r="I575" s="610"/>
      <c r="P575" s="610"/>
      <c r="Q575" s="610"/>
      <c r="R575" s="610"/>
    </row>
    <row r="576">
      <c r="A576" s="634"/>
      <c r="H576" s="610"/>
      <c r="I576" s="610"/>
      <c r="P576" s="610"/>
      <c r="Q576" s="610"/>
      <c r="R576" s="610"/>
    </row>
    <row r="577">
      <c r="A577" s="635"/>
      <c r="H577" s="610"/>
      <c r="I577" s="610"/>
      <c r="P577" s="610"/>
      <c r="Q577" s="610"/>
      <c r="R577" s="610"/>
    </row>
    <row r="578">
      <c r="A578" s="610"/>
      <c r="H578" s="610"/>
      <c r="I578" s="610"/>
      <c r="P578" s="610"/>
      <c r="Q578" s="610"/>
      <c r="R578" s="610"/>
    </row>
    <row r="579">
      <c r="A579" s="634"/>
      <c r="H579" s="610"/>
      <c r="I579" s="610"/>
      <c r="P579" s="610"/>
      <c r="Q579" s="610"/>
      <c r="R579" s="610"/>
    </row>
    <row r="580">
      <c r="A580" s="634"/>
      <c r="H580" s="610"/>
      <c r="I580" s="610"/>
      <c r="P580" s="610"/>
      <c r="Q580" s="610"/>
      <c r="R580" s="610"/>
    </row>
    <row r="581">
      <c r="A581" s="634"/>
      <c r="H581" s="610"/>
      <c r="I581" s="610"/>
      <c r="P581" s="610"/>
      <c r="Q581" s="610"/>
      <c r="R581" s="610"/>
    </row>
    <row r="582">
      <c r="A582" s="634"/>
      <c r="H582" s="610"/>
      <c r="I582" s="610"/>
      <c r="P582" s="610"/>
      <c r="Q582" s="610"/>
      <c r="R582" s="610"/>
    </row>
    <row r="583">
      <c r="A583" s="610"/>
      <c r="H583" s="610"/>
      <c r="I583" s="610"/>
      <c r="P583" s="610"/>
      <c r="Q583" s="610"/>
      <c r="R583" s="610"/>
    </row>
    <row r="584">
      <c r="A584" s="634"/>
      <c r="H584" s="610"/>
      <c r="I584" s="610"/>
      <c r="P584" s="610"/>
      <c r="Q584" s="610"/>
      <c r="R584" s="610"/>
    </row>
    <row r="585">
      <c r="A585" s="621"/>
      <c r="H585" s="610"/>
      <c r="I585" s="610"/>
      <c r="P585" s="610"/>
      <c r="Q585" s="610"/>
      <c r="R585" s="610"/>
    </row>
    <row r="586">
      <c r="A586" s="610"/>
      <c r="H586" s="610"/>
      <c r="I586" s="610"/>
      <c r="P586" s="610"/>
      <c r="Q586" s="610"/>
      <c r="R586" s="610"/>
    </row>
    <row r="587">
      <c r="A587" s="634"/>
      <c r="H587" s="610"/>
      <c r="I587" s="610"/>
      <c r="P587" s="610"/>
      <c r="Q587" s="610"/>
      <c r="R587" s="610"/>
    </row>
    <row r="588">
      <c r="A588" s="634"/>
      <c r="H588" s="610"/>
      <c r="I588" s="610"/>
      <c r="P588" s="610"/>
      <c r="Q588" s="610"/>
      <c r="R588" s="610"/>
    </row>
    <row r="589">
      <c r="A589" s="635"/>
      <c r="H589" s="610"/>
      <c r="I589" s="610"/>
      <c r="P589" s="610"/>
      <c r="Q589" s="610"/>
      <c r="R589" s="610"/>
    </row>
    <row r="590">
      <c r="A590" s="610"/>
      <c r="H590" s="610"/>
      <c r="I590" s="610"/>
      <c r="P590" s="610"/>
      <c r="Q590" s="610"/>
      <c r="R590" s="610"/>
    </row>
    <row r="591">
      <c r="A591" s="634"/>
      <c r="H591" s="610"/>
      <c r="I591" s="610"/>
      <c r="P591" s="610"/>
      <c r="Q591" s="610"/>
      <c r="R591" s="610"/>
    </row>
    <row r="592">
      <c r="A592" s="621"/>
      <c r="H592" s="610"/>
      <c r="I592" s="610"/>
      <c r="P592" s="610"/>
      <c r="Q592" s="610"/>
      <c r="R592" s="610"/>
    </row>
    <row r="593">
      <c r="A593" s="634"/>
      <c r="H593" s="610"/>
      <c r="I593" s="610"/>
      <c r="P593" s="610"/>
      <c r="Q593" s="610"/>
      <c r="R593" s="610"/>
    </row>
    <row r="594">
      <c r="A594" s="635"/>
      <c r="H594" s="610"/>
      <c r="I594" s="610"/>
      <c r="P594" s="610"/>
      <c r="Q594" s="610"/>
      <c r="R594" s="610"/>
    </row>
    <row r="595">
      <c r="A595" s="635"/>
      <c r="H595" s="610"/>
      <c r="I595" s="610"/>
      <c r="P595" s="610"/>
      <c r="Q595" s="610"/>
      <c r="R595" s="610"/>
    </row>
    <row r="596">
      <c r="A596" s="610"/>
      <c r="H596" s="610"/>
      <c r="I596" s="610"/>
      <c r="P596" s="610"/>
      <c r="Q596" s="610"/>
      <c r="R596" s="610"/>
    </row>
    <row r="597">
      <c r="A597" s="634"/>
      <c r="H597" s="610"/>
      <c r="I597" s="610"/>
      <c r="P597" s="610"/>
      <c r="Q597" s="610"/>
      <c r="R597" s="610"/>
    </row>
    <row r="598">
      <c r="A598" s="621"/>
      <c r="H598" s="610"/>
      <c r="I598" s="610"/>
      <c r="P598" s="610"/>
      <c r="Q598" s="610"/>
      <c r="R598" s="610"/>
    </row>
    <row r="599">
      <c r="A599" s="621"/>
      <c r="H599" s="610"/>
      <c r="I599" s="610"/>
      <c r="P599" s="610"/>
      <c r="Q599" s="610"/>
      <c r="R599" s="610"/>
    </row>
    <row r="600">
      <c r="A600" s="634"/>
      <c r="H600" s="610"/>
      <c r="I600" s="610"/>
      <c r="P600" s="610"/>
      <c r="Q600" s="610"/>
      <c r="R600" s="610"/>
    </row>
    <row r="601">
      <c r="A601" s="635"/>
      <c r="H601" s="610"/>
      <c r="I601" s="610"/>
      <c r="P601" s="610"/>
      <c r="Q601" s="610"/>
      <c r="R601" s="610"/>
    </row>
    <row r="602">
      <c r="A602" s="635"/>
      <c r="H602" s="610"/>
      <c r="I602" s="610"/>
      <c r="P602" s="610"/>
      <c r="Q602" s="610"/>
      <c r="R602" s="610"/>
    </row>
    <row r="603">
      <c r="A603" s="610"/>
      <c r="H603" s="610"/>
      <c r="I603" s="610"/>
      <c r="P603" s="610"/>
      <c r="Q603" s="610"/>
      <c r="R603" s="610"/>
    </row>
    <row r="604">
      <c r="A604" s="634"/>
      <c r="H604" s="610"/>
      <c r="I604" s="610"/>
      <c r="P604" s="610"/>
      <c r="Q604" s="610"/>
      <c r="R604" s="610"/>
    </row>
    <row r="605">
      <c r="A605" s="621"/>
      <c r="H605" s="610"/>
      <c r="I605" s="610"/>
      <c r="P605" s="610"/>
      <c r="Q605" s="610"/>
      <c r="R605" s="610"/>
    </row>
    <row r="606">
      <c r="A606" s="621"/>
      <c r="H606" s="610"/>
      <c r="I606" s="610"/>
      <c r="P606" s="610"/>
      <c r="Q606" s="610"/>
      <c r="R606" s="610"/>
    </row>
    <row r="607">
      <c r="A607" s="634"/>
      <c r="H607" s="610"/>
      <c r="I607" s="610"/>
      <c r="P607" s="610"/>
      <c r="Q607" s="610"/>
      <c r="R607" s="610"/>
    </row>
    <row r="608">
      <c r="A608" s="621"/>
      <c r="H608" s="610"/>
      <c r="I608" s="610"/>
      <c r="P608" s="610"/>
      <c r="Q608" s="610"/>
      <c r="R608" s="610"/>
    </row>
    <row r="609">
      <c r="A609" s="621"/>
      <c r="H609" s="610"/>
      <c r="I609" s="610"/>
      <c r="P609" s="610"/>
      <c r="Q609" s="610"/>
      <c r="R609" s="610"/>
    </row>
    <row r="610">
      <c r="A610" s="610"/>
      <c r="H610" s="610"/>
      <c r="I610" s="610"/>
      <c r="P610" s="610"/>
      <c r="Q610" s="610"/>
      <c r="R610" s="610"/>
    </row>
    <row r="611">
      <c r="A611" s="634"/>
      <c r="H611" s="610"/>
      <c r="I611" s="610"/>
      <c r="P611" s="610"/>
      <c r="Q611" s="610"/>
      <c r="R611" s="610"/>
    </row>
    <row r="612">
      <c r="A612" s="621"/>
      <c r="H612" s="610"/>
      <c r="I612" s="610"/>
      <c r="P612" s="610"/>
      <c r="Q612" s="610"/>
      <c r="R612" s="610"/>
    </row>
    <row r="613">
      <c r="A613" s="621"/>
      <c r="H613" s="610"/>
      <c r="I613" s="610"/>
      <c r="P613" s="610"/>
      <c r="Q613" s="610"/>
      <c r="R613" s="610"/>
    </row>
    <row r="614">
      <c r="A614" s="634"/>
      <c r="H614" s="610"/>
      <c r="I614" s="610"/>
      <c r="P614" s="610"/>
      <c r="Q614" s="610"/>
      <c r="R614" s="610"/>
    </row>
    <row r="615">
      <c r="A615" s="635"/>
      <c r="H615" s="610"/>
      <c r="I615" s="610"/>
      <c r="P615" s="610"/>
      <c r="Q615" s="610"/>
      <c r="R615" s="610"/>
    </row>
    <row r="616">
      <c r="A616" s="635"/>
      <c r="H616" s="610"/>
      <c r="I616" s="610"/>
      <c r="P616" s="610"/>
      <c r="Q616" s="610"/>
      <c r="R616" s="610"/>
    </row>
    <row r="617">
      <c r="A617" s="610"/>
      <c r="H617" s="610"/>
      <c r="I617" s="610"/>
      <c r="P617" s="610"/>
      <c r="Q617" s="610"/>
      <c r="R617" s="610"/>
    </row>
    <row r="618">
      <c r="A618" s="634"/>
      <c r="H618" s="610"/>
      <c r="I618" s="610"/>
      <c r="P618" s="610"/>
      <c r="Q618" s="610"/>
      <c r="R618" s="610"/>
    </row>
    <row r="619">
      <c r="A619" s="621"/>
      <c r="H619" s="610"/>
      <c r="I619" s="610"/>
      <c r="P619" s="610"/>
      <c r="Q619" s="610"/>
      <c r="R619" s="610"/>
    </row>
    <row r="620">
      <c r="A620" s="621"/>
      <c r="H620" s="610"/>
      <c r="I620" s="610"/>
      <c r="P620" s="610"/>
      <c r="Q620" s="610"/>
      <c r="R620" s="610"/>
    </row>
    <row r="621">
      <c r="A621" s="634"/>
      <c r="H621" s="610"/>
      <c r="I621" s="610"/>
      <c r="P621" s="610"/>
      <c r="Q621" s="610"/>
      <c r="R621" s="610"/>
    </row>
    <row r="622">
      <c r="A622" s="635"/>
      <c r="H622" s="610"/>
      <c r="I622" s="610"/>
      <c r="P622" s="610"/>
      <c r="Q622" s="610"/>
      <c r="R622" s="610"/>
    </row>
    <row r="623">
      <c r="A623" s="635"/>
      <c r="H623" s="610"/>
      <c r="I623" s="610"/>
      <c r="P623" s="610"/>
      <c r="Q623" s="610"/>
      <c r="R623" s="610"/>
    </row>
    <row r="624">
      <c r="A624" s="610"/>
      <c r="H624" s="610"/>
      <c r="I624" s="610"/>
      <c r="P624" s="610"/>
      <c r="Q624" s="610"/>
      <c r="R624" s="610"/>
    </row>
    <row r="625">
      <c r="A625" s="634"/>
      <c r="H625" s="610"/>
      <c r="I625" s="610"/>
      <c r="P625" s="610"/>
      <c r="Q625" s="610"/>
      <c r="R625" s="610"/>
    </row>
    <row r="626">
      <c r="A626" s="621"/>
      <c r="H626" s="610"/>
      <c r="I626" s="610"/>
      <c r="P626" s="610"/>
      <c r="Q626" s="610"/>
      <c r="R626" s="610"/>
    </row>
    <row r="627">
      <c r="A627" s="621"/>
      <c r="H627" s="610"/>
      <c r="I627" s="610"/>
      <c r="P627" s="610"/>
      <c r="Q627" s="610"/>
      <c r="R627" s="610"/>
    </row>
    <row r="628">
      <c r="A628" s="634"/>
      <c r="H628" s="610"/>
      <c r="I628" s="610"/>
      <c r="P628" s="610"/>
      <c r="Q628" s="610"/>
      <c r="R628" s="610"/>
    </row>
    <row r="629">
      <c r="A629" s="635"/>
      <c r="H629" s="610"/>
      <c r="I629" s="610"/>
      <c r="P629" s="610"/>
      <c r="Q629" s="610"/>
      <c r="R629" s="610"/>
    </row>
    <row r="630">
      <c r="A630" s="635"/>
      <c r="H630" s="610"/>
      <c r="I630" s="610"/>
      <c r="P630" s="610"/>
      <c r="Q630" s="610"/>
      <c r="R630" s="610"/>
    </row>
    <row r="631">
      <c r="A631" s="610"/>
      <c r="H631" s="610"/>
      <c r="I631" s="610"/>
      <c r="P631" s="610"/>
      <c r="Q631" s="610"/>
      <c r="R631" s="610"/>
    </row>
    <row r="632">
      <c r="A632" s="634"/>
      <c r="H632" s="610"/>
      <c r="I632" s="610"/>
      <c r="P632" s="610"/>
      <c r="Q632" s="610"/>
      <c r="R632" s="610"/>
    </row>
    <row r="633">
      <c r="A633" s="621"/>
      <c r="H633" s="610"/>
      <c r="I633" s="610"/>
      <c r="P633" s="610"/>
      <c r="Q633" s="610"/>
      <c r="R633" s="610"/>
    </row>
    <row r="634">
      <c r="A634" s="621"/>
      <c r="H634" s="610"/>
      <c r="I634" s="610"/>
      <c r="P634" s="610"/>
      <c r="Q634" s="610"/>
      <c r="R634" s="610"/>
    </row>
    <row r="635">
      <c r="A635" s="634"/>
      <c r="H635" s="610"/>
      <c r="I635" s="610"/>
      <c r="P635" s="610"/>
      <c r="Q635" s="610"/>
      <c r="R635" s="610"/>
    </row>
    <row r="636">
      <c r="A636" s="635"/>
      <c r="H636" s="610"/>
      <c r="I636" s="610"/>
      <c r="P636" s="610"/>
      <c r="Q636" s="610"/>
      <c r="R636" s="610"/>
    </row>
    <row r="637">
      <c r="A637" s="635"/>
      <c r="H637" s="610"/>
      <c r="I637" s="610"/>
      <c r="P637" s="610"/>
      <c r="Q637" s="610"/>
      <c r="R637" s="610"/>
    </row>
    <row r="638">
      <c r="A638" s="635"/>
      <c r="H638" s="610"/>
      <c r="I638" s="610"/>
      <c r="P638" s="610"/>
      <c r="Q638" s="610"/>
      <c r="R638" s="610"/>
    </row>
    <row r="639">
      <c r="A639" s="635"/>
      <c r="H639" s="610"/>
      <c r="I639" s="610"/>
      <c r="P639" s="610"/>
      <c r="Q639" s="610"/>
      <c r="R639" s="610"/>
    </row>
    <row r="640">
      <c r="A640" s="610"/>
      <c r="H640" s="610"/>
      <c r="I640" s="610"/>
      <c r="P640" s="610"/>
      <c r="Q640" s="610"/>
      <c r="R640" s="610"/>
    </row>
    <row r="641">
      <c r="A641" s="634"/>
      <c r="H641" s="610"/>
      <c r="I641" s="610"/>
      <c r="P641" s="610"/>
      <c r="Q641" s="610"/>
      <c r="R641" s="610"/>
    </row>
    <row r="642">
      <c r="A642" s="621"/>
      <c r="H642" s="610"/>
      <c r="I642" s="610"/>
      <c r="P642" s="610"/>
      <c r="Q642" s="610"/>
      <c r="R642" s="610"/>
    </row>
    <row r="643">
      <c r="A643" s="621"/>
      <c r="H643" s="610"/>
      <c r="I643" s="610"/>
      <c r="P643" s="610"/>
      <c r="Q643" s="610"/>
      <c r="R643" s="610"/>
    </row>
    <row r="644">
      <c r="A644" s="634"/>
      <c r="H644" s="610"/>
      <c r="I644" s="610"/>
      <c r="P644" s="610"/>
      <c r="Q644" s="610"/>
      <c r="R644" s="610"/>
    </row>
    <row r="645">
      <c r="A645" s="635"/>
      <c r="H645" s="610"/>
      <c r="I645" s="610"/>
      <c r="P645" s="610"/>
      <c r="Q645" s="610"/>
      <c r="R645" s="610"/>
    </row>
    <row r="646">
      <c r="A646" s="635"/>
      <c r="H646" s="610"/>
      <c r="I646" s="610"/>
      <c r="P646" s="610"/>
      <c r="Q646" s="610"/>
      <c r="R646" s="610"/>
    </row>
    <row r="647">
      <c r="A647" s="610"/>
      <c r="H647" s="610"/>
      <c r="I647" s="610"/>
      <c r="P647" s="610"/>
      <c r="Q647" s="610"/>
      <c r="R647" s="610"/>
    </row>
    <row r="648">
      <c r="A648" s="635"/>
      <c r="H648" s="610"/>
      <c r="I648" s="610"/>
      <c r="P648" s="610"/>
      <c r="Q648" s="610"/>
      <c r="R648" s="610"/>
    </row>
    <row r="649">
      <c r="A649" s="610"/>
      <c r="H649" s="610"/>
      <c r="I649" s="610"/>
      <c r="P649" s="610"/>
      <c r="Q649" s="610"/>
      <c r="R649" s="610"/>
    </row>
    <row r="650">
      <c r="A650" s="635"/>
      <c r="H650" s="610"/>
      <c r="I650" s="610"/>
      <c r="P650" s="610"/>
      <c r="Q650" s="610"/>
      <c r="R650" s="610"/>
    </row>
    <row r="651">
      <c r="A651" s="621"/>
      <c r="H651" s="610"/>
      <c r="I651" s="610"/>
      <c r="P651" s="610"/>
      <c r="Q651" s="610"/>
      <c r="R651" s="610"/>
    </row>
    <row r="652">
      <c r="A652" s="621"/>
      <c r="H652" s="610"/>
      <c r="I652" s="610"/>
      <c r="P652" s="610"/>
      <c r="Q652" s="610"/>
      <c r="R652" s="610"/>
    </row>
    <row r="653">
      <c r="A653" s="634"/>
      <c r="H653" s="610"/>
      <c r="I653" s="610"/>
      <c r="P653" s="610"/>
      <c r="Q653" s="610"/>
      <c r="R653" s="610"/>
    </row>
    <row r="654">
      <c r="A654" s="635"/>
      <c r="H654" s="610"/>
      <c r="I654" s="610"/>
      <c r="P654" s="610"/>
      <c r="Q654" s="610"/>
      <c r="R654" s="610"/>
    </row>
    <row r="655">
      <c r="A655" s="635"/>
      <c r="H655" s="610"/>
      <c r="I655" s="610"/>
      <c r="P655" s="610"/>
      <c r="Q655" s="610"/>
      <c r="R655" s="610"/>
    </row>
    <row r="656">
      <c r="A656" s="610"/>
      <c r="H656" s="610"/>
      <c r="I656" s="610"/>
      <c r="P656" s="610"/>
      <c r="Q656" s="610"/>
      <c r="R656" s="610"/>
    </row>
    <row r="657">
      <c r="A657" s="635"/>
      <c r="H657" s="610"/>
      <c r="I657" s="610"/>
      <c r="P657" s="610"/>
      <c r="Q657" s="610"/>
      <c r="R657" s="610"/>
    </row>
    <row r="658">
      <c r="A658" s="621"/>
      <c r="H658" s="610"/>
      <c r="I658" s="610"/>
      <c r="P658" s="610"/>
      <c r="Q658" s="610"/>
      <c r="R658" s="610"/>
    </row>
    <row r="659">
      <c r="A659" s="621"/>
      <c r="H659" s="610"/>
      <c r="I659" s="610"/>
      <c r="P659" s="610"/>
      <c r="Q659" s="610"/>
      <c r="R659" s="610"/>
    </row>
    <row r="660">
      <c r="A660" s="634"/>
      <c r="H660" s="610"/>
      <c r="I660" s="610"/>
      <c r="P660" s="610"/>
      <c r="Q660" s="610"/>
      <c r="R660" s="610"/>
    </row>
    <row r="661">
      <c r="A661" s="635"/>
      <c r="H661" s="610"/>
      <c r="I661" s="610"/>
      <c r="P661" s="610"/>
      <c r="Q661" s="610"/>
      <c r="R661" s="610"/>
    </row>
    <row r="662">
      <c r="A662" s="635"/>
      <c r="H662" s="610"/>
      <c r="I662" s="610"/>
      <c r="P662" s="610"/>
      <c r="Q662" s="610"/>
      <c r="R662" s="610"/>
    </row>
    <row r="663">
      <c r="A663" s="610"/>
      <c r="H663" s="610"/>
      <c r="I663" s="610"/>
      <c r="P663" s="610"/>
      <c r="Q663" s="610"/>
      <c r="R663" s="610"/>
    </row>
    <row r="664">
      <c r="A664" s="635"/>
      <c r="H664" s="610"/>
      <c r="I664" s="610"/>
      <c r="P664" s="610"/>
      <c r="Q664" s="610"/>
      <c r="R664" s="610"/>
    </row>
    <row r="665">
      <c r="A665" s="621"/>
      <c r="H665" s="610"/>
      <c r="I665" s="610"/>
      <c r="P665" s="610"/>
      <c r="Q665" s="610"/>
      <c r="R665" s="610"/>
    </row>
    <row r="666">
      <c r="A666" s="621"/>
      <c r="H666" s="610"/>
      <c r="I666" s="610"/>
      <c r="P666" s="610"/>
      <c r="Q666" s="610"/>
      <c r="R666" s="610"/>
    </row>
    <row r="667">
      <c r="A667" s="634"/>
      <c r="H667" s="610"/>
      <c r="I667" s="610"/>
      <c r="P667" s="610"/>
      <c r="Q667" s="610"/>
      <c r="R667" s="610"/>
    </row>
    <row r="668">
      <c r="A668" s="634"/>
      <c r="H668" s="610"/>
      <c r="I668" s="610"/>
      <c r="P668" s="610"/>
      <c r="Q668" s="610"/>
      <c r="R668" s="610"/>
    </row>
    <row r="669">
      <c r="A669" s="634"/>
      <c r="H669" s="610"/>
      <c r="I669" s="610"/>
      <c r="P669" s="610"/>
      <c r="Q669" s="610"/>
      <c r="R669" s="610"/>
    </row>
    <row r="670">
      <c r="A670" s="610"/>
      <c r="H670" s="610"/>
      <c r="I670" s="610"/>
      <c r="P670" s="610"/>
      <c r="Q670" s="610"/>
      <c r="R670" s="610"/>
    </row>
    <row r="671">
      <c r="A671" s="635"/>
      <c r="H671" s="610"/>
      <c r="I671" s="610"/>
      <c r="P671" s="610"/>
      <c r="Q671" s="610"/>
      <c r="R671" s="610"/>
    </row>
    <row r="672">
      <c r="A672" s="621"/>
      <c r="H672" s="610"/>
      <c r="I672" s="610"/>
      <c r="P672" s="610"/>
      <c r="Q672" s="610"/>
      <c r="R672" s="610"/>
    </row>
    <row r="673">
      <c r="A673" s="621"/>
      <c r="H673" s="610"/>
      <c r="I673" s="610"/>
      <c r="P673" s="610"/>
      <c r="Q673" s="610"/>
      <c r="R673" s="610"/>
    </row>
    <row r="674">
      <c r="A674" s="634"/>
      <c r="H674" s="610"/>
      <c r="I674" s="610"/>
      <c r="P674" s="610"/>
      <c r="Q674" s="610"/>
      <c r="R674" s="610"/>
    </row>
    <row r="675">
      <c r="A675" s="635"/>
      <c r="H675" s="610"/>
      <c r="I675" s="610"/>
      <c r="P675" s="610"/>
      <c r="Q675" s="610"/>
      <c r="R675" s="610"/>
    </row>
    <row r="676">
      <c r="A676" s="635"/>
      <c r="H676" s="610"/>
      <c r="I676" s="610"/>
      <c r="P676" s="610"/>
      <c r="Q676" s="610"/>
      <c r="R676" s="610"/>
    </row>
    <row r="677">
      <c r="A677" s="635"/>
      <c r="H677" s="610"/>
      <c r="I677" s="610"/>
      <c r="P677" s="610"/>
      <c r="Q677" s="610"/>
      <c r="R677" s="610"/>
    </row>
    <row r="678">
      <c r="A678" s="635"/>
      <c r="H678" s="610"/>
      <c r="I678" s="610"/>
      <c r="P678" s="610"/>
      <c r="Q678" s="610"/>
      <c r="R678" s="610"/>
    </row>
    <row r="679">
      <c r="A679" s="635"/>
      <c r="H679" s="610"/>
      <c r="I679" s="610"/>
      <c r="P679" s="610"/>
      <c r="Q679" s="610"/>
      <c r="R679" s="610"/>
    </row>
    <row r="680">
      <c r="A680" s="635"/>
      <c r="H680" s="610"/>
      <c r="I680" s="610"/>
      <c r="P680" s="610"/>
      <c r="Q680" s="610"/>
      <c r="R680" s="610"/>
    </row>
    <row r="681">
      <c r="A681" s="635"/>
      <c r="H681" s="610"/>
      <c r="I681" s="610"/>
      <c r="P681" s="610"/>
      <c r="Q681" s="610"/>
      <c r="R681" s="610"/>
    </row>
    <row r="682">
      <c r="A682" s="635"/>
      <c r="H682" s="610"/>
      <c r="I682" s="610"/>
      <c r="P682" s="610"/>
      <c r="Q682" s="610"/>
      <c r="R682" s="610"/>
    </row>
    <row r="683">
      <c r="A683" s="635"/>
      <c r="H683" s="610"/>
      <c r="I683" s="610"/>
      <c r="P683" s="610"/>
      <c r="Q683" s="610"/>
      <c r="R683" s="610"/>
    </row>
    <row r="684">
      <c r="A684" s="635"/>
      <c r="H684" s="610"/>
      <c r="I684" s="610"/>
      <c r="P684" s="610"/>
      <c r="Q684" s="610"/>
      <c r="R684" s="610"/>
    </row>
    <row r="685">
      <c r="A685" s="635"/>
      <c r="H685" s="610"/>
      <c r="I685" s="610"/>
      <c r="P685" s="610"/>
      <c r="Q685" s="610"/>
      <c r="R685" s="610"/>
    </row>
    <row r="686">
      <c r="A686" s="635"/>
      <c r="H686" s="610"/>
      <c r="I686" s="610"/>
      <c r="P686" s="610"/>
      <c r="Q686" s="610"/>
      <c r="R686" s="610"/>
    </row>
    <row r="687">
      <c r="A687" s="636"/>
      <c r="H687" s="610"/>
      <c r="I687" s="610"/>
      <c r="P687" s="610"/>
      <c r="Q687" s="610"/>
      <c r="R687" s="610"/>
    </row>
    <row r="688">
      <c r="A688" s="610"/>
      <c r="H688" s="610"/>
      <c r="I688" s="610"/>
      <c r="P688" s="610"/>
      <c r="Q688" s="610"/>
      <c r="R688" s="610"/>
    </row>
    <row r="689">
      <c r="A689" s="636"/>
      <c r="H689" s="610"/>
      <c r="I689" s="610"/>
      <c r="P689" s="610"/>
      <c r="Q689" s="610"/>
      <c r="R689" s="610"/>
    </row>
    <row r="690">
      <c r="A690" s="635"/>
      <c r="H690" s="610"/>
      <c r="I690" s="610"/>
      <c r="P690" s="610"/>
      <c r="Q690" s="610"/>
      <c r="R690" s="610"/>
    </row>
    <row r="691">
      <c r="A691" s="610"/>
      <c r="H691" s="610"/>
      <c r="I691" s="610"/>
      <c r="P691" s="610"/>
      <c r="Q691" s="610"/>
      <c r="R691" s="610"/>
    </row>
    <row r="692">
      <c r="A692" s="636"/>
      <c r="H692" s="610"/>
      <c r="I692" s="610"/>
      <c r="P692" s="610"/>
      <c r="Q692" s="610"/>
      <c r="R692" s="610"/>
    </row>
    <row r="693">
      <c r="A693" s="635"/>
      <c r="H693" s="610"/>
      <c r="I693" s="610"/>
      <c r="P693" s="610"/>
      <c r="Q693" s="610"/>
      <c r="R693" s="610"/>
    </row>
    <row r="694">
      <c r="A694" s="635"/>
      <c r="H694" s="610"/>
      <c r="I694" s="610"/>
      <c r="P694" s="610"/>
      <c r="Q694" s="610"/>
      <c r="R694" s="610"/>
    </row>
    <row r="695">
      <c r="A695" s="635"/>
      <c r="H695" s="610"/>
      <c r="I695" s="610"/>
      <c r="P695" s="610"/>
      <c r="Q695" s="610"/>
      <c r="R695" s="610"/>
    </row>
    <row r="696">
      <c r="A696" s="636"/>
      <c r="H696" s="610"/>
      <c r="I696" s="610"/>
      <c r="P696" s="610"/>
      <c r="Q696" s="610"/>
      <c r="R696" s="610"/>
    </row>
    <row r="697">
      <c r="A697" s="635"/>
      <c r="H697" s="610"/>
      <c r="I697" s="610"/>
      <c r="P697" s="610"/>
      <c r="Q697" s="610"/>
      <c r="R697" s="610"/>
    </row>
    <row r="698">
      <c r="A698" s="635"/>
      <c r="H698" s="610"/>
      <c r="I698" s="610"/>
      <c r="P698" s="610"/>
      <c r="Q698" s="610"/>
      <c r="R698" s="610"/>
    </row>
    <row r="699">
      <c r="A699" s="635"/>
      <c r="H699" s="610"/>
      <c r="I699" s="610"/>
      <c r="P699" s="610"/>
      <c r="Q699" s="610"/>
      <c r="R699" s="610"/>
    </row>
    <row r="700">
      <c r="A700" s="635"/>
      <c r="H700" s="610"/>
      <c r="I700" s="610"/>
      <c r="P700" s="610"/>
      <c r="Q700" s="610"/>
      <c r="R700" s="610"/>
    </row>
    <row r="701">
      <c r="A701" s="635"/>
      <c r="H701" s="610"/>
      <c r="I701" s="610"/>
      <c r="P701" s="610"/>
      <c r="Q701" s="610"/>
      <c r="R701" s="610"/>
    </row>
    <row r="702">
      <c r="A702" s="610"/>
      <c r="H702" s="610"/>
      <c r="I702" s="610"/>
      <c r="P702" s="610"/>
      <c r="Q702" s="610"/>
      <c r="R702" s="610"/>
    </row>
    <row r="703">
      <c r="A703" s="610"/>
      <c r="H703" s="610"/>
      <c r="I703" s="610"/>
      <c r="P703" s="610"/>
      <c r="Q703" s="610"/>
      <c r="R703" s="610"/>
    </row>
    <row r="704">
      <c r="A704" s="610"/>
      <c r="H704" s="610"/>
      <c r="I704" s="610"/>
      <c r="P704" s="610"/>
      <c r="Q704" s="610"/>
      <c r="R704" s="610"/>
    </row>
    <row r="705">
      <c r="A705" s="610"/>
      <c r="H705" s="610"/>
      <c r="I705" s="610"/>
      <c r="P705" s="610"/>
      <c r="Q705" s="610"/>
      <c r="R705" s="610"/>
    </row>
    <row r="706">
      <c r="A706" s="610"/>
      <c r="H706" s="610"/>
      <c r="I706" s="610"/>
      <c r="P706" s="610"/>
      <c r="Q706" s="610"/>
      <c r="R706" s="610"/>
    </row>
    <row r="707">
      <c r="A707" s="610"/>
      <c r="H707" s="610"/>
      <c r="I707" s="610"/>
      <c r="P707" s="610"/>
      <c r="Q707" s="610"/>
      <c r="R707" s="610"/>
    </row>
    <row r="708">
      <c r="A708" s="610"/>
      <c r="H708" s="610"/>
      <c r="I708" s="610"/>
      <c r="P708" s="610"/>
      <c r="Q708" s="610"/>
      <c r="R708" s="610"/>
    </row>
    <row r="709">
      <c r="A709" s="610"/>
      <c r="H709" s="610"/>
      <c r="I709" s="610"/>
      <c r="P709" s="610"/>
      <c r="Q709" s="610"/>
      <c r="R709" s="610"/>
    </row>
    <row r="710">
      <c r="A710" s="610"/>
      <c r="H710" s="610"/>
      <c r="I710" s="610"/>
      <c r="P710" s="610"/>
      <c r="Q710" s="610"/>
      <c r="R710" s="610"/>
    </row>
    <row r="711">
      <c r="A711" s="610"/>
      <c r="H711" s="610"/>
      <c r="I711" s="610"/>
      <c r="P711" s="610"/>
      <c r="Q711" s="610"/>
      <c r="R711" s="610"/>
    </row>
    <row r="712">
      <c r="A712" s="610"/>
      <c r="H712" s="610"/>
      <c r="I712" s="610"/>
      <c r="P712" s="610"/>
      <c r="Q712" s="610"/>
      <c r="R712" s="610"/>
    </row>
    <row r="713">
      <c r="A713" s="610"/>
      <c r="H713" s="610"/>
      <c r="I713" s="610"/>
      <c r="P713" s="610"/>
      <c r="Q713" s="610"/>
      <c r="R713" s="610"/>
    </row>
    <row r="714">
      <c r="A714" s="610"/>
      <c r="H714" s="610"/>
      <c r="I714" s="610"/>
      <c r="P714" s="610"/>
      <c r="Q714" s="610"/>
      <c r="R714" s="610"/>
    </row>
    <row r="715">
      <c r="A715" s="610"/>
      <c r="H715" s="610"/>
      <c r="I715" s="610"/>
      <c r="P715" s="610"/>
      <c r="Q715" s="610"/>
      <c r="R715" s="610"/>
    </row>
    <row r="716">
      <c r="A716" s="610"/>
      <c r="H716" s="610"/>
      <c r="I716" s="610"/>
      <c r="P716" s="610"/>
      <c r="Q716" s="610"/>
      <c r="R716" s="610"/>
    </row>
    <row r="717">
      <c r="A717" s="610"/>
      <c r="H717" s="610"/>
      <c r="I717" s="610"/>
      <c r="P717" s="610"/>
      <c r="Q717" s="610"/>
      <c r="R717" s="610"/>
    </row>
    <row r="718">
      <c r="A718" s="610"/>
      <c r="H718" s="610"/>
      <c r="I718" s="610"/>
      <c r="P718" s="610"/>
      <c r="Q718" s="610"/>
      <c r="R718" s="610"/>
    </row>
    <row r="719">
      <c r="A719" s="610"/>
      <c r="H719" s="610"/>
      <c r="I719" s="610"/>
      <c r="P719" s="610"/>
      <c r="Q719" s="610"/>
      <c r="R719" s="610"/>
    </row>
    <row r="720">
      <c r="A720" s="610"/>
      <c r="H720" s="610"/>
      <c r="I720" s="610"/>
      <c r="P720" s="610"/>
      <c r="Q720" s="610"/>
      <c r="R720" s="610"/>
    </row>
    <row r="721">
      <c r="A721" s="610"/>
      <c r="H721" s="610"/>
      <c r="I721" s="610"/>
      <c r="P721" s="610"/>
      <c r="Q721" s="610"/>
      <c r="R721" s="610"/>
    </row>
    <row r="722">
      <c r="A722" s="610"/>
      <c r="H722" s="610"/>
      <c r="I722" s="610"/>
      <c r="P722" s="610"/>
      <c r="Q722" s="610"/>
      <c r="R722" s="610"/>
    </row>
    <row r="723">
      <c r="A723" s="610"/>
      <c r="H723" s="610"/>
      <c r="I723" s="610"/>
      <c r="P723" s="610"/>
      <c r="Q723" s="610"/>
      <c r="R723" s="610"/>
    </row>
    <row r="724">
      <c r="A724" s="610"/>
      <c r="H724" s="610"/>
      <c r="I724" s="610"/>
      <c r="P724" s="610"/>
      <c r="Q724" s="610"/>
      <c r="R724" s="610"/>
    </row>
    <row r="725">
      <c r="A725" s="610"/>
      <c r="H725" s="610"/>
      <c r="I725" s="610"/>
      <c r="P725" s="610"/>
      <c r="Q725" s="610"/>
      <c r="R725" s="610"/>
    </row>
    <row r="726">
      <c r="A726" s="610"/>
      <c r="H726" s="610"/>
      <c r="I726" s="610"/>
      <c r="P726" s="610"/>
      <c r="Q726" s="610"/>
      <c r="R726" s="610"/>
    </row>
    <row r="727">
      <c r="A727" s="610"/>
      <c r="H727" s="610"/>
      <c r="I727" s="610"/>
      <c r="P727" s="610"/>
      <c r="Q727" s="610"/>
      <c r="R727" s="610"/>
    </row>
    <row r="728">
      <c r="A728" s="610"/>
      <c r="H728" s="610"/>
      <c r="I728" s="610"/>
      <c r="P728" s="610"/>
      <c r="Q728" s="610"/>
      <c r="R728" s="610"/>
    </row>
    <row r="729">
      <c r="A729" s="610"/>
      <c r="H729" s="610"/>
      <c r="I729" s="610"/>
      <c r="P729" s="610"/>
      <c r="Q729" s="610"/>
      <c r="R729" s="610"/>
    </row>
    <row r="730">
      <c r="A730" s="610"/>
      <c r="H730" s="610"/>
      <c r="I730" s="610"/>
      <c r="P730" s="610"/>
      <c r="Q730" s="610"/>
      <c r="R730" s="610"/>
    </row>
    <row r="731">
      <c r="A731" s="610"/>
      <c r="H731" s="610"/>
      <c r="I731" s="610"/>
      <c r="P731" s="610"/>
      <c r="Q731" s="610"/>
      <c r="R731" s="610"/>
    </row>
    <row r="732">
      <c r="A732" s="610"/>
      <c r="H732" s="610"/>
      <c r="I732" s="610"/>
      <c r="P732" s="610"/>
      <c r="Q732" s="610"/>
      <c r="R732" s="610"/>
    </row>
    <row r="733">
      <c r="A733" s="610"/>
      <c r="H733" s="610"/>
      <c r="I733" s="610"/>
      <c r="P733" s="610"/>
      <c r="Q733" s="610"/>
      <c r="R733" s="610"/>
    </row>
    <row r="734">
      <c r="A734" s="610"/>
      <c r="H734" s="610"/>
      <c r="I734" s="610"/>
      <c r="P734" s="610"/>
      <c r="Q734" s="610"/>
      <c r="R734" s="610"/>
    </row>
    <row r="735">
      <c r="A735" s="610"/>
      <c r="H735" s="610"/>
      <c r="I735" s="610"/>
      <c r="P735" s="610"/>
      <c r="Q735" s="610"/>
      <c r="R735" s="610"/>
    </row>
    <row r="736">
      <c r="A736" s="610"/>
      <c r="H736" s="610"/>
      <c r="I736" s="610"/>
      <c r="P736" s="610"/>
      <c r="Q736" s="610"/>
      <c r="R736" s="610"/>
    </row>
    <row r="737">
      <c r="A737" s="610"/>
      <c r="H737" s="610"/>
      <c r="I737" s="610"/>
      <c r="P737" s="610"/>
      <c r="Q737" s="610"/>
      <c r="R737" s="610"/>
    </row>
    <row r="738">
      <c r="A738" s="610"/>
      <c r="H738" s="610"/>
      <c r="I738" s="610"/>
      <c r="P738" s="610"/>
      <c r="Q738" s="610"/>
      <c r="R738" s="610"/>
    </row>
    <row r="739">
      <c r="A739" s="610"/>
      <c r="H739" s="610"/>
      <c r="I739" s="610"/>
      <c r="P739" s="610"/>
      <c r="Q739" s="610"/>
      <c r="R739" s="610"/>
    </row>
    <row r="740">
      <c r="A740" s="610"/>
      <c r="H740" s="610"/>
      <c r="I740" s="610"/>
      <c r="P740" s="610"/>
      <c r="Q740" s="610"/>
      <c r="R740" s="610"/>
    </row>
    <row r="741">
      <c r="A741" s="610"/>
      <c r="H741" s="610"/>
      <c r="I741" s="610"/>
      <c r="P741" s="610"/>
      <c r="Q741" s="610"/>
      <c r="R741" s="610"/>
    </row>
    <row r="742">
      <c r="A742" s="610"/>
      <c r="H742" s="610"/>
      <c r="I742" s="610"/>
      <c r="P742" s="610"/>
      <c r="Q742" s="610"/>
      <c r="R742" s="610"/>
    </row>
    <row r="743">
      <c r="A743" s="610"/>
      <c r="H743" s="610"/>
      <c r="I743" s="610"/>
      <c r="P743" s="610"/>
      <c r="Q743" s="610"/>
      <c r="R743" s="610"/>
    </row>
    <row r="744">
      <c r="A744" s="610"/>
      <c r="H744" s="610"/>
      <c r="I744" s="610"/>
      <c r="P744" s="610"/>
      <c r="Q744" s="610"/>
      <c r="R744" s="610"/>
    </row>
    <row r="745">
      <c r="A745" s="610"/>
      <c r="H745" s="610"/>
      <c r="I745" s="610"/>
      <c r="P745" s="610"/>
      <c r="Q745" s="610"/>
      <c r="R745" s="610"/>
    </row>
    <row r="746">
      <c r="A746" s="610"/>
      <c r="H746" s="610"/>
      <c r="I746" s="610"/>
      <c r="P746" s="610"/>
      <c r="Q746" s="610"/>
      <c r="R746" s="610"/>
    </row>
    <row r="747">
      <c r="A747" s="610"/>
      <c r="H747" s="610"/>
      <c r="I747" s="610"/>
      <c r="P747" s="610"/>
      <c r="Q747" s="610"/>
      <c r="R747" s="610"/>
    </row>
    <row r="748">
      <c r="A748" s="610"/>
      <c r="H748" s="610"/>
      <c r="I748" s="610"/>
      <c r="P748" s="610"/>
      <c r="Q748" s="610"/>
      <c r="R748" s="610"/>
    </row>
    <row r="749">
      <c r="A749" s="610"/>
      <c r="H749" s="610"/>
      <c r="I749" s="610"/>
      <c r="P749" s="610"/>
      <c r="Q749" s="610"/>
      <c r="R749" s="610"/>
    </row>
    <row r="750">
      <c r="A750" s="610"/>
      <c r="H750" s="610"/>
      <c r="I750" s="610"/>
      <c r="P750" s="610"/>
      <c r="Q750" s="610"/>
      <c r="R750" s="610"/>
    </row>
    <row r="751">
      <c r="A751" s="610"/>
      <c r="H751" s="610"/>
      <c r="I751" s="610"/>
      <c r="P751" s="610"/>
      <c r="Q751" s="610"/>
      <c r="R751" s="610"/>
    </row>
    <row r="752">
      <c r="A752" s="610"/>
      <c r="H752" s="610"/>
      <c r="I752" s="610"/>
      <c r="P752" s="610"/>
      <c r="Q752" s="610"/>
      <c r="R752" s="610"/>
    </row>
    <row r="753">
      <c r="A753" s="610"/>
      <c r="H753" s="610"/>
      <c r="I753" s="610"/>
      <c r="P753" s="610"/>
      <c r="Q753" s="610"/>
      <c r="R753" s="610"/>
    </row>
    <row r="754">
      <c r="A754" s="610"/>
      <c r="H754" s="610"/>
      <c r="I754" s="610"/>
      <c r="P754" s="610"/>
      <c r="Q754" s="610"/>
      <c r="R754" s="610"/>
    </row>
    <row r="755">
      <c r="A755" s="610"/>
      <c r="H755" s="610"/>
      <c r="I755" s="610"/>
      <c r="P755" s="610"/>
      <c r="Q755" s="610"/>
      <c r="R755" s="610"/>
    </row>
    <row r="756">
      <c r="A756" s="610"/>
      <c r="H756" s="610"/>
      <c r="I756" s="610"/>
      <c r="P756" s="610"/>
      <c r="Q756" s="610"/>
      <c r="R756" s="610"/>
    </row>
    <row r="757">
      <c r="A757" s="610"/>
      <c r="H757" s="610"/>
      <c r="I757" s="610"/>
      <c r="P757" s="610"/>
      <c r="Q757" s="610"/>
      <c r="R757" s="610"/>
    </row>
    <row r="758">
      <c r="A758" s="610"/>
      <c r="H758" s="610"/>
      <c r="I758" s="610"/>
      <c r="P758" s="610"/>
      <c r="Q758" s="610"/>
      <c r="R758" s="610"/>
    </row>
    <row r="759">
      <c r="A759" s="610"/>
      <c r="H759" s="610"/>
      <c r="I759" s="610"/>
      <c r="P759" s="610"/>
      <c r="Q759" s="610"/>
      <c r="R759" s="610"/>
    </row>
    <row r="760">
      <c r="A760" s="610"/>
      <c r="H760" s="610"/>
      <c r="I760" s="610"/>
      <c r="P760" s="610"/>
      <c r="Q760" s="610"/>
      <c r="R760" s="610"/>
    </row>
    <row r="761">
      <c r="A761" s="610"/>
      <c r="H761" s="610"/>
      <c r="I761" s="610"/>
      <c r="P761" s="610"/>
      <c r="Q761" s="610"/>
      <c r="R761" s="610"/>
    </row>
    <row r="762">
      <c r="A762" s="610"/>
      <c r="H762" s="610"/>
      <c r="I762" s="610"/>
      <c r="P762" s="610"/>
      <c r="Q762" s="610"/>
      <c r="R762" s="610"/>
    </row>
    <row r="763">
      <c r="A763" s="610"/>
      <c r="H763" s="610"/>
      <c r="I763" s="610"/>
      <c r="P763" s="610"/>
      <c r="Q763" s="610"/>
      <c r="R763" s="610"/>
    </row>
    <row r="764">
      <c r="A764" s="610"/>
      <c r="H764" s="610"/>
      <c r="I764" s="610"/>
      <c r="P764" s="610"/>
      <c r="Q764" s="610"/>
      <c r="R764" s="610"/>
    </row>
    <row r="765">
      <c r="A765" s="610"/>
      <c r="H765" s="610"/>
      <c r="I765" s="610"/>
      <c r="P765" s="610"/>
      <c r="Q765" s="610"/>
      <c r="R765" s="610"/>
    </row>
    <row r="766">
      <c r="A766" s="610"/>
      <c r="H766" s="610"/>
      <c r="I766" s="610"/>
      <c r="P766" s="610"/>
      <c r="Q766" s="610"/>
      <c r="R766" s="610"/>
    </row>
    <row r="767">
      <c r="A767" s="610"/>
      <c r="H767" s="610"/>
      <c r="I767" s="610"/>
      <c r="P767" s="610"/>
      <c r="Q767" s="610"/>
      <c r="R767" s="610"/>
    </row>
    <row r="768">
      <c r="A768" s="610"/>
      <c r="H768" s="610"/>
      <c r="I768" s="610"/>
      <c r="P768" s="610"/>
      <c r="Q768" s="610"/>
      <c r="R768" s="610"/>
    </row>
    <row r="769">
      <c r="A769" s="610"/>
      <c r="H769" s="610"/>
      <c r="I769" s="610"/>
      <c r="P769" s="610"/>
      <c r="Q769" s="610"/>
      <c r="R769" s="610"/>
    </row>
    <row r="770">
      <c r="A770" s="610"/>
      <c r="H770" s="610"/>
      <c r="I770" s="610"/>
      <c r="P770" s="610"/>
      <c r="Q770" s="610"/>
      <c r="R770" s="610"/>
    </row>
    <row r="771">
      <c r="A771" s="610"/>
      <c r="H771" s="610"/>
      <c r="I771" s="610"/>
      <c r="P771" s="610"/>
      <c r="Q771" s="610"/>
      <c r="R771" s="610"/>
    </row>
    <row r="772">
      <c r="A772" s="610"/>
      <c r="H772" s="610"/>
      <c r="I772" s="610"/>
      <c r="P772" s="610"/>
      <c r="Q772" s="610"/>
      <c r="R772" s="610"/>
    </row>
    <row r="773">
      <c r="A773" s="610"/>
      <c r="H773" s="610"/>
      <c r="I773" s="610"/>
      <c r="P773" s="610"/>
      <c r="Q773" s="610"/>
      <c r="R773" s="610"/>
    </row>
    <row r="774">
      <c r="A774" s="610"/>
      <c r="H774" s="610"/>
      <c r="I774" s="610"/>
      <c r="P774" s="610"/>
      <c r="Q774" s="610"/>
      <c r="R774" s="610"/>
    </row>
    <row r="775">
      <c r="A775" s="610"/>
      <c r="H775" s="610"/>
      <c r="I775" s="610"/>
      <c r="P775" s="610"/>
      <c r="Q775" s="610"/>
      <c r="R775" s="610"/>
    </row>
    <row r="776">
      <c r="A776" s="610"/>
      <c r="H776" s="610"/>
      <c r="I776" s="610"/>
      <c r="P776" s="610"/>
      <c r="Q776" s="610"/>
      <c r="R776" s="610"/>
    </row>
    <row r="777">
      <c r="A777" s="610"/>
      <c r="H777" s="610"/>
      <c r="I777" s="610"/>
      <c r="P777" s="610"/>
      <c r="Q777" s="610"/>
      <c r="R777" s="610"/>
    </row>
    <row r="778">
      <c r="A778" s="610"/>
      <c r="H778" s="610"/>
      <c r="I778" s="610"/>
      <c r="P778" s="610"/>
      <c r="Q778" s="610"/>
      <c r="R778" s="610"/>
    </row>
    <row r="779">
      <c r="A779" s="610"/>
      <c r="H779" s="610"/>
      <c r="I779" s="610"/>
      <c r="P779" s="610"/>
      <c r="Q779" s="610"/>
      <c r="R779" s="610"/>
    </row>
    <row r="780">
      <c r="A780" s="610"/>
      <c r="H780" s="610"/>
      <c r="I780" s="610"/>
      <c r="P780" s="610"/>
      <c r="Q780" s="610"/>
      <c r="R780" s="610"/>
    </row>
    <row r="781">
      <c r="A781" s="610"/>
      <c r="H781" s="610"/>
      <c r="I781" s="610"/>
      <c r="P781" s="610"/>
      <c r="Q781" s="610"/>
      <c r="R781" s="610"/>
    </row>
    <row r="782">
      <c r="A782" s="610"/>
      <c r="H782" s="610"/>
      <c r="I782" s="610"/>
      <c r="P782" s="610"/>
      <c r="Q782" s="610"/>
      <c r="R782" s="610"/>
    </row>
    <row r="783">
      <c r="A783" s="610"/>
      <c r="H783" s="610"/>
      <c r="I783" s="610"/>
      <c r="P783" s="610"/>
      <c r="Q783" s="610"/>
      <c r="R783" s="610"/>
    </row>
    <row r="784">
      <c r="A784" s="610"/>
      <c r="H784" s="610"/>
      <c r="I784" s="610"/>
      <c r="P784" s="610"/>
      <c r="Q784" s="610"/>
      <c r="R784" s="610"/>
    </row>
    <row r="785">
      <c r="A785" s="610"/>
      <c r="H785" s="610"/>
      <c r="I785" s="610"/>
      <c r="P785" s="610"/>
      <c r="Q785" s="610"/>
      <c r="R785" s="610"/>
    </row>
    <row r="786">
      <c r="A786" s="610"/>
      <c r="H786" s="610"/>
      <c r="I786" s="610"/>
      <c r="P786" s="610"/>
      <c r="Q786" s="610"/>
      <c r="R786" s="610"/>
    </row>
    <row r="787">
      <c r="A787" s="610"/>
      <c r="H787" s="610"/>
      <c r="I787" s="610"/>
      <c r="P787" s="610"/>
      <c r="Q787" s="610"/>
      <c r="R787" s="610"/>
    </row>
    <row r="788">
      <c r="A788" s="610"/>
      <c r="H788" s="610"/>
      <c r="I788" s="610"/>
      <c r="P788" s="610"/>
      <c r="Q788" s="610"/>
      <c r="R788" s="610"/>
    </row>
    <row r="789">
      <c r="A789" s="610"/>
      <c r="H789" s="610"/>
      <c r="I789" s="610"/>
      <c r="P789" s="610"/>
      <c r="Q789" s="610"/>
      <c r="R789" s="610"/>
    </row>
    <row r="790">
      <c r="A790" s="610"/>
      <c r="H790" s="610"/>
      <c r="I790" s="610"/>
      <c r="P790" s="610"/>
      <c r="Q790" s="610"/>
      <c r="R790" s="610"/>
    </row>
    <row r="791">
      <c r="A791" s="610"/>
      <c r="H791" s="610"/>
      <c r="I791" s="610"/>
      <c r="P791" s="610"/>
      <c r="Q791" s="610"/>
      <c r="R791" s="610"/>
    </row>
    <row r="792">
      <c r="A792" s="610"/>
      <c r="H792" s="610"/>
      <c r="I792" s="610"/>
      <c r="P792" s="610"/>
      <c r="Q792" s="610"/>
      <c r="R792" s="610"/>
    </row>
    <row r="793">
      <c r="A793" s="610"/>
      <c r="H793" s="610"/>
      <c r="I793" s="610"/>
      <c r="P793" s="610"/>
      <c r="Q793" s="610"/>
      <c r="R793" s="610"/>
    </row>
    <row r="794">
      <c r="A794" s="610"/>
      <c r="H794" s="610"/>
      <c r="I794" s="610"/>
      <c r="P794" s="610"/>
      <c r="Q794" s="610"/>
      <c r="R794" s="610"/>
    </row>
    <row r="795">
      <c r="A795" s="610"/>
      <c r="H795" s="610"/>
      <c r="I795" s="610"/>
      <c r="P795" s="610"/>
      <c r="Q795" s="610"/>
      <c r="R795" s="610"/>
    </row>
    <row r="796">
      <c r="A796" s="610"/>
      <c r="H796" s="610"/>
      <c r="I796" s="610"/>
      <c r="P796" s="610"/>
      <c r="Q796" s="610"/>
      <c r="R796" s="610"/>
    </row>
    <row r="797">
      <c r="A797" s="610"/>
      <c r="H797" s="610"/>
      <c r="I797" s="610"/>
      <c r="P797" s="610"/>
      <c r="Q797" s="610"/>
      <c r="R797" s="610"/>
    </row>
    <row r="798">
      <c r="A798" s="610"/>
      <c r="H798" s="610"/>
      <c r="I798" s="610"/>
      <c r="P798" s="610"/>
      <c r="Q798" s="610"/>
      <c r="R798" s="610"/>
    </row>
    <row r="799">
      <c r="A799" s="610"/>
      <c r="H799" s="610"/>
      <c r="I799" s="610"/>
      <c r="P799" s="610"/>
      <c r="Q799" s="610"/>
      <c r="R799" s="610"/>
    </row>
    <row r="800">
      <c r="A800" s="610"/>
      <c r="H800" s="610"/>
      <c r="I800" s="610"/>
      <c r="P800" s="610"/>
      <c r="Q800" s="610"/>
      <c r="R800" s="610"/>
    </row>
    <row r="801">
      <c r="A801" s="610"/>
      <c r="H801" s="610"/>
      <c r="I801" s="610"/>
      <c r="P801" s="610"/>
      <c r="Q801" s="610"/>
      <c r="R801" s="610"/>
    </row>
    <row r="802">
      <c r="A802" s="610"/>
      <c r="H802" s="610"/>
      <c r="I802" s="610"/>
      <c r="P802" s="610"/>
      <c r="Q802" s="610"/>
      <c r="R802" s="610"/>
    </row>
    <row r="803">
      <c r="A803" s="610"/>
      <c r="H803" s="610"/>
      <c r="I803" s="610"/>
      <c r="P803" s="610"/>
      <c r="Q803" s="610"/>
      <c r="R803" s="610"/>
    </row>
    <row r="804">
      <c r="A804" s="610"/>
      <c r="H804" s="610"/>
      <c r="I804" s="610"/>
      <c r="P804" s="610"/>
      <c r="Q804" s="610"/>
      <c r="R804" s="610"/>
    </row>
    <row r="805">
      <c r="A805" s="610"/>
      <c r="H805" s="610"/>
      <c r="I805" s="610"/>
      <c r="P805" s="610"/>
      <c r="Q805" s="610"/>
      <c r="R805" s="610"/>
    </row>
    <row r="806">
      <c r="A806" s="610"/>
      <c r="H806" s="610"/>
      <c r="I806" s="610"/>
      <c r="P806" s="610"/>
      <c r="Q806" s="610"/>
      <c r="R806" s="610"/>
    </row>
    <row r="807">
      <c r="A807" s="610"/>
      <c r="H807" s="610"/>
      <c r="I807" s="610"/>
      <c r="P807" s="610"/>
      <c r="Q807" s="610"/>
      <c r="R807" s="610"/>
    </row>
    <row r="808">
      <c r="A808" s="610"/>
      <c r="H808" s="610"/>
      <c r="I808" s="610"/>
      <c r="P808" s="610"/>
      <c r="Q808" s="610"/>
      <c r="R808" s="610"/>
    </row>
    <row r="809">
      <c r="A809" s="610"/>
      <c r="H809" s="610"/>
      <c r="I809" s="610"/>
      <c r="P809" s="610"/>
      <c r="Q809" s="610"/>
      <c r="R809" s="610"/>
    </row>
    <row r="810">
      <c r="A810" s="610"/>
      <c r="H810" s="610"/>
      <c r="I810" s="610"/>
      <c r="P810" s="610"/>
      <c r="Q810" s="610"/>
      <c r="R810" s="610"/>
    </row>
    <row r="811">
      <c r="A811" s="610"/>
      <c r="H811" s="610"/>
      <c r="I811" s="610"/>
      <c r="P811" s="610"/>
      <c r="Q811" s="610"/>
      <c r="R811" s="610"/>
    </row>
    <row r="812">
      <c r="A812" s="610"/>
      <c r="H812" s="610"/>
      <c r="I812" s="610"/>
      <c r="P812" s="610"/>
      <c r="Q812" s="610"/>
      <c r="R812" s="610"/>
    </row>
    <row r="813">
      <c r="A813" s="610"/>
      <c r="H813" s="610"/>
      <c r="I813" s="610"/>
      <c r="P813" s="610"/>
      <c r="Q813" s="610"/>
      <c r="R813" s="610"/>
    </row>
    <row r="814">
      <c r="A814" s="610"/>
      <c r="H814" s="610"/>
      <c r="I814" s="610"/>
      <c r="P814" s="610"/>
      <c r="Q814" s="610"/>
      <c r="R814" s="610"/>
    </row>
    <row r="815">
      <c r="A815" s="610"/>
      <c r="H815" s="610"/>
      <c r="I815" s="610"/>
      <c r="P815" s="610"/>
      <c r="Q815" s="610"/>
      <c r="R815" s="610"/>
    </row>
    <row r="816">
      <c r="A816" s="610"/>
      <c r="H816" s="610"/>
      <c r="I816" s="610"/>
      <c r="P816" s="610"/>
      <c r="Q816" s="610"/>
      <c r="R816" s="610"/>
    </row>
    <row r="817">
      <c r="A817" s="610"/>
      <c r="H817" s="610"/>
      <c r="I817" s="610"/>
      <c r="P817" s="610"/>
      <c r="Q817" s="610"/>
      <c r="R817" s="610"/>
    </row>
    <row r="818">
      <c r="A818" s="610"/>
      <c r="H818" s="610"/>
      <c r="I818" s="610"/>
      <c r="P818" s="610"/>
      <c r="Q818" s="610"/>
      <c r="R818" s="610"/>
    </row>
    <row r="819">
      <c r="A819" s="610"/>
      <c r="H819" s="610"/>
      <c r="I819" s="610"/>
      <c r="P819" s="610"/>
      <c r="Q819" s="610"/>
      <c r="R819" s="610"/>
    </row>
    <row r="820">
      <c r="A820" s="610"/>
      <c r="H820" s="610"/>
      <c r="I820" s="610"/>
      <c r="P820" s="610"/>
      <c r="Q820" s="610"/>
      <c r="R820" s="610"/>
    </row>
    <row r="821">
      <c r="A821" s="610"/>
      <c r="H821" s="610"/>
      <c r="I821" s="610"/>
      <c r="P821" s="610"/>
      <c r="Q821" s="610"/>
      <c r="R821" s="610"/>
    </row>
    <row r="822">
      <c r="A822" s="610"/>
      <c r="H822" s="610"/>
      <c r="I822" s="610"/>
      <c r="P822" s="610"/>
      <c r="Q822" s="610"/>
      <c r="R822" s="610"/>
    </row>
    <row r="823">
      <c r="A823" s="610"/>
      <c r="H823" s="610"/>
      <c r="I823" s="610"/>
      <c r="P823" s="610"/>
      <c r="Q823" s="610"/>
      <c r="R823" s="610"/>
    </row>
    <row r="824">
      <c r="A824" s="610"/>
      <c r="H824" s="610"/>
      <c r="I824" s="610"/>
      <c r="P824" s="610"/>
      <c r="Q824" s="610"/>
      <c r="R824" s="610"/>
    </row>
    <row r="825">
      <c r="A825" s="610"/>
      <c r="H825" s="610"/>
      <c r="I825" s="610"/>
      <c r="P825" s="610"/>
      <c r="Q825" s="610"/>
      <c r="R825" s="610"/>
    </row>
    <row r="826">
      <c r="A826" s="610"/>
      <c r="H826" s="610"/>
      <c r="I826" s="610"/>
      <c r="P826" s="610"/>
      <c r="Q826" s="610"/>
      <c r="R826" s="610"/>
    </row>
    <row r="827">
      <c r="A827" s="610"/>
      <c r="H827" s="610"/>
      <c r="I827" s="610"/>
      <c r="P827" s="610"/>
      <c r="Q827" s="610"/>
      <c r="R827" s="610"/>
    </row>
    <row r="828">
      <c r="A828" s="610"/>
      <c r="H828" s="610"/>
      <c r="I828" s="610"/>
      <c r="P828" s="610"/>
      <c r="Q828" s="610"/>
      <c r="R828" s="610"/>
    </row>
    <row r="829">
      <c r="A829" s="610"/>
      <c r="H829" s="610"/>
      <c r="I829" s="610"/>
      <c r="P829" s="610"/>
      <c r="Q829" s="610"/>
      <c r="R829" s="610"/>
    </row>
    <row r="830">
      <c r="A830" s="610"/>
      <c r="H830" s="610"/>
      <c r="I830" s="610"/>
      <c r="P830" s="610"/>
      <c r="Q830" s="610"/>
      <c r="R830" s="610"/>
    </row>
    <row r="831">
      <c r="A831" s="610"/>
      <c r="H831" s="610"/>
      <c r="I831" s="610"/>
      <c r="P831" s="610"/>
      <c r="Q831" s="610"/>
      <c r="R831" s="610"/>
    </row>
    <row r="832">
      <c r="A832" s="610"/>
      <c r="H832" s="610"/>
      <c r="I832" s="610"/>
      <c r="P832" s="610"/>
      <c r="Q832" s="610"/>
      <c r="R832" s="610"/>
    </row>
    <row r="833">
      <c r="A833" s="610"/>
      <c r="H833" s="610"/>
      <c r="I833" s="610"/>
      <c r="P833" s="610"/>
      <c r="Q833" s="610"/>
      <c r="R833" s="610"/>
    </row>
    <row r="834">
      <c r="A834" s="610"/>
      <c r="H834" s="610"/>
      <c r="I834" s="610"/>
      <c r="P834" s="610"/>
      <c r="Q834" s="610"/>
      <c r="R834" s="610"/>
    </row>
    <row r="835">
      <c r="A835" s="610"/>
      <c r="H835" s="610"/>
      <c r="I835" s="610"/>
      <c r="P835" s="610"/>
      <c r="Q835" s="610"/>
      <c r="R835" s="610"/>
    </row>
    <row r="836">
      <c r="A836" s="610"/>
      <c r="H836" s="610"/>
      <c r="I836" s="610"/>
      <c r="P836" s="610"/>
      <c r="Q836" s="610"/>
      <c r="R836" s="610"/>
    </row>
    <row r="837">
      <c r="A837" s="610"/>
      <c r="H837" s="610"/>
      <c r="I837" s="610"/>
      <c r="P837" s="610"/>
      <c r="Q837" s="610"/>
      <c r="R837" s="610"/>
    </row>
    <row r="838">
      <c r="A838" s="610"/>
      <c r="H838" s="610"/>
      <c r="I838" s="610"/>
      <c r="P838" s="610"/>
      <c r="Q838" s="610"/>
      <c r="R838" s="610"/>
    </row>
    <row r="839">
      <c r="A839" s="610"/>
      <c r="H839" s="610"/>
      <c r="I839" s="610"/>
      <c r="P839" s="610"/>
      <c r="Q839" s="610"/>
      <c r="R839" s="610"/>
    </row>
    <row r="840">
      <c r="A840" s="610"/>
      <c r="H840" s="610"/>
      <c r="I840" s="610"/>
      <c r="P840" s="610"/>
      <c r="Q840" s="610"/>
      <c r="R840" s="610"/>
    </row>
    <row r="841">
      <c r="A841" s="610"/>
      <c r="H841" s="610"/>
      <c r="I841" s="610"/>
      <c r="P841" s="610"/>
      <c r="Q841" s="610"/>
      <c r="R841" s="610"/>
    </row>
    <row r="842">
      <c r="A842" s="610"/>
      <c r="H842" s="610"/>
      <c r="I842" s="610"/>
      <c r="P842" s="610"/>
      <c r="Q842" s="610"/>
      <c r="R842" s="610"/>
    </row>
    <row r="843">
      <c r="A843" s="610"/>
      <c r="H843" s="610"/>
      <c r="I843" s="610"/>
      <c r="P843" s="610"/>
      <c r="Q843" s="610"/>
      <c r="R843" s="610"/>
    </row>
    <row r="844">
      <c r="A844" s="610"/>
      <c r="H844" s="610"/>
      <c r="I844" s="610"/>
      <c r="P844" s="610"/>
      <c r="Q844" s="610"/>
      <c r="R844" s="610"/>
    </row>
    <row r="845">
      <c r="A845" s="610"/>
      <c r="H845" s="610"/>
      <c r="I845" s="610"/>
      <c r="P845" s="610"/>
      <c r="Q845" s="610"/>
      <c r="R845" s="610"/>
    </row>
    <row r="846">
      <c r="A846" s="610"/>
      <c r="H846" s="610"/>
      <c r="I846" s="610"/>
      <c r="P846" s="610"/>
      <c r="Q846" s="610"/>
      <c r="R846" s="610"/>
    </row>
    <row r="847">
      <c r="A847" s="610"/>
      <c r="H847" s="610"/>
      <c r="I847" s="610"/>
      <c r="P847" s="610"/>
      <c r="Q847" s="610"/>
      <c r="R847" s="610"/>
    </row>
    <row r="848">
      <c r="A848" s="610"/>
      <c r="H848" s="610"/>
      <c r="I848" s="610"/>
      <c r="P848" s="610"/>
      <c r="Q848" s="610"/>
      <c r="R848" s="610"/>
    </row>
    <row r="849">
      <c r="A849" s="610"/>
      <c r="H849" s="610"/>
      <c r="I849" s="610"/>
      <c r="P849" s="610"/>
      <c r="Q849" s="610"/>
      <c r="R849" s="610"/>
    </row>
    <row r="850">
      <c r="A850" s="610"/>
      <c r="H850" s="610"/>
      <c r="I850" s="610"/>
      <c r="P850" s="610"/>
      <c r="Q850" s="610"/>
      <c r="R850" s="610"/>
    </row>
    <row r="851">
      <c r="A851" s="610"/>
      <c r="H851" s="610"/>
      <c r="I851" s="610"/>
      <c r="P851" s="610"/>
      <c r="Q851" s="610"/>
      <c r="R851" s="610"/>
    </row>
    <row r="852">
      <c r="A852" s="610"/>
      <c r="H852" s="610"/>
      <c r="I852" s="610"/>
      <c r="P852" s="610"/>
      <c r="Q852" s="610"/>
      <c r="R852" s="610"/>
    </row>
    <row r="853">
      <c r="A853" s="610"/>
      <c r="H853" s="610"/>
      <c r="I853" s="610"/>
      <c r="P853" s="610"/>
      <c r="Q853" s="610"/>
      <c r="R853" s="610"/>
    </row>
    <row r="854">
      <c r="A854" s="610"/>
      <c r="H854" s="610"/>
      <c r="I854" s="610"/>
      <c r="P854" s="610"/>
      <c r="Q854" s="610"/>
      <c r="R854" s="610"/>
    </row>
    <row r="855">
      <c r="A855" s="610"/>
      <c r="H855" s="610"/>
      <c r="I855" s="610"/>
      <c r="P855" s="610"/>
      <c r="Q855" s="610"/>
      <c r="R855" s="610"/>
    </row>
    <row r="856">
      <c r="A856" s="610"/>
      <c r="H856" s="610"/>
      <c r="I856" s="610"/>
      <c r="P856" s="610"/>
      <c r="Q856" s="610"/>
      <c r="R856" s="610"/>
    </row>
    <row r="857">
      <c r="A857" s="610"/>
      <c r="H857" s="610"/>
      <c r="I857" s="610"/>
      <c r="P857" s="610"/>
      <c r="Q857" s="610"/>
      <c r="R857" s="610"/>
    </row>
    <row r="858">
      <c r="A858" s="610"/>
      <c r="H858" s="610"/>
      <c r="I858" s="610"/>
      <c r="P858" s="610"/>
      <c r="Q858" s="610"/>
      <c r="R858" s="610"/>
    </row>
    <row r="859">
      <c r="A859" s="610"/>
      <c r="H859" s="610"/>
      <c r="I859" s="610"/>
      <c r="P859" s="610"/>
      <c r="Q859" s="610"/>
      <c r="R859" s="610"/>
    </row>
    <row r="860">
      <c r="A860" s="610"/>
      <c r="H860" s="610"/>
      <c r="I860" s="610"/>
      <c r="P860" s="610"/>
      <c r="Q860" s="610"/>
      <c r="R860" s="610"/>
    </row>
    <row r="861">
      <c r="A861" s="610"/>
      <c r="H861" s="610"/>
      <c r="I861" s="610"/>
      <c r="P861" s="610"/>
      <c r="Q861" s="610"/>
      <c r="R861" s="610"/>
    </row>
    <row r="862">
      <c r="A862" s="610"/>
      <c r="H862" s="610"/>
      <c r="I862" s="610"/>
      <c r="P862" s="610"/>
      <c r="Q862" s="610"/>
      <c r="R862" s="610"/>
    </row>
    <row r="863">
      <c r="A863" s="610"/>
      <c r="H863" s="610"/>
      <c r="I863" s="610"/>
      <c r="P863" s="610"/>
      <c r="Q863" s="610"/>
      <c r="R863" s="610"/>
    </row>
    <row r="864">
      <c r="A864" s="610"/>
      <c r="H864" s="610"/>
      <c r="I864" s="610"/>
      <c r="P864" s="610"/>
      <c r="Q864" s="610"/>
      <c r="R864" s="610"/>
    </row>
    <row r="865">
      <c r="A865" s="610"/>
      <c r="H865" s="610"/>
      <c r="I865" s="610"/>
      <c r="P865" s="610"/>
      <c r="Q865" s="610"/>
      <c r="R865" s="610"/>
    </row>
    <row r="866">
      <c r="A866" s="610"/>
      <c r="H866" s="610"/>
      <c r="I866" s="610"/>
      <c r="P866" s="610"/>
      <c r="Q866" s="610"/>
      <c r="R866" s="610"/>
    </row>
    <row r="867">
      <c r="A867" s="610"/>
      <c r="H867" s="610"/>
      <c r="I867" s="610"/>
      <c r="P867" s="610"/>
      <c r="Q867" s="610"/>
      <c r="R867" s="610"/>
    </row>
    <row r="868">
      <c r="A868" s="610"/>
      <c r="H868" s="610"/>
      <c r="I868" s="610"/>
      <c r="P868" s="610"/>
      <c r="Q868" s="610"/>
      <c r="R868" s="610"/>
    </row>
    <row r="869">
      <c r="A869" s="610"/>
      <c r="H869" s="610"/>
      <c r="I869" s="610"/>
      <c r="P869" s="610"/>
      <c r="Q869" s="610"/>
      <c r="R869" s="610"/>
    </row>
    <row r="870">
      <c r="A870" s="610"/>
      <c r="H870" s="610"/>
      <c r="I870" s="610"/>
      <c r="P870" s="610"/>
      <c r="Q870" s="610"/>
      <c r="R870" s="610"/>
    </row>
    <row r="871">
      <c r="A871" s="610"/>
      <c r="H871" s="610"/>
      <c r="I871" s="610"/>
      <c r="P871" s="610"/>
      <c r="Q871" s="610"/>
      <c r="R871" s="610"/>
    </row>
    <row r="872">
      <c r="A872" s="610"/>
      <c r="H872" s="610"/>
      <c r="I872" s="610"/>
      <c r="P872" s="610"/>
      <c r="Q872" s="610"/>
      <c r="R872" s="610"/>
    </row>
    <row r="873">
      <c r="A873" s="610"/>
      <c r="H873" s="610"/>
      <c r="I873" s="610"/>
      <c r="P873" s="610"/>
      <c r="Q873" s="610"/>
      <c r="R873" s="610"/>
    </row>
    <row r="874">
      <c r="A874" s="610"/>
      <c r="H874" s="610"/>
      <c r="I874" s="610"/>
      <c r="P874" s="610"/>
      <c r="Q874" s="610"/>
      <c r="R874" s="610"/>
    </row>
    <row r="875">
      <c r="A875" s="610"/>
      <c r="H875" s="610"/>
      <c r="I875" s="610"/>
      <c r="P875" s="610"/>
      <c r="Q875" s="610"/>
      <c r="R875" s="610"/>
    </row>
    <row r="876">
      <c r="A876" s="610"/>
      <c r="H876" s="610"/>
      <c r="I876" s="610"/>
      <c r="P876" s="610"/>
      <c r="Q876" s="610"/>
      <c r="R876" s="610"/>
    </row>
    <row r="877">
      <c r="A877" s="610"/>
      <c r="H877" s="610"/>
      <c r="I877" s="610"/>
      <c r="P877" s="610"/>
      <c r="Q877" s="610"/>
      <c r="R877" s="610"/>
    </row>
    <row r="878">
      <c r="A878" s="610"/>
      <c r="H878" s="610"/>
      <c r="I878" s="610"/>
      <c r="P878" s="610"/>
      <c r="Q878" s="610"/>
      <c r="R878" s="610"/>
    </row>
    <row r="879">
      <c r="A879" s="610"/>
      <c r="H879" s="610"/>
      <c r="I879" s="610"/>
      <c r="P879" s="610"/>
      <c r="Q879" s="610"/>
      <c r="R879" s="610"/>
    </row>
    <row r="880">
      <c r="A880" s="610"/>
      <c r="H880" s="610"/>
      <c r="I880" s="610"/>
      <c r="P880" s="610"/>
      <c r="Q880" s="610"/>
      <c r="R880" s="610"/>
    </row>
    <row r="881">
      <c r="A881" s="610"/>
      <c r="H881" s="610"/>
      <c r="I881" s="610"/>
      <c r="P881" s="610"/>
      <c r="Q881" s="610"/>
      <c r="R881" s="610"/>
    </row>
    <row r="882">
      <c r="A882" s="610"/>
      <c r="H882" s="610"/>
      <c r="I882" s="610"/>
      <c r="P882" s="610"/>
      <c r="Q882" s="610"/>
      <c r="R882" s="610"/>
    </row>
    <row r="883">
      <c r="A883" s="610"/>
      <c r="H883" s="610"/>
      <c r="I883" s="610"/>
      <c r="P883" s="610"/>
      <c r="Q883" s="610"/>
      <c r="R883" s="610"/>
    </row>
    <row r="884">
      <c r="A884" s="610"/>
      <c r="H884" s="610"/>
      <c r="I884" s="610"/>
      <c r="P884" s="610"/>
      <c r="Q884" s="610"/>
      <c r="R884" s="610"/>
    </row>
    <row r="885">
      <c r="A885" s="610"/>
      <c r="H885" s="610"/>
      <c r="I885" s="610"/>
      <c r="P885" s="610"/>
      <c r="Q885" s="610"/>
      <c r="R885" s="610"/>
    </row>
    <row r="886">
      <c r="A886" s="610"/>
      <c r="H886" s="610"/>
      <c r="I886" s="610"/>
      <c r="P886" s="610"/>
      <c r="Q886" s="610"/>
      <c r="R886" s="610"/>
    </row>
    <row r="887">
      <c r="A887" s="610"/>
      <c r="H887" s="610"/>
      <c r="I887" s="610"/>
      <c r="P887" s="610"/>
      <c r="Q887" s="610"/>
      <c r="R887" s="610"/>
    </row>
    <row r="888">
      <c r="A888" s="610"/>
      <c r="H888" s="610"/>
      <c r="I888" s="610"/>
      <c r="P888" s="610"/>
      <c r="Q888" s="610"/>
      <c r="R888" s="610"/>
    </row>
    <row r="889">
      <c r="A889" s="610"/>
      <c r="H889" s="610"/>
      <c r="I889" s="610"/>
      <c r="P889" s="610"/>
      <c r="Q889" s="610"/>
      <c r="R889" s="610"/>
    </row>
    <row r="890">
      <c r="A890" s="610"/>
      <c r="H890" s="610"/>
      <c r="I890" s="610"/>
      <c r="P890" s="610"/>
      <c r="Q890" s="610"/>
      <c r="R890" s="610"/>
    </row>
    <row r="891">
      <c r="A891" s="610"/>
      <c r="H891" s="610"/>
      <c r="I891" s="610"/>
      <c r="P891" s="610"/>
      <c r="Q891" s="610"/>
      <c r="R891" s="610"/>
    </row>
    <row r="892">
      <c r="A892" s="610"/>
      <c r="H892" s="610"/>
      <c r="I892" s="610"/>
      <c r="P892" s="610"/>
      <c r="Q892" s="610"/>
      <c r="R892" s="610"/>
    </row>
    <row r="893">
      <c r="A893" s="610"/>
      <c r="H893" s="610"/>
      <c r="I893" s="610"/>
      <c r="P893" s="610"/>
      <c r="Q893" s="610"/>
      <c r="R893" s="610"/>
    </row>
    <row r="894">
      <c r="A894" s="610"/>
      <c r="H894" s="610"/>
      <c r="I894" s="610"/>
      <c r="P894" s="610"/>
      <c r="Q894" s="610"/>
      <c r="R894" s="610"/>
    </row>
    <row r="895">
      <c r="A895" s="610"/>
      <c r="H895" s="610"/>
      <c r="I895" s="610"/>
      <c r="P895" s="610"/>
      <c r="Q895" s="610"/>
      <c r="R895" s="610"/>
    </row>
    <row r="896">
      <c r="A896" s="610"/>
      <c r="H896" s="610"/>
      <c r="I896" s="610"/>
      <c r="P896" s="610"/>
      <c r="Q896" s="610"/>
      <c r="R896" s="610"/>
    </row>
    <row r="897">
      <c r="A897" s="610"/>
      <c r="H897" s="610"/>
      <c r="I897" s="610"/>
      <c r="P897" s="610"/>
      <c r="Q897" s="610"/>
      <c r="R897" s="610"/>
    </row>
    <row r="898">
      <c r="A898" s="610"/>
      <c r="H898" s="610"/>
      <c r="I898" s="610"/>
      <c r="P898" s="610"/>
      <c r="Q898" s="610"/>
      <c r="R898" s="610"/>
    </row>
    <row r="899">
      <c r="A899" s="610"/>
      <c r="H899" s="610"/>
      <c r="I899" s="610"/>
      <c r="P899" s="610"/>
      <c r="Q899" s="610"/>
      <c r="R899" s="610"/>
    </row>
    <row r="900">
      <c r="A900" s="610"/>
      <c r="H900" s="610"/>
      <c r="I900" s="610"/>
      <c r="P900" s="610"/>
      <c r="Q900" s="610"/>
      <c r="R900" s="610"/>
    </row>
    <row r="901">
      <c r="A901" s="610"/>
      <c r="H901" s="610"/>
      <c r="I901" s="610"/>
      <c r="P901" s="610"/>
      <c r="Q901" s="610"/>
      <c r="R901" s="610"/>
    </row>
    <row r="902">
      <c r="A902" s="610"/>
      <c r="H902" s="610"/>
      <c r="I902" s="610"/>
      <c r="P902" s="610"/>
      <c r="Q902" s="610"/>
      <c r="R902" s="610"/>
    </row>
    <row r="903">
      <c r="A903" s="610"/>
      <c r="H903" s="610"/>
      <c r="I903" s="610"/>
      <c r="P903" s="610"/>
      <c r="Q903" s="610"/>
      <c r="R903" s="610"/>
    </row>
    <row r="904">
      <c r="A904" s="610"/>
      <c r="H904" s="610"/>
      <c r="I904" s="610"/>
      <c r="P904" s="610"/>
      <c r="Q904" s="610"/>
      <c r="R904" s="610"/>
    </row>
    <row r="905">
      <c r="A905" s="610"/>
      <c r="H905" s="610"/>
      <c r="I905" s="610"/>
      <c r="P905" s="610"/>
      <c r="Q905" s="610"/>
      <c r="R905" s="610"/>
    </row>
    <row r="906">
      <c r="A906" s="610"/>
      <c r="H906" s="610"/>
      <c r="I906" s="610"/>
      <c r="P906" s="610"/>
      <c r="Q906" s="610"/>
      <c r="R906" s="610"/>
    </row>
    <row r="907">
      <c r="A907" s="610"/>
      <c r="H907" s="610"/>
      <c r="I907" s="610"/>
      <c r="P907" s="610"/>
      <c r="Q907" s="610"/>
      <c r="R907" s="610"/>
    </row>
    <row r="908">
      <c r="A908" s="610"/>
      <c r="H908" s="610"/>
      <c r="I908" s="610"/>
      <c r="P908" s="610"/>
      <c r="Q908" s="610"/>
      <c r="R908" s="610"/>
    </row>
    <row r="909">
      <c r="A909" s="610"/>
      <c r="H909" s="610"/>
      <c r="I909" s="610"/>
      <c r="P909" s="610"/>
      <c r="Q909" s="610"/>
      <c r="R909" s="610"/>
    </row>
    <row r="910">
      <c r="A910" s="610"/>
      <c r="H910" s="610"/>
      <c r="I910" s="610"/>
      <c r="P910" s="610"/>
      <c r="Q910" s="610"/>
      <c r="R910" s="610"/>
    </row>
    <row r="911">
      <c r="A911" s="610"/>
      <c r="H911" s="610"/>
      <c r="I911" s="610"/>
      <c r="P911" s="610"/>
      <c r="Q911" s="610"/>
      <c r="R911" s="610"/>
    </row>
    <row r="912">
      <c r="A912" s="610"/>
      <c r="H912" s="610"/>
      <c r="I912" s="610"/>
      <c r="P912" s="610"/>
      <c r="Q912" s="610"/>
      <c r="R912" s="610"/>
    </row>
    <row r="913">
      <c r="A913" s="610"/>
      <c r="H913" s="610"/>
      <c r="I913" s="610"/>
      <c r="P913" s="610"/>
      <c r="Q913" s="610"/>
      <c r="R913" s="610"/>
    </row>
    <row r="914">
      <c r="A914" s="610"/>
      <c r="H914" s="610"/>
      <c r="I914" s="610"/>
      <c r="P914" s="610"/>
      <c r="Q914" s="610"/>
      <c r="R914" s="610"/>
    </row>
    <row r="915">
      <c r="A915" s="610"/>
      <c r="H915" s="610"/>
      <c r="I915" s="610"/>
      <c r="P915" s="610"/>
      <c r="Q915" s="610"/>
      <c r="R915" s="610"/>
    </row>
    <row r="916">
      <c r="A916" s="610"/>
      <c r="H916" s="610"/>
      <c r="I916" s="610"/>
      <c r="P916" s="610"/>
      <c r="Q916" s="610"/>
      <c r="R916" s="610"/>
    </row>
    <row r="917">
      <c r="A917" s="610"/>
      <c r="H917" s="610"/>
      <c r="I917" s="610"/>
      <c r="P917" s="610"/>
      <c r="Q917" s="610"/>
      <c r="R917" s="610"/>
    </row>
    <row r="918">
      <c r="A918" s="610"/>
      <c r="H918" s="610"/>
      <c r="I918" s="610"/>
      <c r="P918" s="610"/>
      <c r="Q918" s="610"/>
      <c r="R918" s="610"/>
    </row>
    <row r="919">
      <c r="A919" s="610"/>
      <c r="H919" s="610"/>
      <c r="I919" s="610"/>
      <c r="P919" s="610"/>
      <c r="Q919" s="610"/>
      <c r="R919" s="610"/>
    </row>
    <row r="920">
      <c r="A920" s="610"/>
      <c r="H920" s="610"/>
      <c r="I920" s="610"/>
      <c r="P920" s="610"/>
      <c r="Q920" s="610"/>
      <c r="R920" s="610"/>
    </row>
    <row r="921">
      <c r="A921" s="610"/>
      <c r="H921" s="610"/>
      <c r="I921" s="610"/>
      <c r="P921" s="610"/>
      <c r="Q921" s="610"/>
      <c r="R921" s="610"/>
    </row>
    <row r="922">
      <c r="A922" s="610"/>
      <c r="H922" s="610"/>
      <c r="I922" s="610"/>
      <c r="P922" s="610"/>
      <c r="Q922" s="610"/>
      <c r="R922" s="610"/>
    </row>
    <row r="923">
      <c r="A923" s="610"/>
      <c r="H923" s="610"/>
      <c r="I923" s="610"/>
      <c r="P923" s="610"/>
      <c r="Q923" s="610"/>
      <c r="R923" s="610"/>
    </row>
    <row r="924">
      <c r="A924" s="610"/>
      <c r="H924" s="610"/>
      <c r="I924" s="610"/>
      <c r="P924" s="610"/>
      <c r="Q924" s="610"/>
      <c r="R924" s="610"/>
    </row>
    <row r="925">
      <c r="A925" s="610"/>
      <c r="H925" s="610"/>
      <c r="I925" s="610"/>
      <c r="P925" s="610"/>
      <c r="Q925" s="610"/>
      <c r="R925" s="610"/>
    </row>
    <row r="926">
      <c r="A926" s="610"/>
      <c r="H926" s="610"/>
      <c r="I926" s="610"/>
      <c r="P926" s="610"/>
      <c r="Q926" s="610"/>
      <c r="R926" s="610"/>
    </row>
    <row r="927">
      <c r="A927" s="610"/>
      <c r="H927" s="610"/>
      <c r="I927" s="610"/>
      <c r="P927" s="610"/>
      <c r="Q927" s="610"/>
      <c r="R927" s="610"/>
    </row>
    <row r="928">
      <c r="A928" s="610"/>
      <c r="H928" s="610"/>
      <c r="I928" s="610"/>
      <c r="P928" s="610"/>
      <c r="Q928" s="610"/>
      <c r="R928" s="610"/>
    </row>
    <row r="929">
      <c r="A929" s="610"/>
      <c r="H929" s="610"/>
      <c r="I929" s="610"/>
      <c r="P929" s="610"/>
      <c r="Q929" s="610"/>
      <c r="R929" s="610"/>
    </row>
    <row r="930">
      <c r="A930" s="610"/>
      <c r="H930" s="610"/>
      <c r="I930" s="610"/>
      <c r="P930" s="610"/>
      <c r="Q930" s="610"/>
      <c r="R930" s="610"/>
    </row>
    <row r="931">
      <c r="A931" s="610"/>
      <c r="H931" s="610"/>
      <c r="I931" s="610"/>
      <c r="P931" s="610"/>
      <c r="Q931" s="610"/>
      <c r="R931" s="610"/>
    </row>
    <row r="932">
      <c r="A932" s="610"/>
      <c r="H932" s="610"/>
      <c r="I932" s="610"/>
      <c r="P932" s="610"/>
      <c r="Q932" s="610"/>
      <c r="R932" s="610"/>
    </row>
    <row r="933">
      <c r="A933" s="610"/>
      <c r="H933" s="610"/>
      <c r="I933" s="610"/>
      <c r="P933" s="610"/>
      <c r="Q933" s="610"/>
      <c r="R933" s="610"/>
    </row>
    <row r="934">
      <c r="A934" s="610"/>
      <c r="H934" s="610"/>
      <c r="I934" s="610"/>
      <c r="P934" s="610"/>
      <c r="Q934" s="610"/>
      <c r="R934" s="610"/>
    </row>
    <row r="935">
      <c r="A935" s="610"/>
      <c r="H935" s="610"/>
      <c r="I935" s="610"/>
      <c r="P935" s="610"/>
      <c r="Q935" s="610"/>
      <c r="R935" s="610"/>
    </row>
    <row r="936">
      <c r="A936" s="610"/>
      <c r="H936" s="610"/>
      <c r="I936" s="610"/>
      <c r="P936" s="610"/>
      <c r="Q936" s="610"/>
      <c r="R936" s="610"/>
    </row>
    <row r="937">
      <c r="A937" s="610"/>
      <c r="H937" s="610"/>
      <c r="I937" s="610"/>
      <c r="P937" s="610"/>
      <c r="Q937" s="610"/>
      <c r="R937" s="610"/>
    </row>
    <row r="938">
      <c r="A938" s="610"/>
      <c r="H938" s="610"/>
      <c r="I938" s="610"/>
      <c r="P938" s="610"/>
      <c r="Q938" s="610"/>
      <c r="R938" s="610"/>
    </row>
    <row r="939">
      <c r="A939" s="610"/>
      <c r="H939" s="610"/>
      <c r="I939" s="610"/>
      <c r="P939" s="610"/>
      <c r="Q939" s="610"/>
      <c r="R939" s="610"/>
    </row>
    <row r="940">
      <c r="A940" s="610"/>
      <c r="H940" s="610"/>
      <c r="I940" s="610"/>
      <c r="P940" s="610"/>
      <c r="Q940" s="610"/>
      <c r="R940" s="610"/>
    </row>
    <row r="941">
      <c r="A941" s="610"/>
      <c r="H941" s="610"/>
      <c r="I941" s="610"/>
      <c r="P941" s="610"/>
      <c r="Q941" s="610"/>
      <c r="R941" s="610"/>
    </row>
    <row r="942">
      <c r="A942" s="610"/>
      <c r="H942" s="610"/>
      <c r="I942" s="610"/>
      <c r="P942" s="610"/>
      <c r="Q942" s="610"/>
      <c r="R942" s="610"/>
    </row>
    <row r="943">
      <c r="A943" s="610"/>
      <c r="H943" s="610"/>
      <c r="I943" s="610"/>
      <c r="P943" s="610"/>
      <c r="Q943" s="610"/>
      <c r="R943" s="610"/>
    </row>
    <row r="944">
      <c r="A944" s="610"/>
      <c r="H944" s="610"/>
      <c r="I944" s="610"/>
      <c r="P944" s="610"/>
      <c r="Q944" s="610"/>
      <c r="R944" s="610"/>
    </row>
    <row r="945">
      <c r="A945" s="610"/>
      <c r="H945" s="610"/>
      <c r="I945" s="610"/>
      <c r="P945" s="610"/>
      <c r="Q945" s="610"/>
      <c r="R945" s="610"/>
    </row>
    <row r="946">
      <c r="A946" s="610"/>
      <c r="H946" s="610"/>
      <c r="I946" s="610"/>
      <c r="P946" s="610"/>
      <c r="Q946" s="610"/>
      <c r="R946" s="610"/>
    </row>
    <row r="947">
      <c r="A947" s="610"/>
      <c r="H947" s="610"/>
      <c r="I947" s="610"/>
      <c r="P947" s="610"/>
      <c r="Q947" s="610"/>
      <c r="R947" s="610"/>
    </row>
    <row r="948">
      <c r="A948" s="610"/>
      <c r="H948" s="610"/>
      <c r="I948" s="610"/>
      <c r="P948" s="610"/>
      <c r="Q948" s="610"/>
      <c r="R948" s="610"/>
    </row>
    <row r="949">
      <c r="A949" s="610"/>
      <c r="H949" s="610"/>
      <c r="I949" s="610"/>
      <c r="P949" s="610"/>
      <c r="Q949" s="610"/>
      <c r="R949" s="610"/>
    </row>
    <row r="950">
      <c r="A950" s="610"/>
      <c r="H950" s="610"/>
      <c r="I950" s="610"/>
      <c r="P950" s="610"/>
      <c r="Q950" s="610"/>
      <c r="R950" s="610"/>
    </row>
    <row r="951">
      <c r="A951" s="610"/>
      <c r="H951" s="610"/>
      <c r="I951" s="610"/>
      <c r="P951" s="610"/>
      <c r="Q951" s="610"/>
      <c r="R951" s="610"/>
    </row>
    <row r="952">
      <c r="A952" s="610"/>
      <c r="H952" s="610"/>
      <c r="I952" s="610"/>
      <c r="P952" s="610"/>
      <c r="Q952" s="610"/>
      <c r="R952" s="610"/>
    </row>
    <row r="953">
      <c r="A953" s="610"/>
      <c r="H953" s="610"/>
      <c r="I953" s="610"/>
      <c r="P953" s="610"/>
      <c r="Q953" s="610"/>
      <c r="R953" s="610"/>
    </row>
    <row r="954">
      <c r="A954" s="610"/>
      <c r="H954" s="610"/>
      <c r="I954" s="610"/>
      <c r="P954" s="610"/>
      <c r="Q954" s="610"/>
      <c r="R954" s="610"/>
    </row>
    <row r="955">
      <c r="A955" s="610"/>
      <c r="H955" s="610"/>
      <c r="I955" s="610"/>
      <c r="P955" s="610"/>
      <c r="Q955" s="610"/>
      <c r="R955" s="610"/>
    </row>
    <row r="956">
      <c r="A956" s="610"/>
      <c r="H956" s="610"/>
      <c r="I956" s="610"/>
      <c r="P956" s="610"/>
      <c r="Q956" s="610"/>
      <c r="R956" s="610"/>
    </row>
    <row r="957">
      <c r="A957" s="610"/>
      <c r="H957" s="610"/>
      <c r="I957" s="610"/>
      <c r="P957" s="610"/>
      <c r="Q957" s="610"/>
      <c r="R957" s="610"/>
    </row>
    <row r="958">
      <c r="A958" s="610"/>
      <c r="H958" s="610"/>
      <c r="I958" s="610"/>
      <c r="P958" s="610"/>
      <c r="Q958" s="610"/>
      <c r="R958" s="610"/>
    </row>
    <row r="959">
      <c r="A959" s="610"/>
      <c r="H959" s="610"/>
      <c r="I959" s="610"/>
      <c r="P959" s="610"/>
      <c r="Q959" s="610"/>
      <c r="R959" s="610"/>
    </row>
    <row r="960">
      <c r="A960" s="610"/>
      <c r="H960" s="610"/>
      <c r="I960" s="610"/>
      <c r="P960" s="610"/>
      <c r="Q960" s="610"/>
      <c r="R960" s="610"/>
    </row>
    <row r="961">
      <c r="A961" s="610"/>
      <c r="H961" s="610"/>
      <c r="I961" s="610"/>
      <c r="P961" s="610"/>
      <c r="Q961" s="610"/>
      <c r="R961" s="610"/>
    </row>
    <row r="962">
      <c r="A962" s="610"/>
      <c r="H962" s="610"/>
      <c r="I962" s="610"/>
      <c r="P962" s="610"/>
      <c r="Q962" s="610"/>
      <c r="R962" s="610"/>
    </row>
    <row r="963">
      <c r="A963" s="610"/>
      <c r="H963" s="610"/>
      <c r="I963" s="610"/>
      <c r="P963" s="610"/>
      <c r="Q963" s="610"/>
      <c r="R963" s="610"/>
    </row>
    <row r="964">
      <c r="A964" s="610"/>
      <c r="H964" s="610"/>
      <c r="I964" s="610"/>
      <c r="P964" s="610"/>
      <c r="Q964" s="610"/>
      <c r="R964" s="610"/>
    </row>
    <row r="965">
      <c r="A965" s="610"/>
      <c r="H965" s="610"/>
      <c r="I965" s="610"/>
      <c r="P965" s="610"/>
      <c r="Q965" s="610"/>
      <c r="R965" s="610"/>
    </row>
    <row r="966">
      <c r="A966" s="610"/>
      <c r="H966" s="610"/>
      <c r="I966" s="610"/>
      <c r="P966" s="610"/>
      <c r="Q966" s="610"/>
      <c r="R966" s="610"/>
    </row>
    <row r="967">
      <c r="A967" s="610"/>
      <c r="H967" s="610"/>
      <c r="I967" s="610"/>
      <c r="P967" s="610"/>
      <c r="Q967" s="610"/>
      <c r="R967" s="610"/>
    </row>
    <row r="968">
      <c r="A968" s="610"/>
      <c r="H968" s="610"/>
      <c r="I968" s="610"/>
      <c r="P968" s="610"/>
      <c r="Q968" s="610"/>
      <c r="R968" s="610"/>
    </row>
    <row r="969">
      <c r="A969" s="610"/>
      <c r="H969" s="610"/>
      <c r="I969" s="610"/>
      <c r="P969" s="610"/>
      <c r="Q969" s="610"/>
      <c r="R969" s="610"/>
    </row>
    <row r="970">
      <c r="A970" s="610"/>
      <c r="H970" s="610"/>
      <c r="I970" s="610"/>
      <c r="P970" s="610"/>
      <c r="Q970" s="610"/>
      <c r="R970" s="610"/>
    </row>
    <row r="971">
      <c r="A971" s="610"/>
      <c r="H971" s="610"/>
      <c r="I971" s="610"/>
      <c r="P971" s="610"/>
      <c r="Q971" s="610"/>
      <c r="R971" s="610"/>
    </row>
    <row r="972">
      <c r="A972" s="610"/>
      <c r="H972" s="610"/>
      <c r="I972" s="610"/>
      <c r="P972" s="610"/>
      <c r="Q972" s="610"/>
      <c r="R972" s="610"/>
    </row>
    <row r="973">
      <c r="A973" s="610"/>
      <c r="H973" s="610"/>
      <c r="I973" s="610"/>
      <c r="P973" s="610"/>
      <c r="Q973" s="610"/>
      <c r="R973" s="610"/>
    </row>
    <row r="974">
      <c r="A974" s="610"/>
      <c r="H974" s="610"/>
      <c r="I974" s="610"/>
      <c r="P974" s="610"/>
      <c r="Q974" s="610"/>
      <c r="R974" s="610"/>
    </row>
    <row r="975">
      <c r="A975" s="610"/>
      <c r="H975" s="610"/>
      <c r="I975" s="610"/>
      <c r="P975" s="610"/>
      <c r="Q975" s="610"/>
      <c r="R975" s="610"/>
    </row>
    <row r="976">
      <c r="A976" s="610"/>
      <c r="H976" s="610"/>
      <c r="I976" s="610"/>
      <c r="P976" s="610"/>
      <c r="Q976" s="610"/>
      <c r="R976" s="610"/>
    </row>
    <row r="977">
      <c r="A977" s="610"/>
      <c r="H977" s="610"/>
      <c r="I977" s="610"/>
      <c r="P977" s="610"/>
      <c r="Q977" s="610"/>
      <c r="R977" s="610"/>
    </row>
    <row r="978">
      <c r="A978" s="610"/>
      <c r="H978" s="610"/>
      <c r="I978" s="610"/>
      <c r="P978" s="610"/>
      <c r="Q978" s="610"/>
      <c r="R978" s="610"/>
    </row>
    <row r="979">
      <c r="A979" s="610"/>
      <c r="H979" s="610"/>
      <c r="I979" s="610"/>
      <c r="P979" s="610"/>
      <c r="Q979" s="610"/>
      <c r="R979" s="610"/>
    </row>
    <row r="980">
      <c r="A980" s="610"/>
      <c r="H980" s="610"/>
      <c r="I980" s="610"/>
      <c r="P980" s="610"/>
      <c r="Q980" s="610"/>
      <c r="R980" s="610"/>
    </row>
    <row r="981">
      <c r="A981" s="610"/>
      <c r="H981" s="610"/>
      <c r="I981" s="610"/>
      <c r="P981" s="610"/>
      <c r="Q981" s="610"/>
      <c r="R981" s="610"/>
    </row>
    <row r="982">
      <c r="A982" s="610"/>
      <c r="H982" s="610"/>
      <c r="I982" s="610"/>
      <c r="P982" s="610"/>
      <c r="Q982" s="610"/>
      <c r="R982" s="610"/>
    </row>
    <row r="983">
      <c r="A983" s="610"/>
      <c r="H983" s="610"/>
      <c r="I983" s="610"/>
      <c r="P983" s="610"/>
      <c r="Q983" s="610"/>
      <c r="R983" s="610"/>
    </row>
    <row r="984">
      <c r="A984" s="610"/>
      <c r="H984" s="610"/>
      <c r="I984" s="610"/>
      <c r="P984" s="610"/>
      <c r="Q984" s="610"/>
      <c r="R984" s="610"/>
    </row>
    <row r="985">
      <c r="A985" s="610"/>
      <c r="H985" s="610"/>
      <c r="I985" s="610"/>
      <c r="P985" s="610"/>
      <c r="Q985" s="610"/>
      <c r="R985" s="610"/>
    </row>
    <row r="986">
      <c r="A986" s="610"/>
      <c r="H986" s="610"/>
      <c r="I986" s="610"/>
      <c r="P986" s="610"/>
      <c r="Q986" s="610"/>
      <c r="R986" s="610"/>
    </row>
    <row r="987">
      <c r="A987" s="610"/>
      <c r="H987" s="610"/>
      <c r="I987" s="610"/>
      <c r="P987" s="610"/>
      <c r="Q987" s="610"/>
      <c r="R987" s="610"/>
    </row>
    <row r="988">
      <c r="A988" s="610"/>
      <c r="H988" s="610"/>
      <c r="I988" s="610"/>
      <c r="P988" s="610"/>
      <c r="Q988" s="610"/>
      <c r="R988" s="610"/>
    </row>
    <row r="989">
      <c r="A989" s="610"/>
      <c r="H989" s="610"/>
      <c r="I989" s="610"/>
      <c r="P989" s="610"/>
      <c r="Q989" s="610"/>
      <c r="R989" s="610"/>
    </row>
    <row r="990">
      <c r="A990" s="610"/>
      <c r="H990" s="610"/>
      <c r="I990" s="610"/>
      <c r="P990" s="610"/>
      <c r="Q990" s="610"/>
      <c r="R990" s="610"/>
    </row>
    <row r="991">
      <c r="A991" s="610"/>
      <c r="H991" s="610"/>
      <c r="I991" s="610"/>
      <c r="P991" s="610"/>
      <c r="Q991" s="610"/>
      <c r="R991" s="610"/>
    </row>
    <row r="992">
      <c r="A992" s="610"/>
      <c r="H992" s="610"/>
      <c r="I992" s="610"/>
      <c r="P992" s="610"/>
      <c r="Q992" s="610"/>
      <c r="R992" s="610"/>
    </row>
    <row r="993">
      <c r="A993" s="610"/>
      <c r="H993" s="610"/>
      <c r="I993" s="610"/>
      <c r="P993" s="610"/>
      <c r="Q993" s="610"/>
      <c r="R993" s="610"/>
    </row>
    <row r="994">
      <c r="A994" s="610"/>
      <c r="H994" s="610"/>
      <c r="I994" s="610"/>
      <c r="P994" s="610"/>
      <c r="Q994" s="610"/>
      <c r="R994" s="610"/>
    </row>
    <row r="995">
      <c r="A995" s="610"/>
      <c r="H995" s="610"/>
      <c r="I995" s="610"/>
      <c r="P995" s="610"/>
      <c r="Q995" s="610"/>
      <c r="R995" s="610"/>
    </row>
    <row r="996">
      <c r="A996" s="610"/>
      <c r="H996" s="610"/>
      <c r="I996" s="610"/>
      <c r="P996" s="610"/>
      <c r="Q996" s="610"/>
      <c r="R996" s="610"/>
    </row>
    <row r="997">
      <c r="A997" s="610"/>
      <c r="H997" s="610"/>
      <c r="I997" s="610"/>
      <c r="P997" s="610"/>
      <c r="Q997" s="610"/>
      <c r="R997" s="610"/>
    </row>
    <row r="998">
      <c r="A998" s="610"/>
      <c r="H998" s="610"/>
      <c r="I998" s="610"/>
      <c r="P998" s="610"/>
      <c r="Q998" s="610"/>
      <c r="R998" s="610"/>
    </row>
    <row r="999">
      <c r="A999" s="610"/>
      <c r="H999" s="610"/>
      <c r="I999" s="610"/>
      <c r="P999" s="610"/>
      <c r="Q999" s="610"/>
      <c r="R999" s="610"/>
    </row>
    <row r="1000">
      <c r="A1000" s="610"/>
      <c r="H1000" s="610"/>
      <c r="I1000" s="610"/>
      <c r="P1000" s="610"/>
      <c r="Q1000" s="610"/>
      <c r="R1000" s="610"/>
    </row>
    <row r="1001">
      <c r="A1001" s="610"/>
      <c r="H1001" s="610"/>
      <c r="I1001" s="610"/>
      <c r="P1001" s="610"/>
      <c r="Q1001" s="610"/>
      <c r="R1001" s="610"/>
    </row>
    <row r="1002">
      <c r="A1002" s="610"/>
      <c r="H1002" s="610"/>
      <c r="I1002" s="610"/>
      <c r="P1002" s="610"/>
      <c r="Q1002" s="610"/>
      <c r="R1002" s="610"/>
    </row>
    <row r="1003">
      <c r="A1003" s="610"/>
      <c r="H1003" s="610"/>
      <c r="I1003" s="610"/>
      <c r="P1003" s="610"/>
      <c r="Q1003" s="610"/>
      <c r="R1003" s="610"/>
    </row>
    <row r="1004">
      <c r="A1004" s="610"/>
      <c r="H1004" s="610"/>
      <c r="I1004" s="610"/>
      <c r="P1004" s="610"/>
      <c r="Q1004" s="610"/>
      <c r="R1004" s="610"/>
    </row>
    <row r="1005">
      <c r="A1005" s="610"/>
      <c r="H1005" s="610"/>
      <c r="I1005" s="610"/>
      <c r="P1005" s="610"/>
      <c r="Q1005" s="610"/>
      <c r="R1005" s="610"/>
    </row>
    <row r="1006">
      <c r="A1006" s="610"/>
      <c r="H1006" s="610"/>
      <c r="I1006" s="610"/>
      <c r="P1006" s="610"/>
      <c r="Q1006" s="610"/>
      <c r="R1006" s="610"/>
    </row>
    <row r="1007">
      <c r="A1007" s="610"/>
      <c r="H1007" s="610"/>
      <c r="I1007" s="610"/>
      <c r="P1007" s="610"/>
      <c r="Q1007" s="610"/>
      <c r="R1007" s="610"/>
    </row>
    <row r="1008">
      <c r="A1008" s="610"/>
      <c r="H1008" s="610"/>
      <c r="I1008" s="610"/>
      <c r="P1008" s="610"/>
      <c r="Q1008" s="610"/>
      <c r="R1008" s="610"/>
    </row>
    <row r="1009">
      <c r="A1009" s="610"/>
      <c r="H1009" s="610"/>
      <c r="I1009" s="610"/>
      <c r="P1009" s="610"/>
      <c r="Q1009" s="610"/>
      <c r="R1009" s="610"/>
    </row>
    <row r="1010">
      <c r="A1010" s="610"/>
      <c r="H1010" s="610"/>
      <c r="I1010" s="610"/>
      <c r="P1010" s="610"/>
      <c r="Q1010" s="610"/>
      <c r="R1010" s="610"/>
    </row>
    <row r="1011">
      <c r="A1011" s="610"/>
      <c r="H1011" s="610"/>
      <c r="I1011" s="610"/>
      <c r="P1011" s="610"/>
      <c r="Q1011" s="610"/>
      <c r="R1011" s="610"/>
    </row>
    <row r="1012">
      <c r="A1012" s="610"/>
      <c r="H1012" s="610"/>
      <c r="I1012" s="610"/>
      <c r="P1012" s="610"/>
      <c r="Q1012" s="610"/>
      <c r="R1012" s="610"/>
    </row>
    <row r="1013">
      <c r="A1013" s="610"/>
      <c r="H1013" s="610"/>
      <c r="I1013" s="610"/>
      <c r="P1013" s="610"/>
      <c r="Q1013" s="610"/>
      <c r="R1013" s="610"/>
    </row>
    <row r="1014">
      <c r="A1014" s="610"/>
      <c r="H1014" s="610"/>
      <c r="I1014" s="610"/>
      <c r="P1014" s="610"/>
      <c r="Q1014" s="610"/>
      <c r="R1014" s="610"/>
    </row>
    <row r="1015">
      <c r="A1015" s="610"/>
      <c r="H1015" s="610"/>
      <c r="I1015" s="610"/>
      <c r="P1015" s="610"/>
      <c r="Q1015" s="610"/>
      <c r="R1015" s="610"/>
    </row>
    <row r="1016">
      <c r="A1016" s="610"/>
      <c r="H1016" s="610"/>
      <c r="I1016" s="610"/>
      <c r="P1016" s="610"/>
      <c r="Q1016" s="610"/>
      <c r="R1016" s="610"/>
    </row>
    <row r="1017">
      <c r="A1017" s="610"/>
      <c r="H1017" s="610"/>
      <c r="I1017" s="610"/>
      <c r="P1017" s="610"/>
      <c r="Q1017" s="610"/>
      <c r="R1017" s="610"/>
    </row>
    <row r="1018">
      <c r="A1018" s="610"/>
      <c r="H1018" s="610"/>
      <c r="I1018" s="610"/>
      <c r="P1018" s="610"/>
      <c r="Q1018" s="610"/>
      <c r="R1018" s="610"/>
    </row>
    <row r="1019">
      <c r="A1019" s="610"/>
      <c r="H1019" s="610"/>
      <c r="I1019" s="610"/>
      <c r="P1019" s="610"/>
      <c r="Q1019" s="610"/>
      <c r="R1019" s="610"/>
    </row>
    <row r="1020">
      <c r="A1020" s="610"/>
      <c r="H1020" s="610"/>
      <c r="I1020" s="610"/>
      <c r="P1020" s="610"/>
      <c r="Q1020" s="610"/>
      <c r="R1020" s="610"/>
    </row>
    <row r="1021">
      <c r="A1021" s="610"/>
      <c r="H1021" s="610"/>
      <c r="I1021" s="610"/>
      <c r="P1021" s="610"/>
      <c r="Q1021" s="610"/>
      <c r="R1021" s="610"/>
    </row>
    <row r="1022">
      <c r="A1022" s="610"/>
      <c r="H1022" s="610"/>
      <c r="I1022" s="610"/>
      <c r="P1022" s="610"/>
      <c r="Q1022" s="610"/>
      <c r="R1022" s="610"/>
    </row>
    <row r="1023">
      <c r="A1023" s="610"/>
      <c r="H1023" s="610"/>
      <c r="I1023" s="610"/>
      <c r="P1023" s="610"/>
      <c r="Q1023" s="610"/>
      <c r="R1023" s="610"/>
    </row>
    <row r="1024">
      <c r="A1024" s="610"/>
      <c r="H1024" s="610"/>
      <c r="I1024" s="610"/>
      <c r="P1024" s="610"/>
      <c r="Q1024" s="610"/>
      <c r="R1024" s="610"/>
    </row>
    <row r="1025">
      <c r="A1025" s="610"/>
      <c r="H1025" s="610"/>
      <c r="I1025" s="610"/>
      <c r="P1025" s="610"/>
      <c r="Q1025" s="610"/>
      <c r="R1025" s="610"/>
    </row>
    <row r="1026">
      <c r="A1026" s="610"/>
      <c r="H1026" s="610"/>
      <c r="I1026" s="610"/>
      <c r="P1026" s="610"/>
      <c r="Q1026" s="610"/>
      <c r="R1026" s="610"/>
    </row>
    <row r="1027">
      <c r="A1027" s="610"/>
      <c r="H1027" s="610"/>
      <c r="I1027" s="610"/>
      <c r="P1027" s="610"/>
      <c r="Q1027" s="610"/>
      <c r="R1027" s="610"/>
    </row>
    <row r="1028">
      <c r="A1028" s="610"/>
      <c r="H1028" s="610"/>
      <c r="I1028" s="610"/>
      <c r="P1028" s="610"/>
      <c r="Q1028" s="610"/>
      <c r="R1028" s="610"/>
    </row>
    <row r="1029">
      <c r="A1029" s="610"/>
      <c r="H1029" s="610"/>
      <c r="I1029" s="610"/>
      <c r="P1029" s="610"/>
      <c r="Q1029" s="610"/>
      <c r="R1029" s="610"/>
    </row>
    <row r="1030">
      <c r="A1030" s="610"/>
      <c r="H1030" s="610"/>
      <c r="I1030" s="610"/>
      <c r="P1030" s="610"/>
      <c r="Q1030" s="610"/>
      <c r="R1030" s="610"/>
    </row>
    <row r="1031">
      <c r="A1031" s="610"/>
      <c r="H1031" s="610"/>
      <c r="I1031" s="610"/>
      <c r="P1031" s="610"/>
      <c r="Q1031" s="610"/>
      <c r="R1031" s="610"/>
    </row>
    <row r="1032">
      <c r="A1032" s="610"/>
      <c r="H1032" s="610"/>
      <c r="I1032" s="610"/>
      <c r="P1032" s="610"/>
      <c r="Q1032" s="610"/>
      <c r="R1032" s="610"/>
    </row>
    <row r="1033">
      <c r="A1033" s="610"/>
      <c r="H1033" s="610"/>
      <c r="I1033" s="610"/>
      <c r="P1033" s="610"/>
      <c r="Q1033" s="610"/>
      <c r="R1033" s="610"/>
    </row>
    <row r="1034">
      <c r="A1034" s="610"/>
      <c r="H1034" s="610"/>
      <c r="I1034" s="610"/>
      <c r="P1034" s="610"/>
      <c r="Q1034" s="610"/>
      <c r="R1034" s="610"/>
    </row>
    <row r="1035">
      <c r="A1035" s="610"/>
      <c r="H1035" s="610"/>
      <c r="I1035" s="610"/>
      <c r="P1035" s="610"/>
      <c r="Q1035" s="610"/>
      <c r="R1035" s="610"/>
    </row>
    <row r="1036">
      <c r="A1036" s="610"/>
      <c r="H1036" s="610"/>
      <c r="I1036" s="610"/>
      <c r="P1036" s="610"/>
      <c r="Q1036" s="610"/>
      <c r="R1036" s="610"/>
    </row>
    <row r="1037">
      <c r="A1037" s="610"/>
      <c r="H1037" s="610"/>
      <c r="I1037" s="610"/>
      <c r="P1037" s="610"/>
      <c r="Q1037" s="610"/>
      <c r="R1037" s="610"/>
    </row>
    <row r="1038">
      <c r="A1038" s="610"/>
      <c r="H1038" s="610"/>
      <c r="I1038" s="610"/>
      <c r="P1038" s="610"/>
      <c r="Q1038" s="610"/>
      <c r="R1038" s="610"/>
    </row>
    <row r="1039">
      <c r="A1039" s="610"/>
      <c r="H1039" s="610"/>
      <c r="I1039" s="610"/>
      <c r="P1039" s="610"/>
      <c r="Q1039" s="610"/>
      <c r="R1039" s="610"/>
    </row>
    <row r="1040">
      <c r="A1040" s="610"/>
      <c r="H1040" s="610"/>
      <c r="I1040" s="610"/>
      <c r="P1040" s="610"/>
      <c r="Q1040" s="610"/>
      <c r="R1040" s="610"/>
    </row>
    <row r="1041">
      <c r="A1041" s="610"/>
      <c r="H1041" s="610"/>
      <c r="I1041" s="610"/>
      <c r="P1041" s="610"/>
      <c r="Q1041" s="610"/>
      <c r="R1041" s="610"/>
    </row>
    <row r="1042">
      <c r="A1042" s="610"/>
      <c r="H1042" s="610"/>
      <c r="I1042" s="610"/>
      <c r="P1042" s="610"/>
      <c r="Q1042" s="610"/>
      <c r="R1042" s="610"/>
    </row>
    <row r="1043">
      <c r="A1043" s="610"/>
      <c r="H1043" s="610"/>
      <c r="I1043" s="610"/>
      <c r="P1043" s="610"/>
      <c r="Q1043" s="610"/>
      <c r="R1043" s="610"/>
    </row>
    <row r="1044">
      <c r="A1044" s="610"/>
      <c r="H1044" s="610"/>
      <c r="I1044" s="610"/>
      <c r="P1044" s="610"/>
      <c r="Q1044" s="610"/>
      <c r="R1044" s="610"/>
    </row>
    <row r="1045">
      <c r="A1045" s="610"/>
      <c r="H1045" s="610"/>
      <c r="I1045" s="610"/>
      <c r="P1045" s="610"/>
      <c r="Q1045" s="610"/>
      <c r="R1045" s="610"/>
    </row>
    <row r="1046">
      <c r="A1046" s="610"/>
      <c r="H1046" s="610"/>
      <c r="I1046" s="610"/>
      <c r="P1046" s="610"/>
      <c r="Q1046" s="610"/>
      <c r="R1046" s="610"/>
    </row>
    <row r="1047">
      <c r="A1047" s="610"/>
      <c r="H1047" s="610"/>
      <c r="I1047" s="610"/>
      <c r="P1047" s="610"/>
      <c r="Q1047" s="610"/>
      <c r="R1047" s="610"/>
    </row>
    <row r="1048">
      <c r="A1048" s="610"/>
      <c r="H1048" s="610"/>
      <c r="I1048" s="610"/>
      <c r="P1048" s="610"/>
      <c r="Q1048" s="610"/>
      <c r="R1048" s="610"/>
    </row>
    <row r="1049">
      <c r="A1049" s="610"/>
      <c r="H1049" s="610"/>
      <c r="I1049" s="610"/>
      <c r="P1049" s="610"/>
      <c r="Q1049" s="610"/>
      <c r="R1049" s="610"/>
    </row>
    <row r="1050">
      <c r="A1050" s="610"/>
      <c r="H1050" s="610"/>
      <c r="I1050" s="610"/>
      <c r="P1050" s="610"/>
      <c r="Q1050" s="610"/>
      <c r="R1050" s="610"/>
    </row>
    <row r="1051">
      <c r="A1051" s="610"/>
      <c r="H1051" s="610"/>
      <c r="I1051" s="610"/>
      <c r="P1051" s="610"/>
      <c r="Q1051" s="610"/>
      <c r="R1051" s="610"/>
    </row>
    <row r="1052">
      <c r="A1052" s="610"/>
      <c r="H1052" s="610"/>
      <c r="I1052" s="610"/>
      <c r="P1052" s="610"/>
      <c r="Q1052" s="610"/>
      <c r="R1052" s="610"/>
    </row>
    <row r="1053">
      <c r="A1053" s="610"/>
      <c r="H1053" s="610"/>
      <c r="I1053" s="610"/>
      <c r="P1053" s="610"/>
      <c r="Q1053" s="610"/>
      <c r="R1053" s="610"/>
    </row>
    <row r="1054">
      <c r="A1054" s="610"/>
      <c r="H1054" s="610"/>
      <c r="I1054" s="610"/>
      <c r="P1054" s="610"/>
      <c r="Q1054" s="610"/>
      <c r="R1054" s="610"/>
    </row>
    <row r="1055">
      <c r="A1055" s="610"/>
      <c r="H1055" s="610"/>
      <c r="I1055" s="610"/>
      <c r="P1055" s="610"/>
      <c r="Q1055" s="610"/>
      <c r="R1055" s="610"/>
    </row>
    <row r="1056">
      <c r="A1056" s="610"/>
      <c r="H1056" s="610"/>
      <c r="I1056" s="610"/>
      <c r="P1056" s="610"/>
      <c r="Q1056" s="610"/>
      <c r="R1056" s="610"/>
    </row>
    <row r="1057">
      <c r="A1057" s="610"/>
      <c r="H1057" s="610"/>
      <c r="I1057" s="610"/>
      <c r="P1057" s="610"/>
      <c r="Q1057" s="610"/>
      <c r="R1057" s="610"/>
    </row>
    <row r="1058">
      <c r="A1058" s="610"/>
      <c r="H1058" s="610"/>
      <c r="I1058" s="610"/>
      <c r="P1058" s="610"/>
      <c r="Q1058" s="610"/>
      <c r="R1058" s="610"/>
    </row>
    <row r="1059">
      <c r="A1059" s="610"/>
      <c r="H1059" s="610"/>
      <c r="I1059" s="610"/>
      <c r="P1059" s="610"/>
      <c r="Q1059" s="610"/>
      <c r="R1059" s="610"/>
    </row>
    <row r="1060">
      <c r="A1060" s="610"/>
      <c r="H1060" s="610"/>
      <c r="I1060" s="610"/>
      <c r="P1060" s="610"/>
      <c r="Q1060" s="610"/>
      <c r="R1060" s="610"/>
    </row>
    <row r="1061">
      <c r="A1061" s="610"/>
      <c r="H1061" s="610"/>
      <c r="I1061" s="610"/>
      <c r="P1061" s="610"/>
      <c r="Q1061" s="610"/>
      <c r="R1061" s="610"/>
    </row>
    <row r="1062">
      <c r="A1062" s="610"/>
      <c r="H1062" s="610"/>
      <c r="I1062" s="610"/>
      <c r="P1062" s="610"/>
      <c r="Q1062" s="610"/>
      <c r="R1062" s="610"/>
    </row>
    <row r="1063">
      <c r="A1063" s="610"/>
      <c r="H1063" s="610"/>
      <c r="I1063" s="610"/>
      <c r="P1063" s="610"/>
      <c r="Q1063" s="610"/>
      <c r="R1063" s="610"/>
    </row>
    <row r="1064">
      <c r="A1064" s="610"/>
      <c r="H1064" s="610"/>
      <c r="I1064" s="610"/>
      <c r="P1064" s="610"/>
      <c r="Q1064" s="610"/>
      <c r="R1064" s="610"/>
    </row>
    <row r="1065">
      <c r="A1065" s="610"/>
      <c r="H1065" s="610"/>
      <c r="I1065" s="610"/>
      <c r="P1065" s="610"/>
      <c r="Q1065" s="610"/>
      <c r="R1065" s="610"/>
    </row>
    <row r="1066">
      <c r="A1066" s="610"/>
      <c r="H1066" s="610"/>
      <c r="I1066" s="610"/>
      <c r="P1066" s="610"/>
      <c r="Q1066" s="610"/>
      <c r="R1066" s="610"/>
    </row>
    <row r="1067">
      <c r="A1067" s="610"/>
      <c r="H1067" s="610"/>
      <c r="I1067" s="610"/>
      <c r="P1067" s="610"/>
      <c r="Q1067" s="610"/>
      <c r="R1067" s="610"/>
    </row>
    <row r="1068">
      <c r="A1068" s="610"/>
      <c r="H1068" s="610"/>
      <c r="I1068" s="610"/>
      <c r="P1068" s="610"/>
      <c r="Q1068" s="610"/>
      <c r="R1068" s="610"/>
    </row>
    <row r="1069">
      <c r="A1069" s="610"/>
      <c r="H1069" s="610"/>
      <c r="I1069" s="610"/>
      <c r="P1069" s="610"/>
      <c r="Q1069" s="610"/>
      <c r="R1069" s="610"/>
    </row>
    <row r="1070">
      <c r="A1070" s="610"/>
      <c r="H1070" s="610"/>
      <c r="I1070" s="610"/>
      <c r="P1070" s="610"/>
      <c r="Q1070" s="610"/>
      <c r="R1070" s="610"/>
    </row>
    <row r="1071">
      <c r="A1071" s="610"/>
      <c r="H1071" s="610"/>
      <c r="I1071" s="610"/>
      <c r="P1071" s="610"/>
      <c r="Q1071" s="610"/>
      <c r="R1071" s="610"/>
    </row>
    <row r="1072">
      <c r="A1072" s="610"/>
      <c r="H1072" s="610"/>
      <c r="I1072" s="610"/>
      <c r="P1072" s="610"/>
      <c r="Q1072" s="610"/>
      <c r="R1072" s="610"/>
    </row>
    <row r="1073">
      <c r="A1073" s="610"/>
      <c r="H1073" s="610"/>
      <c r="I1073" s="610"/>
      <c r="P1073" s="610"/>
      <c r="Q1073" s="610"/>
      <c r="R1073" s="610"/>
    </row>
    <row r="1074">
      <c r="A1074" s="610"/>
      <c r="H1074" s="610"/>
      <c r="I1074" s="610"/>
      <c r="P1074" s="610"/>
      <c r="Q1074" s="610"/>
      <c r="R1074" s="610"/>
    </row>
    <row r="1075">
      <c r="A1075" s="610"/>
      <c r="H1075" s="610"/>
      <c r="I1075" s="610"/>
      <c r="P1075" s="610"/>
      <c r="Q1075" s="610"/>
      <c r="R1075" s="610"/>
    </row>
    <row r="1076">
      <c r="A1076" s="610"/>
      <c r="H1076" s="610"/>
      <c r="I1076" s="610"/>
      <c r="P1076" s="610"/>
      <c r="Q1076" s="610"/>
      <c r="R1076" s="610"/>
    </row>
    <row r="1077">
      <c r="A1077" s="610"/>
      <c r="H1077" s="610"/>
      <c r="I1077" s="610"/>
      <c r="P1077" s="610"/>
      <c r="Q1077" s="610"/>
      <c r="R1077" s="610"/>
    </row>
    <row r="1078">
      <c r="A1078" s="610"/>
      <c r="H1078" s="610"/>
      <c r="I1078" s="610"/>
      <c r="P1078" s="610"/>
      <c r="Q1078" s="610"/>
      <c r="R1078" s="610"/>
    </row>
    <row r="1079">
      <c r="A1079" s="610"/>
      <c r="H1079" s="610"/>
      <c r="I1079" s="610"/>
      <c r="P1079" s="610"/>
      <c r="Q1079" s="610"/>
      <c r="R1079" s="610"/>
    </row>
    <row r="1080">
      <c r="A1080" s="610"/>
      <c r="H1080" s="610"/>
      <c r="I1080" s="610"/>
      <c r="P1080" s="610"/>
      <c r="Q1080" s="610"/>
      <c r="R1080" s="610"/>
    </row>
    <row r="1081">
      <c r="A1081" s="610"/>
      <c r="H1081" s="610"/>
      <c r="I1081" s="610"/>
      <c r="P1081" s="610"/>
      <c r="Q1081" s="610"/>
      <c r="R1081" s="610"/>
    </row>
    <row r="1082">
      <c r="A1082" s="610"/>
      <c r="H1082" s="610"/>
      <c r="I1082" s="610"/>
      <c r="P1082" s="610"/>
      <c r="Q1082" s="610"/>
      <c r="R1082" s="610"/>
    </row>
    <row r="1083">
      <c r="A1083" s="610"/>
      <c r="H1083" s="610"/>
      <c r="I1083" s="610"/>
      <c r="P1083" s="610"/>
      <c r="Q1083" s="610"/>
      <c r="R1083" s="610"/>
    </row>
    <row r="1084">
      <c r="A1084" s="610"/>
      <c r="H1084" s="610"/>
      <c r="I1084" s="610"/>
      <c r="P1084" s="610"/>
      <c r="Q1084" s="610"/>
      <c r="R1084" s="610"/>
    </row>
    <row r="1085">
      <c r="A1085" s="610"/>
      <c r="H1085" s="610"/>
      <c r="I1085" s="610"/>
      <c r="P1085" s="610"/>
      <c r="Q1085" s="610"/>
      <c r="R1085" s="610"/>
    </row>
    <row r="1086">
      <c r="A1086" s="610"/>
      <c r="H1086" s="610"/>
      <c r="I1086" s="610"/>
      <c r="P1086" s="610"/>
      <c r="Q1086" s="610"/>
      <c r="R1086" s="610"/>
    </row>
    <row r="1087">
      <c r="A1087" s="610"/>
      <c r="H1087" s="610"/>
      <c r="I1087" s="610"/>
      <c r="P1087" s="610"/>
      <c r="Q1087" s="610"/>
      <c r="R1087" s="610"/>
    </row>
    <row r="1088">
      <c r="A1088" s="610"/>
      <c r="H1088" s="610"/>
      <c r="I1088" s="610"/>
      <c r="P1088" s="610"/>
      <c r="Q1088" s="610"/>
      <c r="R1088" s="610"/>
    </row>
    <row r="1089">
      <c r="A1089" s="610"/>
      <c r="H1089" s="610"/>
      <c r="I1089" s="610"/>
      <c r="P1089" s="610"/>
      <c r="Q1089" s="610"/>
      <c r="R1089" s="610"/>
    </row>
    <row r="1090">
      <c r="A1090" s="610"/>
      <c r="H1090" s="610"/>
      <c r="I1090" s="610"/>
      <c r="P1090" s="610"/>
      <c r="Q1090" s="610"/>
      <c r="R1090" s="610"/>
    </row>
    <row r="1091">
      <c r="A1091" s="610"/>
      <c r="H1091" s="610"/>
      <c r="I1091" s="610"/>
      <c r="P1091" s="610"/>
      <c r="Q1091" s="610"/>
      <c r="R1091" s="610"/>
    </row>
    <row r="1092">
      <c r="A1092" s="610"/>
      <c r="H1092" s="610"/>
      <c r="I1092" s="610"/>
      <c r="P1092" s="610"/>
      <c r="Q1092" s="610"/>
      <c r="R1092" s="610"/>
    </row>
    <row r="1093">
      <c r="A1093" s="610"/>
      <c r="H1093" s="610"/>
      <c r="I1093" s="610"/>
      <c r="P1093" s="610"/>
      <c r="Q1093" s="610"/>
      <c r="R1093" s="610"/>
    </row>
    <row r="1094">
      <c r="A1094" s="610"/>
      <c r="H1094" s="610"/>
      <c r="I1094" s="610"/>
      <c r="P1094" s="610"/>
      <c r="Q1094" s="610"/>
      <c r="R1094" s="610"/>
    </row>
    <row r="1095">
      <c r="A1095" s="610"/>
      <c r="H1095" s="610"/>
      <c r="I1095" s="610"/>
      <c r="P1095" s="610"/>
      <c r="Q1095" s="610"/>
      <c r="R1095" s="610"/>
    </row>
    <row r="1096">
      <c r="A1096" s="610"/>
      <c r="H1096" s="610"/>
      <c r="I1096" s="610"/>
      <c r="P1096" s="610"/>
      <c r="Q1096" s="610"/>
      <c r="R1096" s="610"/>
    </row>
    <row r="1097">
      <c r="A1097" s="610"/>
      <c r="H1097" s="610"/>
      <c r="I1097" s="610"/>
      <c r="P1097" s="610"/>
      <c r="Q1097" s="610"/>
      <c r="R1097" s="610"/>
    </row>
    <row r="1098">
      <c r="A1098" s="610"/>
      <c r="H1098" s="610"/>
      <c r="I1098" s="610"/>
      <c r="P1098" s="610"/>
      <c r="Q1098" s="610"/>
      <c r="R1098" s="610"/>
    </row>
    <row r="1099">
      <c r="A1099" s="610"/>
      <c r="H1099" s="610"/>
      <c r="I1099" s="610"/>
      <c r="P1099" s="610"/>
      <c r="Q1099" s="610"/>
      <c r="R1099" s="610"/>
    </row>
    <row r="1100">
      <c r="A1100" s="610"/>
      <c r="H1100" s="610"/>
      <c r="I1100" s="610"/>
      <c r="P1100" s="610"/>
      <c r="Q1100" s="610"/>
      <c r="R1100" s="610"/>
    </row>
    <row r="1101">
      <c r="A1101" s="610"/>
      <c r="H1101" s="610"/>
      <c r="I1101" s="610"/>
      <c r="P1101" s="610"/>
      <c r="Q1101" s="610"/>
      <c r="R1101" s="610"/>
    </row>
    <row r="1102">
      <c r="A1102" s="610"/>
      <c r="H1102" s="610"/>
      <c r="I1102" s="610"/>
      <c r="P1102" s="610"/>
      <c r="Q1102" s="610"/>
      <c r="R1102" s="610"/>
    </row>
    <row r="1103">
      <c r="A1103" s="610"/>
      <c r="H1103" s="610"/>
      <c r="I1103" s="610"/>
      <c r="P1103" s="610"/>
      <c r="Q1103" s="610"/>
      <c r="R1103" s="610"/>
    </row>
    <row r="1104">
      <c r="A1104" s="610"/>
      <c r="H1104" s="610"/>
      <c r="I1104" s="610"/>
      <c r="P1104" s="610"/>
      <c r="Q1104" s="610"/>
      <c r="R1104" s="610"/>
    </row>
    <row r="1105">
      <c r="A1105" s="610"/>
      <c r="H1105" s="610"/>
      <c r="I1105" s="610"/>
      <c r="P1105" s="610"/>
      <c r="Q1105" s="610"/>
      <c r="R1105" s="610"/>
    </row>
    <row r="1106">
      <c r="A1106" s="610"/>
      <c r="H1106" s="610"/>
      <c r="I1106" s="610"/>
      <c r="P1106" s="610"/>
      <c r="Q1106" s="610"/>
      <c r="R1106" s="610"/>
    </row>
    <row r="1107">
      <c r="A1107" s="610"/>
      <c r="H1107" s="610"/>
      <c r="I1107" s="610"/>
      <c r="P1107" s="610"/>
      <c r="Q1107" s="610"/>
      <c r="R1107" s="610"/>
    </row>
    <row r="1108">
      <c r="A1108" s="610"/>
      <c r="H1108" s="610"/>
      <c r="I1108" s="610"/>
      <c r="P1108" s="610"/>
      <c r="Q1108" s="610"/>
      <c r="R1108" s="610"/>
    </row>
    <row r="1109">
      <c r="A1109" s="610"/>
      <c r="H1109" s="610"/>
      <c r="I1109" s="610"/>
      <c r="P1109" s="610"/>
      <c r="Q1109" s="610"/>
      <c r="R1109" s="610"/>
    </row>
    <row r="1110">
      <c r="A1110" s="610"/>
      <c r="H1110" s="610"/>
      <c r="I1110" s="610"/>
      <c r="P1110" s="610"/>
      <c r="Q1110" s="610"/>
      <c r="R1110" s="610"/>
    </row>
    <row r="1111">
      <c r="A1111" s="610"/>
      <c r="H1111" s="610"/>
      <c r="I1111" s="610"/>
      <c r="P1111" s="610"/>
      <c r="Q1111" s="610"/>
      <c r="R1111" s="610"/>
    </row>
    <row r="1112">
      <c r="A1112" s="610"/>
      <c r="H1112" s="610"/>
      <c r="I1112" s="610"/>
      <c r="P1112" s="610"/>
      <c r="Q1112" s="610"/>
      <c r="R1112" s="610"/>
    </row>
    <row r="1113">
      <c r="A1113" s="610"/>
      <c r="H1113" s="610"/>
      <c r="I1113" s="610"/>
      <c r="P1113" s="610"/>
      <c r="Q1113" s="610"/>
      <c r="R1113" s="610"/>
    </row>
    <row r="1114">
      <c r="A1114" s="610"/>
      <c r="H1114" s="610"/>
      <c r="I1114" s="610"/>
      <c r="P1114" s="610"/>
      <c r="Q1114" s="610"/>
      <c r="R1114" s="610"/>
    </row>
    <row r="1115">
      <c r="A1115" s="610"/>
      <c r="H1115" s="610"/>
      <c r="I1115" s="610"/>
      <c r="P1115" s="610"/>
      <c r="Q1115" s="610"/>
      <c r="R1115" s="610"/>
    </row>
    <row r="1116">
      <c r="A1116" s="610"/>
      <c r="H1116" s="610"/>
      <c r="I1116" s="610"/>
      <c r="P1116" s="610"/>
      <c r="Q1116" s="610"/>
      <c r="R1116" s="610"/>
    </row>
    <row r="1117">
      <c r="A1117" s="610"/>
      <c r="H1117" s="610"/>
      <c r="I1117" s="610"/>
      <c r="P1117" s="610"/>
      <c r="Q1117" s="610"/>
      <c r="R1117" s="610"/>
    </row>
    <row r="1118">
      <c r="A1118" s="610"/>
      <c r="H1118" s="610"/>
      <c r="I1118" s="610"/>
      <c r="P1118" s="610"/>
      <c r="Q1118" s="610"/>
      <c r="R1118" s="610"/>
    </row>
    <row r="1119">
      <c r="A1119" s="610"/>
      <c r="H1119" s="610"/>
      <c r="I1119" s="610"/>
      <c r="P1119" s="610"/>
      <c r="Q1119" s="610"/>
      <c r="R1119" s="610"/>
    </row>
    <row r="1120">
      <c r="A1120" s="610"/>
      <c r="H1120" s="610"/>
      <c r="I1120" s="610"/>
      <c r="P1120" s="610"/>
      <c r="Q1120" s="610"/>
      <c r="R1120" s="610"/>
    </row>
    <row r="1121">
      <c r="A1121" s="610"/>
      <c r="H1121" s="610"/>
      <c r="I1121" s="610"/>
      <c r="P1121" s="610"/>
      <c r="Q1121" s="610"/>
      <c r="R1121" s="610"/>
    </row>
    <row r="1122">
      <c r="A1122" s="610"/>
      <c r="H1122" s="610"/>
      <c r="I1122" s="610"/>
      <c r="P1122" s="610"/>
      <c r="Q1122" s="610"/>
      <c r="R1122" s="610"/>
    </row>
    <row r="1123">
      <c r="A1123" s="610"/>
      <c r="H1123" s="610"/>
      <c r="I1123" s="610"/>
      <c r="P1123" s="610"/>
      <c r="Q1123" s="610"/>
      <c r="R1123" s="610"/>
    </row>
    <row r="1124">
      <c r="A1124" s="610"/>
      <c r="H1124" s="610"/>
      <c r="I1124" s="610"/>
      <c r="P1124" s="610"/>
      <c r="Q1124" s="610"/>
      <c r="R1124" s="610"/>
    </row>
    <row r="1125">
      <c r="A1125" s="610"/>
      <c r="H1125" s="610"/>
      <c r="I1125" s="610"/>
      <c r="P1125" s="610"/>
      <c r="Q1125" s="610"/>
      <c r="R1125" s="610"/>
    </row>
    <row r="1126">
      <c r="A1126" s="610"/>
      <c r="H1126" s="610"/>
      <c r="I1126" s="610"/>
      <c r="P1126" s="610"/>
      <c r="Q1126" s="610"/>
      <c r="R1126" s="610"/>
    </row>
    <row r="1127">
      <c r="A1127" s="610"/>
      <c r="H1127" s="610"/>
      <c r="I1127" s="610"/>
      <c r="P1127" s="610"/>
      <c r="Q1127" s="610"/>
      <c r="R1127" s="610"/>
    </row>
    <row r="1128">
      <c r="A1128" s="610"/>
      <c r="H1128" s="610"/>
      <c r="I1128" s="610"/>
      <c r="P1128" s="610"/>
      <c r="Q1128" s="610"/>
      <c r="R1128" s="610"/>
    </row>
    <row r="1129">
      <c r="A1129" s="610"/>
      <c r="H1129" s="610"/>
      <c r="I1129" s="610"/>
      <c r="P1129" s="610"/>
      <c r="Q1129" s="610"/>
      <c r="R1129" s="610"/>
    </row>
    <row r="1130">
      <c r="A1130" s="610"/>
      <c r="H1130" s="610"/>
      <c r="I1130" s="610"/>
      <c r="P1130" s="610"/>
      <c r="Q1130" s="610"/>
      <c r="R1130" s="610"/>
    </row>
    <row r="1131">
      <c r="A1131" s="610"/>
      <c r="H1131" s="610"/>
      <c r="I1131" s="610"/>
      <c r="P1131" s="610"/>
      <c r="Q1131" s="610"/>
      <c r="R1131" s="610"/>
    </row>
    <row r="1132">
      <c r="A1132" s="610"/>
      <c r="H1132" s="610"/>
      <c r="I1132" s="610"/>
      <c r="P1132" s="610"/>
      <c r="Q1132" s="610"/>
      <c r="R1132" s="610"/>
    </row>
    <row r="1133">
      <c r="A1133" s="610"/>
      <c r="H1133" s="610"/>
      <c r="I1133" s="610"/>
      <c r="P1133" s="610"/>
      <c r="Q1133" s="610"/>
      <c r="R1133" s="610"/>
    </row>
    <row r="1134">
      <c r="A1134" s="610"/>
      <c r="H1134" s="610"/>
      <c r="I1134" s="610"/>
      <c r="P1134" s="610"/>
      <c r="Q1134" s="610"/>
      <c r="R1134" s="610"/>
    </row>
    <row r="1135">
      <c r="A1135" s="610"/>
      <c r="H1135" s="610"/>
      <c r="I1135" s="610"/>
      <c r="P1135" s="610"/>
      <c r="Q1135" s="610"/>
      <c r="R1135" s="610"/>
    </row>
    <row r="1136">
      <c r="A1136" s="610"/>
      <c r="H1136" s="610"/>
      <c r="I1136" s="610"/>
      <c r="P1136" s="610"/>
      <c r="Q1136" s="610"/>
      <c r="R1136" s="610"/>
    </row>
    <row r="1137">
      <c r="A1137" s="610"/>
      <c r="H1137" s="610"/>
      <c r="I1137" s="610"/>
      <c r="P1137" s="610"/>
      <c r="Q1137" s="610"/>
      <c r="R1137" s="610"/>
    </row>
    <row r="1138">
      <c r="A1138" s="610"/>
      <c r="H1138" s="610"/>
      <c r="I1138" s="610"/>
      <c r="P1138" s="610"/>
      <c r="Q1138" s="610"/>
      <c r="R1138" s="610"/>
    </row>
    <row r="1139">
      <c r="A1139" s="610"/>
      <c r="H1139" s="610"/>
      <c r="I1139" s="610"/>
      <c r="P1139" s="610"/>
      <c r="Q1139" s="610"/>
      <c r="R1139" s="610"/>
    </row>
    <row r="1140">
      <c r="A1140" s="610"/>
      <c r="H1140" s="610"/>
      <c r="I1140" s="610"/>
      <c r="P1140" s="610"/>
      <c r="Q1140" s="610"/>
      <c r="R1140" s="610"/>
    </row>
    <row r="1141">
      <c r="A1141" s="610"/>
      <c r="H1141" s="610"/>
      <c r="I1141" s="610"/>
      <c r="P1141" s="610"/>
      <c r="Q1141" s="610"/>
      <c r="R1141" s="610"/>
    </row>
    <row r="1142">
      <c r="A1142" s="610"/>
      <c r="H1142" s="610"/>
      <c r="I1142" s="610"/>
      <c r="P1142" s="610"/>
      <c r="Q1142" s="610"/>
      <c r="R1142" s="610"/>
    </row>
    <row r="1143">
      <c r="A1143" s="610"/>
      <c r="H1143" s="610"/>
      <c r="I1143" s="610"/>
      <c r="P1143" s="610"/>
      <c r="Q1143" s="610"/>
      <c r="R1143" s="610"/>
    </row>
    <row r="1144">
      <c r="A1144" s="610"/>
      <c r="H1144" s="610"/>
      <c r="I1144" s="610"/>
      <c r="P1144" s="610"/>
      <c r="Q1144" s="610"/>
      <c r="R1144" s="610"/>
    </row>
    <row r="1145">
      <c r="A1145" s="610"/>
      <c r="H1145" s="610"/>
      <c r="I1145" s="610"/>
      <c r="P1145" s="610"/>
      <c r="Q1145" s="610"/>
      <c r="R1145" s="610"/>
    </row>
    <row r="1146">
      <c r="A1146" s="610"/>
      <c r="H1146" s="610"/>
      <c r="I1146" s="610"/>
      <c r="P1146" s="610"/>
      <c r="Q1146" s="610"/>
      <c r="R1146" s="610"/>
    </row>
    <row r="1147">
      <c r="A1147" s="610"/>
      <c r="H1147" s="610"/>
      <c r="I1147" s="610"/>
      <c r="P1147" s="610"/>
      <c r="Q1147" s="610"/>
      <c r="R1147" s="610"/>
    </row>
    <row r="1148">
      <c r="A1148" s="610"/>
      <c r="H1148" s="610"/>
      <c r="I1148" s="610"/>
      <c r="P1148" s="610"/>
      <c r="Q1148" s="610"/>
      <c r="R1148" s="610"/>
    </row>
    <row r="1149">
      <c r="A1149" s="610"/>
      <c r="H1149" s="610"/>
      <c r="I1149" s="610"/>
      <c r="P1149" s="610"/>
      <c r="Q1149" s="610"/>
      <c r="R1149" s="610"/>
    </row>
    <row r="1150">
      <c r="A1150" s="610"/>
      <c r="H1150" s="610"/>
      <c r="I1150" s="610"/>
      <c r="P1150" s="610"/>
      <c r="Q1150" s="610"/>
      <c r="R1150" s="610"/>
    </row>
    <row r="1151">
      <c r="A1151" s="610"/>
      <c r="H1151" s="610"/>
      <c r="I1151" s="610"/>
      <c r="P1151" s="610"/>
      <c r="Q1151" s="610"/>
      <c r="R1151" s="610"/>
    </row>
    <row r="1152">
      <c r="A1152" s="610"/>
      <c r="H1152" s="610"/>
      <c r="I1152" s="610"/>
      <c r="P1152" s="610"/>
      <c r="Q1152" s="610"/>
      <c r="R1152" s="610"/>
    </row>
    <row r="1153">
      <c r="A1153" s="610"/>
      <c r="H1153" s="610"/>
      <c r="I1153" s="610"/>
      <c r="P1153" s="610"/>
      <c r="Q1153" s="610"/>
      <c r="R1153" s="610"/>
    </row>
    <row r="1154">
      <c r="A1154" s="610"/>
      <c r="H1154" s="610"/>
      <c r="I1154" s="610"/>
      <c r="P1154" s="610"/>
      <c r="Q1154" s="610"/>
      <c r="R1154" s="610"/>
    </row>
    <row r="1155">
      <c r="A1155" s="610"/>
      <c r="H1155" s="610"/>
      <c r="I1155" s="610"/>
      <c r="P1155" s="610"/>
      <c r="Q1155" s="610"/>
      <c r="R1155" s="610"/>
    </row>
    <row r="1156">
      <c r="A1156" s="610"/>
      <c r="H1156" s="610"/>
      <c r="I1156" s="610"/>
      <c r="P1156" s="610"/>
      <c r="Q1156" s="610"/>
      <c r="R1156" s="610"/>
    </row>
    <row r="1157">
      <c r="A1157" s="610"/>
      <c r="H1157" s="610"/>
      <c r="I1157" s="610"/>
      <c r="P1157" s="610"/>
      <c r="Q1157" s="610"/>
      <c r="R1157" s="610"/>
    </row>
    <row r="1158">
      <c r="A1158" s="610"/>
      <c r="H1158" s="610"/>
      <c r="I1158" s="610"/>
      <c r="P1158" s="610"/>
      <c r="Q1158" s="610"/>
      <c r="R1158" s="610"/>
    </row>
    <row r="1159">
      <c r="A1159" s="610"/>
      <c r="H1159" s="610"/>
      <c r="I1159" s="610"/>
      <c r="P1159" s="610"/>
      <c r="Q1159" s="610"/>
      <c r="R1159" s="610"/>
    </row>
    <row r="1160">
      <c r="A1160" s="610"/>
      <c r="H1160" s="610"/>
      <c r="I1160" s="610"/>
      <c r="P1160" s="610"/>
      <c r="Q1160" s="610"/>
      <c r="R1160" s="610"/>
    </row>
    <row r="1161">
      <c r="A1161" s="610"/>
      <c r="H1161" s="610"/>
      <c r="I1161" s="610"/>
      <c r="P1161" s="610"/>
      <c r="Q1161" s="610"/>
      <c r="R1161" s="610"/>
    </row>
    <row r="1162">
      <c r="A1162" s="610"/>
      <c r="H1162" s="610"/>
      <c r="I1162" s="610"/>
      <c r="P1162" s="610"/>
      <c r="Q1162" s="610"/>
      <c r="R1162" s="610"/>
    </row>
    <row r="1163">
      <c r="A1163" s="610"/>
      <c r="H1163" s="610"/>
      <c r="I1163" s="610"/>
      <c r="P1163" s="610"/>
      <c r="Q1163" s="610"/>
      <c r="R1163" s="610"/>
    </row>
    <row r="1164">
      <c r="A1164" s="610"/>
      <c r="H1164" s="610"/>
      <c r="I1164" s="610"/>
      <c r="P1164" s="610"/>
      <c r="Q1164" s="610"/>
      <c r="R1164" s="610"/>
    </row>
    <row r="1165">
      <c r="A1165" s="610"/>
      <c r="H1165" s="610"/>
      <c r="I1165" s="610"/>
      <c r="P1165" s="610"/>
      <c r="Q1165" s="610"/>
      <c r="R1165" s="610"/>
    </row>
    <row r="1166">
      <c r="A1166" s="610"/>
      <c r="H1166" s="610"/>
      <c r="I1166" s="610"/>
      <c r="P1166" s="610"/>
      <c r="Q1166" s="610"/>
      <c r="R1166" s="610"/>
    </row>
    <row r="1167">
      <c r="A1167" s="610"/>
      <c r="H1167" s="610"/>
      <c r="I1167" s="610"/>
      <c r="P1167" s="610"/>
      <c r="Q1167" s="610"/>
      <c r="R1167" s="610"/>
    </row>
    <row r="1168">
      <c r="A1168" s="610"/>
      <c r="H1168" s="610"/>
      <c r="I1168" s="610"/>
      <c r="P1168" s="610"/>
      <c r="Q1168" s="610"/>
      <c r="R1168" s="610"/>
    </row>
    <row r="1169">
      <c r="A1169" s="610"/>
      <c r="H1169" s="610"/>
      <c r="I1169" s="610"/>
      <c r="P1169" s="610"/>
      <c r="Q1169" s="610"/>
      <c r="R1169" s="610"/>
    </row>
    <row r="1170">
      <c r="A1170" s="610"/>
      <c r="H1170" s="610"/>
      <c r="I1170" s="610"/>
      <c r="P1170" s="610"/>
      <c r="Q1170" s="610"/>
      <c r="R1170" s="610"/>
    </row>
    <row r="1171">
      <c r="A1171" s="610"/>
      <c r="H1171" s="610"/>
      <c r="I1171" s="610"/>
      <c r="P1171" s="610"/>
      <c r="Q1171" s="610"/>
      <c r="R1171" s="610"/>
    </row>
    <row r="1172">
      <c r="A1172" s="610"/>
      <c r="H1172" s="610"/>
      <c r="I1172" s="610"/>
      <c r="P1172" s="610"/>
      <c r="Q1172" s="610"/>
      <c r="R1172" s="610"/>
    </row>
    <row r="1173">
      <c r="A1173" s="610"/>
      <c r="H1173" s="610"/>
      <c r="I1173" s="610"/>
      <c r="P1173" s="610"/>
      <c r="Q1173" s="610"/>
      <c r="R1173" s="610"/>
    </row>
    <row r="1174">
      <c r="A1174" s="610"/>
      <c r="H1174" s="610"/>
      <c r="I1174" s="610"/>
      <c r="P1174" s="610"/>
      <c r="Q1174" s="610"/>
      <c r="R1174" s="610"/>
    </row>
    <row r="1175">
      <c r="A1175" s="610"/>
      <c r="H1175" s="610"/>
      <c r="I1175" s="610"/>
      <c r="P1175" s="610"/>
      <c r="Q1175" s="610"/>
      <c r="R1175" s="610"/>
    </row>
    <row r="1176">
      <c r="A1176" s="610"/>
      <c r="H1176" s="610"/>
      <c r="I1176" s="610"/>
      <c r="P1176" s="610"/>
      <c r="Q1176" s="610"/>
      <c r="R1176" s="610"/>
    </row>
    <row r="1177">
      <c r="A1177" s="610"/>
      <c r="H1177" s="610"/>
      <c r="I1177" s="610"/>
      <c r="P1177" s="610"/>
      <c r="Q1177" s="610"/>
      <c r="R1177" s="610"/>
    </row>
    <row r="1178">
      <c r="A1178" s="610"/>
      <c r="H1178" s="610"/>
      <c r="I1178" s="610"/>
      <c r="P1178" s="610"/>
      <c r="Q1178" s="610"/>
      <c r="R1178" s="610"/>
    </row>
    <row r="1179">
      <c r="A1179" s="610"/>
      <c r="H1179" s="610"/>
      <c r="I1179" s="610"/>
      <c r="P1179" s="610"/>
      <c r="Q1179" s="610"/>
      <c r="R1179" s="610"/>
    </row>
    <row r="1180">
      <c r="A1180" s="610"/>
      <c r="H1180" s="610"/>
      <c r="I1180" s="610"/>
      <c r="P1180" s="610"/>
      <c r="Q1180" s="610"/>
      <c r="R1180" s="610"/>
    </row>
    <row r="1181">
      <c r="A1181" s="610"/>
      <c r="H1181" s="610"/>
      <c r="I1181" s="610"/>
      <c r="P1181" s="610"/>
      <c r="Q1181" s="610"/>
      <c r="R1181" s="610"/>
    </row>
    <row r="1182">
      <c r="A1182" s="610"/>
      <c r="H1182" s="610"/>
      <c r="I1182" s="610"/>
      <c r="P1182" s="610"/>
      <c r="Q1182" s="610"/>
      <c r="R1182" s="610"/>
    </row>
    <row r="1183">
      <c r="A1183" s="610"/>
      <c r="H1183" s="610"/>
      <c r="I1183" s="610"/>
      <c r="P1183" s="610"/>
      <c r="Q1183" s="610"/>
      <c r="R1183" s="610"/>
    </row>
    <row r="1184">
      <c r="A1184" s="610"/>
      <c r="H1184" s="610"/>
      <c r="I1184" s="610"/>
      <c r="P1184" s="610"/>
      <c r="Q1184" s="610"/>
      <c r="R1184" s="610"/>
    </row>
    <row r="1185">
      <c r="A1185" s="610"/>
      <c r="H1185" s="610"/>
      <c r="I1185" s="610"/>
      <c r="P1185" s="610"/>
      <c r="Q1185" s="610"/>
      <c r="R1185" s="610"/>
    </row>
    <row r="1186">
      <c r="A1186" s="610"/>
      <c r="H1186" s="610"/>
      <c r="I1186" s="610"/>
      <c r="P1186" s="610"/>
      <c r="Q1186" s="610"/>
      <c r="R1186" s="610"/>
    </row>
    <row r="1187">
      <c r="A1187" s="610"/>
      <c r="H1187" s="610"/>
      <c r="I1187" s="610"/>
      <c r="P1187" s="610"/>
      <c r="Q1187" s="610"/>
      <c r="R1187" s="610"/>
    </row>
    <row r="1188">
      <c r="A1188" s="610"/>
      <c r="H1188" s="610"/>
      <c r="I1188" s="610"/>
      <c r="P1188" s="610"/>
      <c r="Q1188" s="610"/>
      <c r="R1188" s="610"/>
    </row>
    <row r="1189">
      <c r="A1189" s="610"/>
      <c r="H1189" s="610"/>
      <c r="I1189" s="610"/>
      <c r="P1189" s="610"/>
      <c r="Q1189" s="610"/>
      <c r="R1189" s="610"/>
    </row>
    <row r="1190">
      <c r="A1190" s="610"/>
      <c r="H1190" s="610"/>
      <c r="I1190" s="610"/>
      <c r="P1190" s="610"/>
      <c r="Q1190" s="610"/>
      <c r="R1190" s="610"/>
    </row>
    <row r="1191">
      <c r="A1191" s="610"/>
      <c r="H1191" s="610"/>
      <c r="I1191" s="610"/>
      <c r="P1191" s="610"/>
      <c r="Q1191" s="610"/>
      <c r="R1191" s="610"/>
    </row>
    <row r="1192">
      <c r="A1192" s="610"/>
      <c r="H1192" s="610"/>
      <c r="I1192" s="610"/>
      <c r="P1192" s="610"/>
      <c r="Q1192" s="610"/>
      <c r="R1192" s="610"/>
    </row>
    <row r="1193">
      <c r="A1193" s="610"/>
      <c r="H1193" s="610"/>
      <c r="I1193" s="610"/>
      <c r="P1193" s="610"/>
      <c r="Q1193" s="610"/>
      <c r="R1193" s="610"/>
    </row>
    <row r="1194">
      <c r="A1194" s="610"/>
      <c r="H1194" s="610"/>
      <c r="I1194" s="610"/>
      <c r="P1194" s="610"/>
      <c r="Q1194" s="610"/>
      <c r="R1194" s="610"/>
    </row>
    <row r="1195">
      <c r="A1195" s="610"/>
      <c r="H1195" s="610"/>
      <c r="I1195" s="610"/>
      <c r="P1195" s="610"/>
      <c r="Q1195" s="610"/>
      <c r="R1195" s="610"/>
    </row>
    <row r="1196">
      <c r="A1196" s="610"/>
      <c r="H1196" s="610"/>
      <c r="I1196" s="610"/>
      <c r="P1196" s="610"/>
      <c r="Q1196" s="610"/>
      <c r="R1196" s="610"/>
    </row>
    <row r="1197">
      <c r="A1197" s="610"/>
      <c r="H1197" s="610"/>
      <c r="I1197" s="610"/>
      <c r="P1197" s="610"/>
      <c r="Q1197" s="610"/>
      <c r="R1197" s="610"/>
    </row>
    <row r="1198">
      <c r="A1198" s="610"/>
      <c r="H1198" s="610"/>
      <c r="I1198" s="610"/>
      <c r="P1198" s="610"/>
      <c r="Q1198" s="610"/>
      <c r="R1198" s="610"/>
    </row>
    <row r="1199">
      <c r="A1199" s="610"/>
      <c r="H1199" s="610"/>
      <c r="I1199" s="610"/>
      <c r="P1199" s="610"/>
      <c r="Q1199" s="610"/>
      <c r="R1199" s="610"/>
    </row>
    <row r="1200">
      <c r="A1200" s="610"/>
      <c r="H1200" s="610"/>
      <c r="I1200" s="610"/>
      <c r="P1200" s="610"/>
      <c r="Q1200" s="610"/>
      <c r="R1200" s="610"/>
    </row>
    <row r="1201">
      <c r="A1201" s="610"/>
      <c r="H1201" s="610"/>
      <c r="I1201" s="610"/>
      <c r="P1201" s="610"/>
      <c r="Q1201" s="610"/>
      <c r="R1201" s="610"/>
    </row>
    <row r="1202">
      <c r="A1202" s="610"/>
      <c r="H1202" s="610"/>
      <c r="I1202" s="610"/>
      <c r="P1202" s="610"/>
      <c r="Q1202" s="610"/>
      <c r="R1202" s="610"/>
    </row>
    <row r="1203">
      <c r="A1203" s="610"/>
      <c r="H1203" s="610"/>
      <c r="I1203" s="610"/>
      <c r="P1203" s="610"/>
      <c r="Q1203" s="610"/>
      <c r="R1203" s="610"/>
    </row>
    <row r="1204">
      <c r="A1204" s="610"/>
      <c r="H1204" s="610"/>
      <c r="I1204" s="610"/>
      <c r="P1204" s="610"/>
      <c r="Q1204" s="610"/>
      <c r="R1204" s="610"/>
    </row>
    <row r="1205">
      <c r="A1205" s="610"/>
      <c r="H1205" s="610"/>
      <c r="I1205" s="610"/>
      <c r="P1205" s="610"/>
      <c r="Q1205" s="610"/>
      <c r="R1205" s="610"/>
    </row>
    <row r="1206">
      <c r="A1206" s="610"/>
      <c r="H1206" s="610"/>
      <c r="I1206" s="610"/>
      <c r="P1206" s="610"/>
      <c r="Q1206" s="610"/>
      <c r="R1206" s="610"/>
    </row>
    <row r="1207">
      <c r="A1207" s="610"/>
      <c r="H1207" s="610"/>
      <c r="I1207" s="610"/>
      <c r="P1207" s="610"/>
      <c r="Q1207" s="610"/>
      <c r="R1207" s="610"/>
    </row>
    <row r="1208">
      <c r="A1208" s="610"/>
      <c r="H1208" s="610"/>
      <c r="I1208" s="610"/>
      <c r="P1208" s="610"/>
      <c r="Q1208" s="610"/>
      <c r="R1208" s="610"/>
    </row>
    <row r="1209">
      <c r="A1209" s="610"/>
      <c r="H1209" s="610"/>
      <c r="I1209" s="610"/>
      <c r="P1209" s="610"/>
      <c r="Q1209" s="610"/>
      <c r="R1209" s="610"/>
    </row>
    <row r="1210">
      <c r="A1210" s="610"/>
      <c r="H1210" s="610"/>
      <c r="I1210" s="610"/>
      <c r="P1210" s="610"/>
      <c r="Q1210" s="610"/>
      <c r="R1210" s="610"/>
    </row>
    <row r="1211">
      <c r="A1211" s="610"/>
      <c r="H1211" s="610"/>
      <c r="I1211" s="610"/>
      <c r="P1211" s="610"/>
      <c r="Q1211" s="610"/>
      <c r="R1211" s="610"/>
    </row>
    <row r="1212">
      <c r="A1212" s="610"/>
      <c r="H1212" s="610"/>
      <c r="I1212" s="610"/>
      <c r="P1212" s="610"/>
      <c r="Q1212" s="610"/>
      <c r="R1212" s="610"/>
    </row>
    <row r="1213">
      <c r="A1213" s="610"/>
      <c r="H1213" s="610"/>
      <c r="I1213" s="610"/>
      <c r="P1213" s="610"/>
      <c r="Q1213" s="610"/>
      <c r="R1213" s="610"/>
    </row>
    <row r="1214">
      <c r="A1214" s="610"/>
      <c r="H1214" s="610"/>
      <c r="I1214" s="610"/>
      <c r="P1214" s="610"/>
      <c r="Q1214" s="610"/>
      <c r="R1214" s="610"/>
    </row>
    <row r="1215">
      <c r="A1215" s="610"/>
      <c r="H1215" s="610"/>
      <c r="I1215" s="610"/>
      <c r="P1215" s="610"/>
      <c r="Q1215" s="610"/>
      <c r="R1215" s="610"/>
    </row>
    <row r="1216">
      <c r="A1216" s="610"/>
      <c r="H1216" s="610"/>
      <c r="I1216" s="610"/>
      <c r="P1216" s="610"/>
      <c r="Q1216" s="610"/>
      <c r="R1216" s="610"/>
    </row>
    <row r="1217">
      <c r="A1217" s="610"/>
      <c r="H1217" s="610"/>
      <c r="I1217" s="610"/>
      <c r="P1217" s="610"/>
      <c r="Q1217" s="610"/>
      <c r="R1217" s="610"/>
    </row>
    <row r="1218">
      <c r="A1218" s="610"/>
      <c r="H1218" s="610"/>
      <c r="I1218" s="610"/>
      <c r="P1218" s="610"/>
      <c r="Q1218" s="610"/>
      <c r="R1218" s="610"/>
    </row>
    <row r="1219">
      <c r="A1219" s="610"/>
      <c r="H1219" s="610"/>
      <c r="I1219" s="610"/>
      <c r="P1219" s="610"/>
      <c r="Q1219" s="610"/>
      <c r="R1219" s="610"/>
    </row>
    <row r="1220">
      <c r="A1220" s="610"/>
      <c r="H1220" s="610"/>
      <c r="I1220" s="610"/>
      <c r="P1220" s="610"/>
      <c r="Q1220" s="610"/>
      <c r="R1220" s="610"/>
    </row>
    <row r="1221">
      <c r="A1221" s="610"/>
      <c r="H1221" s="610"/>
      <c r="I1221" s="610"/>
      <c r="P1221" s="610"/>
      <c r="Q1221" s="610"/>
      <c r="R1221" s="610"/>
    </row>
    <row r="1222">
      <c r="A1222" s="610"/>
      <c r="H1222" s="610"/>
      <c r="I1222" s="610"/>
      <c r="P1222" s="610"/>
      <c r="Q1222" s="610"/>
      <c r="R1222" s="610"/>
    </row>
    <row r="1223">
      <c r="A1223" s="610"/>
      <c r="H1223" s="610"/>
      <c r="I1223" s="610"/>
      <c r="P1223" s="610"/>
      <c r="Q1223" s="610"/>
      <c r="R1223" s="610"/>
    </row>
    <row r="1224">
      <c r="A1224" s="610"/>
      <c r="H1224" s="610"/>
      <c r="I1224" s="610"/>
      <c r="P1224" s="610"/>
      <c r="Q1224" s="610"/>
      <c r="R1224" s="610"/>
    </row>
    <row r="1225">
      <c r="A1225" s="610"/>
      <c r="H1225" s="610"/>
      <c r="I1225" s="610"/>
      <c r="P1225" s="610"/>
      <c r="Q1225" s="610"/>
      <c r="R1225" s="610"/>
    </row>
    <row r="1226">
      <c r="A1226" s="610"/>
      <c r="H1226" s="610"/>
      <c r="I1226" s="610"/>
      <c r="P1226" s="610"/>
      <c r="Q1226" s="610"/>
      <c r="R1226" s="610"/>
    </row>
    <row r="1227">
      <c r="A1227" s="610"/>
      <c r="H1227" s="610"/>
      <c r="I1227" s="610"/>
      <c r="P1227" s="610"/>
      <c r="Q1227" s="610"/>
      <c r="R1227" s="610"/>
    </row>
    <row r="1228">
      <c r="A1228" s="610"/>
      <c r="H1228" s="610"/>
      <c r="I1228" s="610"/>
      <c r="P1228" s="610"/>
      <c r="Q1228" s="610"/>
      <c r="R1228" s="610"/>
    </row>
    <row r="1229">
      <c r="A1229" s="610"/>
      <c r="H1229" s="610"/>
      <c r="I1229" s="610"/>
      <c r="P1229" s="610"/>
      <c r="Q1229" s="610"/>
      <c r="R1229" s="610"/>
    </row>
    <row r="1230">
      <c r="A1230" s="610"/>
      <c r="H1230" s="610"/>
      <c r="I1230" s="610"/>
      <c r="P1230" s="610"/>
      <c r="Q1230" s="610"/>
      <c r="R1230" s="610"/>
    </row>
    <row r="1231">
      <c r="A1231" s="610"/>
      <c r="H1231" s="610"/>
      <c r="I1231" s="610"/>
      <c r="P1231" s="610"/>
      <c r="Q1231" s="610"/>
      <c r="R1231" s="610"/>
    </row>
    <row r="1232">
      <c r="A1232" s="610"/>
      <c r="H1232" s="610"/>
      <c r="I1232" s="610"/>
      <c r="P1232" s="610"/>
      <c r="Q1232" s="610"/>
      <c r="R1232" s="610"/>
    </row>
    <row r="1233">
      <c r="A1233" s="610"/>
      <c r="H1233" s="610"/>
      <c r="I1233" s="610"/>
      <c r="P1233" s="610"/>
      <c r="Q1233" s="610"/>
      <c r="R1233" s="610"/>
    </row>
    <row r="1234">
      <c r="A1234" s="610"/>
      <c r="H1234" s="610"/>
      <c r="I1234" s="610"/>
      <c r="P1234" s="610"/>
      <c r="Q1234" s="610"/>
      <c r="R1234" s="610"/>
    </row>
    <row r="1235">
      <c r="A1235" s="610"/>
      <c r="H1235" s="610"/>
      <c r="I1235" s="610"/>
      <c r="P1235" s="610"/>
      <c r="Q1235" s="610"/>
      <c r="R1235" s="610"/>
    </row>
    <row r="1236">
      <c r="A1236" s="610"/>
      <c r="H1236" s="610"/>
      <c r="I1236" s="610"/>
      <c r="P1236" s="610"/>
      <c r="Q1236" s="610"/>
      <c r="R1236" s="610"/>
    </row>
    <row r="1237">
      <c r="A1237" s="610"/>
      <c r="H1237" s="610"/>
      <c r="I1237" s="610"/>
      <c r="P1237" s="610"/>
      <c r="Q1237" s="610"/>
      <c r="R1237" s="610"/>
    </row>
    <row r="1238">
      <c r="A1238" s="610"/>
      <c r="H1238" s="610"/>
      <c r="I1238" s="610"/>
      <c r="P1238" s="610"/>
      <c r="Q1238" s="610"/>
      <c r="R1238" s="610"/>
    </row>
    <row r="1239">
      <c r="A1239" s="610"/>
      <c r="H1239" s="610"/>
      <c r="I1239" s="610"/>
      <c r="P1239" s="610"/>
      <c r="Q1239" s="610"/>
      <c r="R1239" s="610"/>
    </row>
    <row r="1240">
      <c r="A1240" s="610"/>
      <c r="H1240" s="610"/>
      <c r="I1240" s="610"/>
      <c r="P1240" s="610"/>
      <c r="Q1240" s="610"/>
      <c r="R1240" s="610"/>
    </row>
    <row r="1241">
      <c r="A1241" s="610"/>
      <c r="H1241" s="610"/>
      <c r="I1241" s="610"/>
      <c r="P1241" s="610"/>
      <c r="Q1241" s="610"/>
      <c r="R1241" s="610"/>
    </row>
    <row r="1242">
      <c r="A1242" s="610"/>
      <c r="H1242" s="610"/>
      <c r="I1242" s="610"/>
      <c r="P1242" s="610"/>
      <c r="Q1242" s="610"/>
      <c r="R1242" s="610"/>
    </row>
    <row r="1243">
      <c r="A1243" s="610"/>
      <c r="H1243" s="610"/>
      <c r="I1243" s="610"/>
      <c r="P1243" s="610"/>
      <c r="Q1243" s="610"/>
      <c r="R1243" s="610"/>
    </row>
    <row r="1244">
      <c r="A1244" s="610"/>
      <c r="H1244" s="610"/>
      <c r="I1244" s="610"/>
      <c r="P1244" s="610"/>
      <c r="Q1244" s="610"/>
      <c r="R1244" s="610"/>
    </row>
    <row r="1245">
      <c r="A1245" s="610"/>
      <c r="H1245" s="610"/>
      <c r="I1245" s="610"/>
      <c r="P1245" s="610"/>
      <c r="Q1245" s="610"/>
      <c r="R1245" s="610"/>
    </row>
    <row r="1246">
      <c r="A1246" s="610"/>
      <c r="H1246" s="610"/>
      <c r="I1246" s="610"/>
      <c r="P1246" s="610"/>
      <c r="Q1246" s="610"/>
      <c r="R1246" s="610"/>
    </row>
    <row r="1247">
      <c r="A1247" s="610"/>
      <c r="H1247" s="610"/>
      <c r="I1247" s="610"/>
      <c r="P1247" s="610"/>
      <c r="Q1247" s="610"/>
      <c r="R1247" s="610"/>
    </row>
    <row r="1248">
      <c r="A1248" s="610"/>
      <c r="H1248" s="610"/>
      <c r="I1248" s="610"/>
      <c r="P1248" s="610"/>
      <c r="Q1248" s="610"/>
      <c r="R1248" s="610"/>
    </row>
    <row r="1249">
      <c r="A1249" s="610"/>
      <c r="H1249" s="610"/>
      <c r="I1249" s="610"/>
      <c r="P1249" s="610"/>
      <c r="Q1249" s="610"/>
      <c r="R1249" s="610"/>
    </row>
    <row r="1250">
      <c r="A1250" s="610"/>
      <c r="H1250" s="610"/>
      <c r="I1250" s="610"/>
      <c r="P1250" s="610"/>
      <c r="Q1250" s="610"/>
      <c r="R1250" s="610"/>
    </row>
    <row r="1251">
      <c r="A1251" s="610"/>
      <c r="H1251" s="610"/>
      <c r="I1251" s="610"/>
      <c r="P1251" s="610"/>
      <c r="Q1251" s="610"/>
      <c r="R1251" s="610"/>
    </row>
    <row r="1252">
      <c r="A1252" s="610"/>
      <c r="H1252" s="610"/>
      <c r="I1252" s="610"/>
      <c r="P1252" s="610"/>
      <c r="Q1252" s="610"/>
      <c r="R1252" s="610"/>
    </row>
    <row r="1253">
      <c r="A1253" s="610"/>
      <c r="H1253" s="610"/>
      <c r="I1253" s="610"/>
      <c r="P1253" s="610"/>
      <c r="Q1253" s="610"/>
      <c r="R1253" s="610"/>
    </row>
    <row r="1254">
      <c r="A1254" s="610"/>
      <c r="H1254" s="610"/>
      <c r="I1254" s="610"/>
      <c r="P1254" s="610"/>
      <c r="Q1254" s="610"/>
      <c r="R1254" s="610"/>
    </row>
    <row r="1255">
      <c r="A1255" s="610"/>
      <c r="H1255" s="610"/>
      <c r="I1255" s="610"/>
      <c r="P1255" s="610"/>
      <c r="Q1255" s="610"/>
      <c r="R1255" s="610"/>
    </row>
    <row r="1256">
      <c r="A1256" s="610"/>
      <c r="H1256" s="610"/>
      <c r="I1256" s="610"/>
      <c r="P1256" s="610"/>
      <c r="Q1256" s="610"/>
      <c r="R1256" s="610"/>
    </row>
    <row r="1257">
      <c r="A1257" s="610"/>
      <c r="H1257" s="610"/>
      <c r="I1257" s="610"/>
      <c r="P1257" s="610"/>
      <c r="Q1257" s="610"/>
      <c r="R1257" s="610"/>
    </row>
    <row r="1258">
      <c r="A1258" s="610"/>
      <c r="H1258" s="610"/>
      <c r="I1258" s="610"/>
      <c r="P1258" s="610"/>
      <c r="Q1258" s="610"/>
      <c r="R1258" s="610"/>
    </row>
    <row r="1259">
      <c r="A1259" s="610"/>
      <c r="H1259" s="610"/>
      <c r="I1259" s="610"/>
      <c r="P1259" s="610"/>
      <c r="Q1259" s="610"/>
      <c r="R1259" s="610"/>
    </row>
    <row r="1260">
      <c r="A1260" s="610"/>
      <c r="H1260" s="610"/>
      <c r="I1260" s="610"/>
      <c r="P1260" s="610"/>
      <c r="Q1260" s="610"/>
      <c r="R1260" s="610"/>
    </row>
    <row r="1261">
      <c r="A1261" s="610"/>
      <c r="H1261" s="610"/>
      <c r="I1261" s="610"/>
      <c r="P1261" s="610"/>
      <c r="Q1261" s="610"/>
      <c r="R1261" s="610"/>
    </row>
    <row r="1262">
      <c r="A1262" s="610"/>
      <c r="H1262" s="610"/>
      <c r="I1262" s="610"/>
      <c r="P1262" s="610"/>
      <c r="Q1262" s="610"/>
      <c r="R1262" s="610"/>
    </row>
    <row r="1263">
      <c r="A1263" s="610"/>
      <c r="H1263" s="610"/>
      <c r="I1263" s="610"/>
      <c r="P1263" s="610"/>
      <c r="Q1263" s="610"/>
      <c r="R1263" s="610"/>
    </row>
    <row r="1264">
      <c r="A1264" s="610"/>
      <c r="H1264" s="610"/>
      <c r="I1264" s="610"/>
      <c r="P1264" s="610"/>
      <c r="Q1264" s="610"/>
      <c r="R1264" s="610"/>
    </row>
    <row r="1265">
      <c r="A1265" s="610"/>
      <c r="H1265" s="610"/>
      <c r="I1265" s="610"/>
      <c r="P1265" s="610"/>
      <c r="Q1265" s="610"/>
      <c r="R1265" s="610"/>
    </row>
    <row r="1266">
      <c r="A1266" s="610"/>
      <c r="H1266" s="610"/>
      <c r="I1266" s="610"/>
      <c r="P1266" s="610"/>
      <c r="Q1266" s="610"/>
      <c r="R1266" s="610"/>
    </row>
    <row r="1267">
      <c r="A1267" s="610"/>
      <c r="H1267" s="610"/>
      <c r="I1267" s="610"/>
      <c r="P1267" s="610"/>
      <c r="Q1267" s="610"/>
      <c r="R1267" s="610"/>
    </row>
    <row r="1268">
      <c r="A1268" s="610"/>
      <c r="H1268" s="610"/>
      <c r="I1268" s="610"/>
      <c r="P1268" s="610"/>
      <c r="Q1268" s="610"/>
      <c r="R1268" s="610"/>
    </row>
    <row r="1269">
      <c r="A1269" s="610"/>
      <c r="H1269" s="610"/>
      <c r="I1269" s="610"/>
      <c r="P1269" s="610"/>
      <c r="Q1269" s="610"/>
      <c r="R1269" s="610"/>
    </row>
    <row r="1270">
      <c r="A1270" s="610"/>
      <c r="H1270" s="610"/>
      <c r="I1270" s="610"/>
      <c r="P1270" s="610"/>
      <c r="Q1270" s="610"/>
      <c r="R1270" s="610"/>
    </row>
    <row r="1271">
      <c r="A1271" s="610"/>
      <c r="H1271" s="610"/>
      <c r="I1271" s="610"/>
      <c r="P1271" s="610"/>
      <c r="Q1271" s="610"/>
      <c r="R1271" s="610"/>
    </row>
    <row r="1272">
      <c r="A1272" s="610"/>
      <c r="H1272" s="610"/>
      <c r="I1272" s="610"/>
      <c r="P1272" s="610"/>
      <c r="Q1272" s="610"/>
      <c r="R1272" s="610"/>
    </row>
    <row r="1273">
      <c r="A1273" s="610"/>
      <c r="H1273" s="610"/>
      <c r="I1273" s="610"/>
      <c r="P1273" s="610"/>
      <c r="Q1273" s="610"/>
      <c r="R1273" s="610"/>
    </row>
    <row r="1274">
      <c r="A1274" s="610"/>
      <c r="H1274" s="610"/>
      <c r="I1274" s="610"/>
      <c r="P1274" s="610"/>
      <c r="Q1274" s="610"/>
      <c r="R1274" s="610"/>
    </row>
    <row r="1275">
      <c r="A1275" s="610"/>
      <c r="H1275" s="610"/>
      <c r="I1275" s="610"/>
      <c r="P1275" s="610"/>
      <c r="Q1275" s="610"/>
      <c r="R1275" s="610"/>
    </row>
    <row r="1276">
      <c r="A1276" s="610"/>
      <c r="H1276" s="610"/>
      <c r="I1276" s="610"/>
      <c r="P1276" s="610"/>
      <c r="Q1276" s="610"/>
      <c r="R1276" s="610"/>
    </row>
    <row r="1277">
      <c r="A1277" s="610"/>
      <c r="H1277" s="610"/>
      <c r="I1277" s="610"/>
      <c r="P1277" s="610"/>
      <c r="Q1277" s="610"/>
      <c r="R1277" s="610"/>
    </row>
    <row r="1278">
      <c r="A1278" s="610"/>
      <c r="H1278" s="610"/>
      <c r="I1278" s="610"/>
      <c r="P1278" s="610"/>
      <c r="Q1278" s="610"/>
      <c r="R1278" s="610"/>
    </row>
    <row r="1279">
      <c r="A1279" s="610"/>
      <c r="H1279" s="610"/>
      <c r="I1279" s="610"/>
      <c r="P1279" s="610"/>
      <c r="Q1279" s="610"/>
      <c r="R1279" s="610"/>
    </row>
    <row r="1280">
      <c r="A1280" s="610"/>
      <c r="H1280" s="610"/>
      <c r="I1280" s="610"/>
      <c r="P1280" s="610"/>
      <c r="Q1280" s="610"/>
      <c r="R1280" s="610"/>
    </row>
    <row r="1281">
      <c r="A1281" s="610"/>
      <c r="H1281" s="610"/>
      <c r="I1281" s="610"/>
      <c r="P1281" s="610"/>
      <c r="Q1281" s="610"/>
      <c r="R1281" s="610"/>
    </row>
    <row r="1282">
      <c r="A1282" s="610"/>
      <c r="H1282" s="610"/>
      <c r="I1282" s="610"/>
      <c r="P1282" s="610"/>
      <c r="Q1282" s="610"/>
      <c r="R1282" s="610"/>
    </row>
    <row r="1283">
      <c r="A1283" s="610"/>
      <c r="H1283" s="610"/>
      <c r="I1283" s="610"/>
      <c r="P1283" s="610"/>
      <c r="Q1283" s="610"/>
      <c r="R1283" s="610"/>
    </row>
    <row r="1284">
      <c r="A1284" s="610"/>
      <c r="H1284" s="610"/>
      <c r="I1284" s="610"/>
      <c r="P1284" s="610"/>
      <c r="Q1284" s="610"/>
      <c r="R1284" s="610"/>
    </row>
    <row r="1285">
      <c r="A1285" s="610"/>
      <c r="H1285" s="610"/>
      <c r="I1285" s="610"/>
      <c r="P1285" s="610"/>
      <c r="Q1285" s="610"/>
      <c r="R1285" s="610"/>
    </row>
    <row r="1286">
      <c r="A1286" s="610"/>
      <c r="H1286" s="610"/>
      <c r="I1286" s="610"/>
      <c r="P1286" s="610"/>
      <c r="Q1286" s="610"/>
      <c r="R1286" s="610"/>
    </row>
    <row r="1287">
      <c r="A1287" s="610"/>
      <c r="H1287" s="610"/>
      <c r="I1287" s="610"/>
      <c r="P1287" s="610"/>
      <c r="Q1287" s="610"/>
      <c r="R1287" s="610"/>
    </row>
    <row r="1288">
      <c r="A1288" s="610"/>
      <c r="H1288" s="610"/>
      <c r="I1288" s="610"/>
      <c r="P1288" s="610"/>
      <c r="Q1288" s="610"/>
      <c r="R1288" s="610"/>
    </row>
    <row r="1289">
      <c r="A1289" s="610"/>
      <c r="H1289" s="610"/>
      <c r="I1289" s="610"/>
      <c r="P1289" s="610"/>
      <c r="Q1289" s="610"/>
      <c r="R1289" s="610"/>
    </row>
    <row r="1290">
      <c r="A1290" s="610"/>
      <c r="H1290" s="610"/>
      <c r="I1290" s="610"/>
      <c r="P1290" s="610"/>
      <c r="Q1290" s="610"/>
      <c r="R1290" s="610"/>
    </row>
    <row r="1291">
      <c r="A1291" s="610"/>
      <c r="H1291" s="610"/>
      <c r="I1291" s="610"/>
      <c r="P1291" s="610"/>
      <c r="Q1291" s="610"/>
      <c r="R1291" s="610"/>
    </row>
    <row r="1292">
      <c r="A1292" s="610"/>
      <c r="H1292" s="610"/>
      <c r="I1292" s="610"/>
      <c r="P1292" s="610"/>
      <c r="Q1292" s="610"/>
      <c r="R1292" s="610"/>
    </row>
    <row r="1293">
      <c r="A1293" s="610"/>
      <c r="H1293" s="610"/>
      <c r="I1293" s="610"/>
      <c r="P1293" s="610"/>
      <c r="Q1293" s="610"/>
      <c r="R1293" s="610"/>
    </row>
    <row r="1294">
      <c r="A1294" s="610"/>
      <c r="H1294" s="610"/>
      <c r="I1294" s="610"/>
      <c r="P1294" s="610"/>
      <c r="Q1294" s="610"/>
      <c r="R1294" s="610"/>
    </row>
    <row r="1295">
      <c r="A1295" s="610"/>
      <c r="H1295" s="610"/>
      <c r="I1295" s="610"/>
      <c r="P1295" s="610"/>
      <c r="Q1295" s="610"/>
      <c r="R1295" s="610"/>
    </row>
    <row r="1296">
      <c r="A1296" s="610"/>
      <c r="H1296" s="610"/>
      <c r="I1296" s="610"/>
      <c r="P1296" s="610"/>
      <c r="Q1296" s="610"/>
      <c r="R1296" s="610"/>
    </row>
    <row r="1297">
      <c r="A1297" s="610"/>
      <c r="H1297" s="610"/>
      <c r="I1297" s="610"/>
      <c r="P1297" s="610"/>
      <c r="Q1297" s="610"/>
      <c r="R1297" s="610"/>
    </row>
    <row r="1298">
      <c r="A1298" s="610"/>
      <c r="H1298" s="610"/>
      <c r="I1298" s="610"/>
      <c r="P1298" s="610"/>
      <c r="Q1298" s="610"/>
      <c r="R1298" s="610"/>
    </row>
    <row r="1299">
      <c r="A1299" s="610"/>
      <c r="H1299" s="610"/>
      <c r="I1299" s="610"/>
      <c r="P1299" s="610"/>
      <c r="Q1299" s="610"/>
      <c r="R1299" s="610"/>
    </row>
    <row r="1300">
      <c r="A1300" s="610"/>
      <c r="H1300" s="610"/>
      <c r="I1300" s="610"/>
      <c r="P1300" s="610"/>
      <c r="Q1300" s="610"/>
      <c r="R1300" s="610"/>
    </row>
    <row r="1301">
      <c r="A1301" s="610"/>
      <c r="H1301" s="610"/>
      <c r="I1301" s="610"/>
      <c r="P1301" s="610"/>
      <c r="Q1301" s="610"/>
      <c r="R1301" s="610"/>
    </row>
    <row r="1302">
      <c r="A1302" s="610"/>
      <c r="H1302" s="610"/>
      <c r="I1302" s="610"/>
      <c r="P1302" s="610"/>
      <c r="Q1302" s="610"/>
      <c r="R1302" s="610"/>
    </row>
    <row r="1303">
      <c r="A1303" s="610"/>
      <c r="H1303" s="610"/>
      <c r="I1303" s="610"/>
      <c r="P1303" s="610"/>
      <c r="Q1303" s="610"/>
      <c r="R1303" s="610"/>
    </row>
    <row r="1304">
      <c r="A1304" s="610"/>
      <c r="H1304" s="610"/>
      <c r="I1304" s="610"/>
      <c r="P1304" s="610"/>
      <c r="Q1304" s="610"/>
      <c r="R1304" s="610"/>
    </row>
    <row r="1305">
      <c r="A1305" s="610"/>
      <c r="H1305" s="610"/>
      <c r="I1305" s="610"/>
      <c r="P1305" s="610"/>
      <c r="Q1305" s="610"/>
      <c r="R1305" s="610"/>
    </row>
    <row r="1306">
      <c r="A1306" s="610"/>
      <c r="H1306" s="610"/>
      <c r="I1306" s="610"/>
      <c r="P1306" s="610"/>
      <c r="Q1306" s="610"/>
      <c r="R1306" s="610"/>
    </row>
    <row r="1307">
      <c r="A1307" s="610"/>
      <c r="H1307" s="610"/>
      <c r="I1307" s="610"/>
      <c r="P1307" s="610"/>
      <c r="Q1307" s="610"/>
      <c r="R1307" s="610"/>
    </row>
    <row r="1308">
      <c r="A1308" s="610"/>
      <c r="H1308" s="610"/>
      <c r="I1308" s="610"/>
      <c r="P1308" s="610"/>
      <c r="Q1308" s="610"/>
      <c r="R1308" s="610"/>
    </row>
    <row r="1309">
      <c r="A1309" s="610"/>
      <c r="H1309" s="610"/>
      <c r="I1309" s="610"/>
      <c r="P1309" s="610"/>
      <c r="Q1309" s="610"/>
      <c r="R1309" s="610"/>
    </row>
    <row r="1310">
      <c r="A1310" s="610"/>
      <c r="H1310" s="610"/>
      <c r="I1310" s="610"/>
      <c r="P1310" s="610"/>
      <c r="Q1310" s="610"/>
      <c r="R1310" s="610"/>
    </row>
    <row r="1311">
      <c r="A1311" s="610"/>
      <c r="H1311" s="610"/>
      <c r="I1311" s="610"/>
      <c r="P1311" s="610"/>
      <c r="Q1311" s="610"/>
      <c r="R1311" s="610"/>
    </row>
    <row r="1312">
      <c r="A1312" s="610"/>
      <c r="H1312" s="610"/>
      <c r="I1312" s="610"/>
      <c r="P1312" s="610"/>
      <c r="Q1312" s="610"/>
      <c r="R1312" s="610"/>
    </row>
    <row r="1313">
      <c r="A1313" s="610"/>
      <c r="H1313" s="610"/>
      <c r="I1313" s="610"/>
      <c r="P1313" s="610"/>
      <c r="Q1313" s="610"/>
      <c r="R1313" s="610"/>
    </row>
    <row r="1314">
      <c r="A1314" s="610"/>
      <c r="H1314" s="610"/>
      <c r="I1314" s="610"/>
      <c r="P1314" s="610"/>
      <c r="Q1314" s="610"/>
      <c r="R1314" s="610"/>
    </row>
    <row r="1315">
      <c r="A1315" s="610"/>
      <c r="H1315" s="610"/>
      <c r="I1315" s="610"/>
      <c r="P1315" s="610"/>
      <c r="Q1315" s="610"/>
      <c r="R1315" s="610"/>
    </row>
    <row r="1316">
      <c r="A1316" s="610"/>
      <c r="H1316" s="610"/>
      <c r="I1316" s="610"/>
      <c r="P1316" s="610"/>
      <c r="Q1316" s="610"/>
      <c r="R1316" s="610"/>
    </row>
    <row r="1317">
      <c r="A1317" s="610"/>
      <c r="H1317" s="610"/>
      <c r="I1317" s="610"/>
      <c r="P1317" s="610"/>
      <c r="Q1317" s="610"/>
      <c r="R1317" s="610"/>
    </row>
    <row r="1318">
      <c r="A1318" s="610"/>
      <c r="H1318" s="610"/>
      <c r="I1318" s="610"/>
      <c r="P1318" s="610"/>
      <c r="Q1318" s="610"/>
      <c r="R1318" s="610"/>
    </row>
    <row r="1319">
      <c r="A1319" s="610"/>
      <c r="H1319" s="610"/>
      <c r="I1319" s="610"/>
      <c r="P1319" s="610"/>
      <c r="Q1319" s="610"/>
      <c r="R1319" s="610"/>
    </row>
    <row r="1320">
      <c r="A1320" s="610"/>
      <c r="H1320" s="610"/>
      <c r="I1320" s="610"/>
      <c r="P1320" s="610"/>
      <c r="Q1320" s="610"/>
      <c r="R1320" s="610"/>
    </row>
    <row r="1321">
      <c r="A1321" s="610"/>
      <c r="H1321" s="610"/>
      <c r="I1321" s="610"/>
      <c r="P1321" s="610"/>
      <c r="Q1321" s="610"/>
      <c r="R1321" s="610"/>
    </row>
    <row r="1322">
      <c r="A1322" s="610"/>
      <c r="H1322" s="610"/>
      <c r="I1322" s="610"/>
      <c r="P1322" s="610"/>
      <c r="Q1322" s="610"/>
      <c r="R1322" s="610"/>
    </row>
    <row r="1323">
      <c r="A1323" s="610"/>
      <c r="H1323" s="610"/>
      <c r="I1323" s="610"/>
      <c r="P1323" s="610"/>
      <c r="Q1323" s="610"/>
      <c r="R1323" s="610"/>
    </row>
    <row r="1324">
      <c r="A1324" s="610"/>
      <c r="H1324" s="610"/>
      <c r="I1324" s="610"/>
      <c r="P1324" s="610"/>
      <c r="Q1324" s="610"/>
      <c r="R1324" s="610"/>
    </row>
    <row r="1325">
      <c r="A1325" s="610"/>
      <c r="H1325" s="610"/>
      <c r="I1325" s="610"/>
      <c r="P1325" s="610"/>
      <c r="Q1325" s="610"/>
      <c r="R1325" s="610"/>
    </row>
    <row r="1326">
      <c r="A1326" s="610"/>
      <c r="H1326" s="610"/>
      <c r="I1326" s="610"/>
      <c r="P1326" s="610"/>
      <c r="Q1326" s="610"/>
      <c r="R1326" s="610"/>
    </row>
    <row r="1327">
      <c r="A1327" s="610"/>
      <c r="H1327" s="610"/>
      <c r="I1327" s="610"/>
      <c r="P1327" s="610"/>
      <c r="Q1327" s="610"/>
      <c r="R1327" s="610"/>
    </row>
    <row r="1328">
      <c r="A1328" s="610"/>
      <c r="H1328" s="610"/>
      <c r="I1328" s="610"/>
      <c r="P1328" s="610"/>
      <c r="Q1328" s="610"/>
      <c r="R1328" s="610"/>
    </row>
    <row r="1329">
      <c r="A1329" s="610"/>
      <c r="H1329" s="610"/>
      <c r="I1329" s="610"/>
      <c r="P1329" s="610"/>
      <c r="Q1329" s="610"/>
      <c r="R1329" s="610"/>
    </row>
    <row r="1330">
      <c r="A1330" s="610"/>
      <c r="H1330" s="610"/>
      <c r="I1330" s="610"/>
      <c r="P1330" s="610"/>
      <c r="Q1330" s="610"/>
      <c r="R1330" s="610"/>
    </row>
    <row r="1331">
      <c r="A1331" s="610"/>
      <c r="H1331" s="610"/>
      <c r="I1331" s="610"/>
      <c r="P1331" s="610"/>
      <c r="Q1331" s="610"/>
      <c r="R1331" s="610"/>
    </row>
    <row r="1332">
      <c r="A1332" s="610"/>
      <c r="H1332" s="610"/>
      <c r="I1332" s="610"/>
      <c r="P1332" s="610"/>
      <c r="Q1332" s="610"/>
      <c r="R1332" s="610"/>
    </row>
    <row r="1333">
      <c r="A1333" s="610"/>
      <c r="H1333" s="610"/>
      <c r="I1333" s="610"/>
      <c r="P1333" s="610"/>
      <c r="Q1333" s="610"/>
      <c r="R1333" s="610"/>
    </row>
    <row r="1334">
      <c r="A1334" s="610"/>
      <c r="H1334" s="610"/>
      <c r="I1334" s="610"/>
      <c r="P1334" s="610"/>
      <c r="Q1334" s="610"/>
      <c r="R1334" s="610"/>
    </row>
    <row r="1335">
      <c r="A1335" s="610"/>
      <c r="H1335" s="610"/>
      <c r="I1335" s="610"/>
      <c r="P1335" s="610"/>
      <c r="Q1335" s="610"/>
      <c r="R1335" s="610"/>
    </row>
    <row r="1336">
      <c r="A1336" s="610"/>
      <c r="H1336" s="610"/>
      <c r="I1336" s="610"/>
      <c r="P1336" s="610"/>
      <c r="Q1336" s="610"/>
      <c r="R1336" s="610"/>
    </row>
    <row r="1337">
      <c r="A1337" s="610"/>
      <c r="H1337" s="610"/>
      <c r="I1337" s="610"/>
      <c r="P1337" s="610"/>
      <c r="Q1337" s="610"/>
      <c r="R1337" s="610"/>
    </row>
    <row r="1338">
      <c r="A1338" s="610"/>
      <c r="H1338" s="610"/>
      <c r="I1338" s="610"/>
      <c r="P1338" s="610"/>
      <c r="Q1338" s="610"/>
      <c r="R1338" s="610"/>
    </row>
    <row r="1339">
      <c r="A1339" s="610"/>
      <c r="H1339" s="610"/>
      <c r="I1339" s="610"/>
      <c r="P1339" s="610"/>
      <c r="Q1339" s="610"/>
      <c r="R1339" s="610"/>
    </row>
    <row r="1340">
      <c r="A1340" s="610"/>
      <c r="H1340" s="610"/>
      <c r="I1340" s="610"/>
      <c r="P1340" s="610"/>
      <c r="Q1340" s="610"/>
      <c r="R1340" s="610"/>
    </row>
    <row r="1341">
      <c r="A1341" s="610"/>
      <c r="H1341" s="610"/>
      <c r="I1341" s="610"/>
      <c r="P1341" s="610"/>
      <c r="Q1341" s="610"/>
      <c r="R1341" s="610"/>
    </row>
    <row r="1342">
      <c r="A1342" s="610"/>
      <c r="H1342" s="610"/>
      <c r="I1342" s="610"/>
      <c r="P1342" s="610"/>
      <c r="Q1342" s="610"/>
      <c r="R1342" s="610"/>
    </row>
    <row r="1343">
      <c r="A1343" s="610"/>
      <c r="H1343" s="610"/>
      <c r="I1343" s="610"/>
      <c r="P1343" s="610"/>
      <c r="Q1343" s="610"/>
      <c r="R1343" s="610"/>
    </row>
    <row r="1344">
      <c r="A1344" s="610"/>
      <c r="H1344" s="610"/>
      <c r="I1344" s="610"/>
      <c r="P1344" s="610"/>
      <c r="Q1344" s="610"/>
      <c r="R1344" s="610"/>
    </row>
    <row r="1345">
      <c r="A1345" s="610"/>
      <c r="H1345" s="610"/>
      <c r="I1345" s="610"/>
      <c r="P1345" s="610"/>
      <c r="Q1345" s="610"/>
      <c r="R1345" s="610"/>
    </row>
    <row r="1346">
      <c r="A1346" s="610"/>
      <c r="H1346" s="610"/>
      <c r="I1346" s="610"/>
      <c r="P1346" s="610"/>
      <c r="Q1346" s="610"/>
      <c r="R1346" s="610"/>
    </row>
    <row r="1347">
      <c r="A1347" s="610"/>
      <c r="H1347" s="610"/>
      <c r="I1347" s="610"/>
      <c r="P1347" s="610"/>
      <c r="Q1347" s="610"/>
      <c r="R1347" s="610"/>
    </row>
    <row r="1348">
      <c r="A1348" s="610"/>
      <c r="H1348" s="610"/>
      <c r="I1348" s="610"/>
      <c r="P1348" s="610"/>
      <c r="Q1348" s="610"/>
      <c r="R1348" s="610"/>
    </row>
    <row r="1349">
      <c r="A1349" s="610"/>
      <c r="H1349" s="610"/>
      <c r="I1349" s="610"/>
      <c r="P1349" s="610"/>
      <c r="Q1349" s="610"/>
      <c r="R1349" s="610"/>
    </row>
    <row r="1350">
      <c r="A1350" s="610"/>
      <c r="H1350" s="610"/>
      <c r="I1350" s="610"/>
      <c r="P1350" s="610"/>
      <c r="Q1350" s="610"/>
      <c r="R1350" s="610"/>
    </row>
    <row r="1351">
      <c r="A1351" s="610"/>
      <c r="H1351" s="610"/>
      <c r="I1351" s="610"/>
      <c r="P1351" s="610"/>
      <c r="Q1351" s="610"/>
      <c r="R1351" s="610"/>
    </row>
    <row r="1352">
      <c r="A1352" s="610"/>
      <c r="H1352" s="610"/>
      <c r="I1352" s="610"/>
      <c r="P1352" s="610"/>
      <c r="Q1352" s="610"/>
      <c r="R1352" s="610"/>
    </row>
    <row r="1353">
      <c r="A1353" s="610"/>
      <c r="H1353" s="610"/>
      <c r="I1353" s="610"/>
      <c r="P1353" s="610"/>
      <c r="Q1353" s="610"/>
      <c r="R1353" s="610"/>
    </row>
    <row r="1354">
      <c r="A1354" s="610"/>
      <c r="H1354" s="610"/>
      <c r="I1354" s="610"/>
      <c r="P1354" s="610"/>
      <c r="Q1354" s="610"/>
      <c r="R1354" s="610"/>
    </row>
    <row r="1355">
      <c r="A1355" s="610"/>
      <c r="H1355" s="610"/>
      <c r="I1355" s="610"/>
      <c r="P1355" s="610"/>
      <c r="Q1355" s="610"/>
      <c r="R1355" s="610"/>
    </row>
    <row r="1356">
      <c r="A1356" s="610"/>
      <c r="H1356" s="610"/>
      <c r="I1356" s="610"/>
      <c r="P1356" s="610"/>
      <c r="Q1356" s="610"/>
      <c r="R1356" s="610"/>
    </row>
    <row r="1357">
      <c r="A1357" s="610"/>
      <c r="H1357" s="610"/>
      <c r="I1357" s="610"/>
      <c r="P1357" s="610"/>
      <c r="Q1357" s="610"/>
      <c r="R1357" s="610"/>
    </row>
    <row r="1358">
      <c r="A1358" s="610"/>
      <c r="H1358" s="610"/>
      <c r="I1358" s="610"/>
      <c r="P1358" s="610"/>
      <c r="Q1358" s="610"/>
      <c r="R1358" s="610"/>
    </row>
    <row r="1359">
      <c r="A1359" s="610"/>
      <c r="H1359" s="610"/>
      <c r="I1359" s="610"/>
      <c r="P1359" s="610"/>
      <c r="Q1359" s="610"/>
      <c r="R1359" s="610"/>
    </row>
    <row r="1360">
      <c r="A1360" s="610"/>
      <c r="H1360" s="610"/>
      <c r="I1360" s="610"/>
      <c r="P1360" s="610"/>
      <c r="Q1360" s="610"/>
      <c r="R1360" s="610"/>
    </row>
    <row r="1361">
      <c r="A1361" s="610"/>
      <c r="H1361" s="610"/>
      <c r="I1361" s="610"/>
      <c r="P1361" s="610"/>
      <c r="Q1361" s="610"/>
      <c r="R1361" s="610"/>
    </row>
    <row r="1362">
      <c r="A1362" s="610"/>
      <c r="H1362" s="610"/>
      <c r="I1362" s="610"/>
      <c r="P1362" s="610"/>
      <c r="Q1362" s="610"/>
      <c r="R1362" s="610"/>
    </row>
    <row r="1363">
      <c r="A1363" s="610"/>
      <c r="H1363" s="610"/>
      <c r="I1363" s="610"/>
      <c r="P1363" s="610"/>
      <c r="Q1363" s="610"/>
      <c r="R1363" s="610"/>
    </row>
    <row r="1364">
      <c r="A1364" s="610"/>
      <c r="H1364" s="610"/>
      <c r="I1364" s="610"/>
      <c r="P1364" s="610"/>
      <c r="Q1364" s="610"/>
      <c r="R1364" s="610"/>
    </row>
    <row r="1365">
      <c r="A1365" s="610"/>
      <c r="H1365" s="610"/>
      <c r="I1365" s="610"/>
      <c r="P1365" s="610"/>
      <c r="Q1365" s="610"/>
      <c r="R1365" s="610"/>
    </row>
    <row r="1366">
      <c r="A1366" s="610"/>
      <c r="H1366" s="610"/>
      <c r="I1366" s="610"/>
      <c r="P1366" s="610"/>
      <c r="Q1366" s="610"/>
      <c r="R1366" s="610"/>
    </row>
    <row r="1367">
      <c r="A1367" s="610"/>
      <c r="H1367" s="610"/>
      <c r="I1367" s="610"/>
      <c r="P1367" s="610"/>
      <c r="Q1367" s="610"/>
      <c r="R1367" s="610"/>
    </row>
    <row r="1368">
      <c r="A1368" s="610"/>
      <c r="H1368" s="610"/>
      <c r="I1368" s="610"/>
      <c r="P1368" s="610"/>
      <c r="Q1368" s="610"/>
      <c r="R1368" s="610"/>
    </row>
    <row r="1369">
      <c r="A1369" s="610"/>
      <c r="H1369" s="610"/>
      <c r="I1369" s="610"/>
      <c r="P1369" s="610"/>
      <c r="Q1369" s="610"/>
      <c r="R1369" s="610"/>
    </row>
    <row r="1370">
      <c r="A1370" s="610"/>
      <c r="H1370" s="610"/>
      <c r="I1370" s="610"/>
      <c r="P1370" s="610"/>
      <c r="Q1370" s="610"/>
      <c r="R1370" s="610"/>
    </row>
    <row r="1371">
      <c r="A1371" s="610"/>
      <c r="H1371" s="610"/>
      <c r="I1371" s="610"/>
      <c r="P1371" s="610"/>
      <c r="Q1371" s="610"/>
      <c r="R1371" s="610"/>
    </row>
    <row r="1372">
      <c r="A1372" s="610"/>
      <c r="H1372" s="610"/>
      <c r="I1372" s="610"/>
      <c r="P1372" s="610"/>
      <c r="Q1372" s="610"/>
      <c r="R1372" s="610"/>
    </row>
    <row r="1373">
      <c r="A1373" s="610"/>
      <c r="H1373" s="610"/>
      <c r="I1373" s="610"/>
      <c r="P1373" s="610"/>
      <c r="Q1373" s="610"/>
      <c r="R1373" s="610"/>
    </row>
    <row r="1374">
      <c r="A1374" s="610"/>
      <c r="H1374" s="610"/>
      <c r="I1374" s="610"/>
      <c r="P1374" s="610"/>
      <c r="Q1374" s="610"/>
      <c r="R1374" s="610"/>
    </row>
    <row r="1375">
      <c r="A1375" s="610"/>
      <c r="H1375" s="610"/>
      <c r="I1375" s="610"/>
      <c r="P1375" s="610"/>
      <c r="Q1375" s="610"/>
      <c r="R1375" s="610"/>
    </row>
    <row r="1376">
      <c r="A1376" s="610"/>
      <c r="H1376" s="610"/>
      <c r="I1376" s="610"/>
      <c r="P1376" s="610"/>
      <c r="Q1376" s="610"/>
      <c r="R1376" s="610"/>
    </row>
    <row r="1377">
      <c r="A1377" s="610"/>
      <c r="H1377" s="610"/>
      <c r="I1377" s="610"/>
      <c r="P1377" s="610"/>
      <c r="Q1377" s="610"/>
      <c r="R1377" s="610"/>
    </row>
    <row r="1378">
      <c r="A1378" s="610"/>
      <c r="H1378" s="610"/>
      <c r="I1378" s="610"/>
      <c r="P1378" s="610"/>
      <c r="Q1378" s="610"/>
      <c r="R1378" s="610"/>
    </row>
    <row r="1379">
      <c r="A1379" s="610"/>
      <c r="H1379" s="610"/>
      <c r="I1379" s="610"/>
      <c r="P1379" s="610"/>
      <c r="Q1379" s="610"/>
      <c r="R1379" s="610"/>
    </row>
    <row r="1380">
      <c r="A1380" s="610"/>
      <c r="H1380" s="610"/>
      <c r="I1380" s="610"/>
      <c r="P1380" s="610"/>
      <c r="Q1380" s="610"/>
      <c r="R1380" s="610"/>
    </row>
    <row r="1381">
      <c r="A1381" s="610"/>
      <c r="H1381" s="610"/>
      <c r="I1381" s="610"/>
      <c r="P1381" s="610"/>
      <c r="Q1381" s="610"/>
      <c r="R1381" s="610"/>
    </row>
    <row r="1382">
      <c r="A1382" s="610"/>
      <c r="H1382" s="610"/>
      <c r="I1382" s="610"/>
      <c r="P1382" s="610"/>
      <c r="Q1382" s="610"/>
      <c r="R1382" s="610"/>
    </row>
    <row r="1383">
      <c r="A1383" s="610"/>
      <c r="H1383" s="610"/>
      <c r="I1383" s="610"/>
      <c r="P1383" s="610"/>
      <c r="Q1383" s="610"/>
      <c r="R1383" s="610"/>
    </row>
    <row r="1384">
      <c r="A1384" s="610"/>
      <c r="H1384" s="610"/>
      <c r="I1384" s="610"/>
      <c r="P1384" s="610"/>
      <c r="Q1384" s="610"/>
      <c r="R1384" s="610"/>
    </row>
    <row r="1385">
      <c r="A1385" s="610"/>
      <c r="H1385" s="610"/>
      <c r="I1385" s="610"/>
      <c r="P1385" s="610"/>
      <c r="Q1385" s="610"/>
      <c r="R1385" s="610"/>
    </row>
    <row r="1386">
      <c r="A1386" s="610"/>
      <c r="H1386" s="610"/>
      <c r="I1386" s="610"/>
      <c r="P1386" s="610"/>
      <c r="Q1386" s="610"/>
      <c r="R1386" s="610"/>
    </row>
    <row r="1387">
      <c r="A1387" s="610"/>
      <c r="H1387" s="610"/>
      <c r="I1387" s="610"/>
      <c r="P1387" s="610"/>
      <c r="Q1387" s="610"/>
      <c r="R1387" s="610"/>
    </row>
    <row r="1388">
      <c r="A1388" s="610"/>
      <c r="H1388" s="610"/>
      <c r="I1388" s="610"/>
      <c r="P1388" s="610"/>
      <c r="Q1388" s="610"/>
      <c r="R1388" s="610"/>
    </row>
    <row r="1389">
      <c r="A1389" s="610"/>
      <c r="H1389" s="610"/>
      <c r="I1389" s="610"/>
      <c r="P1389" s="610"/>
      <c r="Q1389" s="610"/>
      <c r="R1389" s="610"/>
    </row>
    <row r="1390">
      <c r="A1390" s="610"/>
      <c r="H1390" s="610"/>
      <c r="I1390" s="610"/>
      <c r="P1390" s="610"/>
      <c r="Q1390" s="610"/>
      <c r="R1390" s="610"/>
    </row>
    <row r="1391">
      <c r="A1391" s="610"/>
      <c r="H1391" s="610"/>
      <c r="I1391" s="610"/>
      <c r="P1391" s="610"/>
      <c r="Q1391" s="610"/>
      <c r="R1391" s="610"/>
    </row>
    <row r="1392">
      <c r="A1392" s="610"/>
      <c r="H1392" s="610"/>
      <c r="I1392" s="610"/>
      <c r="P1392" s="610"/>
      <c r="Q1392" s="610"/>
      <c r="R1392" s="610"/>
    </row>
    <row r="1393">
      <c r="A1393" s="610"/>
      <c r="H1393" s="610"/>
      <c r="I1393" s="610"/>
      <c r="P1393" s="610"/>
      <c r="Q1393" s="610"/>
      <c r="R1393" s="610"/>
    </row>
    <row r="1394">
      <c r="A1394" s="610"/>
      <c r="H1394" s="610"/>
      <c r="I1394" s="610"/>
      <c r="P1394" s="610"/>
      <c r="Q1394" s="610"/>
      <c r="R1394" s="610"/>
    </row>
    <row r="1395">
      <c r="A1395" s="610"/>
      <c r="H1395" s="610"/>
      <c r="I1395" s="610"/>
      <c r="P1395" s="610"/>
      <c r="Q1395" s="610"/>
      <c r="R1395" s="610"/>
    </row>
    <row r="1396">
      <c r="A1396" s="610"/>
      <c r="H1396" s="610"/>
      <c r="I1396" s="610"/>
      <c r="P1396" s="610"/>
      <c r="Q1396" s="610"/>
      <c r="R1396" s="610"/>
    </row>
    <row r="1397">
      <c r="A1397" s="610"/>
      <c r="H1397" s="610"/>
      <c r="I1397" s="610"/>
      <c r="P1397" s="610"/>
      <c r="Q1397" s="610"/>
      <c r="R1397" s="610"/>
    </row>
    <row r="1398">
      <c r="A1398" s="610"/>
      <c r="H1398" s="610"/>
      <c r="I1398" s="610"/>
      <c r="P1398" s="610"/>
      <c r="Q1398" s="610"/>
      <c r="R1398" s="610"/>
    </row>
    <row r="1399">
      <c r="A1399" s="610"/>
      <c r="H1399" s="610"/>
      <c r="I1399" s="610"/>
      <c r="P1399" s="610"/>
      <c r="Q1399" s="610"/>
      <c r="R1399" s="610"/>
    </row>
    <row r="1400">
      <c r="A1400" s="610"/>
      <c r="H1400" s="610"/>
      <c r="I1400" s="610"/>
      <c r="P1400" s="610"/>
      <c r="Q1400" s="610"/>
      <c r="R1400" s="610"/>
    </row>
    <row r="1401">
      <c r="A1401" s="610"/>
      <c r="H1401" s="610"/>
      <c r="I1401" s="610"/>
      <c r="P1401" s="610"/>
      <c r="Q1401" s="610"/>
      <c r="R1401" s="610"/>
    </row>
    <row r="1402">
      <c r="A1402" s="610"/>
      <c r="H1402" s="610"/>
      <c r="I1402" s="610"/>
      <c r="P1402" s="610"/>
      <c r="Q1402" s="610"/>
      <c r="R1402" s="610"/>
    </row>
    <row r="1403">
      <c r="A1403" s="610"/>
      <c r="H1403" s="610"/>
      <c r="I1403" s="610"/>
      <c r="P1403" s="610"/>
      <c r="Q1403" s="610"/>
      <c r="R1403" s="610"/>
    </row>
    <row r="1404">
      <c r="A1404" s="610"/>
      <c r="H1404" s="610"/>
      <c r="I1404" s="610"/>
      <c r="P1404" s="610"/>
      <c r="Q1404" s="610"/>
      <c r="R1404" s="610"/>
    </row>
    <row r="1405">
      <c r="A1405" s="610"/>
      <c r="H1405" s="610"/>
      <c r="I1405" s="610"/>
      <c r="P1405" s="610"/>
      <c r="Q1405" s="610"/>
      <c r="R1405" s="610"/>
    </row>
    <row r="1406">
      <c r="A1406" s="610"/>
      <c r="H1406" s="610"/>
      <c r="I1406" s="610"/>
      <c r="P1406" s="610"/>
      <c r="Q1406" s="610"/>
      <c r="R1406" s="610"/>
    </row>
    <row r="1407">
      <c r="A1407" s="610"/>
      <c r="H1407" s="610"/>
      <c r="I1407" s="610"/>
      <c r="P1407" s="610"/>
      <c r="Q1407" s="610"/>
      <c r="R1407" s="610"/>
    </row>
    <row r="1408">
      <c r="A1408" s="610"/>
      <c r="H1408" s="610"/>
      <c r="I1408" s="610"/>
      <c r="P1408" s="610"/>
      <c r="Q1408" s="610"/>
      <c r="R1408" s="610"/>
    </row>
    <row r="1409">
      <c r="A1409" s="610"/>
      <c r="H1409" s="610"/>
      <c r="I1409" s="610"/>
      <c r="P1409" s="610"/>
      <c r="Q1409" s="610"/>
      <c r="R1409" s="610"/>
    </row>
    <row r="1410">
      <c r="A1410" s="610"/>
      <c r="H1410" s="610"/>
      <c r="I1410" s="610"/>
      <c r="P1410" s="610"/>
      <c r="Q1410" s="610"/>
      <c r="R1410" s="610"/>
    </row>
    <row r="1411">
      <c r="A1411" s="610"/>
      <c r="H1411" s="610"/>
      <c r="I1411" s="610"/>
      <c r="P1411" s="610"/>
      <c r="Q1411" s="610"/>
      <c r="R1411" s="610"/>
    </row>
    <row r="1412">
      <c r="A1412" s="610"/>
      <c r="H1412" s="610"/>
      <c r="I1412" s="610"/>
      <c r="P1412" s="610"/>
      <c r="Q1412" s="610"/>
      <c r="R1412" s="610"/>
    </row>
    <row r="1413">
      <c r="A1413" s="610"/>
      <c r="H1413" s="610"/>
      <c r="I1413" s="610"/>
      <c r="P1413" s="610"/>
      <c r="Q1413" s="610"/>
      <c r="R1413" s="610"/>
    </row>
    <row r="1414">
      <c r="A1414" s="610"/>
      <c r="H1414" s="610"/>
      <c r="I1414" s="610"/>
      <c r="P1414" s="610"/>
      <c r="Q1414" s="610"/>
      <c r="R1414" s="610"/>
    </row>
    <row r="1415">
      <c r="A1415" s="610"/>
      <c r="H1415" s="610"/>
      <c r="I1415" s="610"/>
      <c r="P1415" s="610"/>
      <c r="Q1415" s="610"/>
      <c r="R1415" s="610"/>
    </row>
    <row r="1416">
      <c r="A1416" s="610"/>
      <c r="H1416" s="610"/>
      <c r="I1416" s="610"/>
      <c r="P1416" s="610"/>
      <c r="Q1416" s="610"/>
      <c r="R1416" s="610"/>
    </row>
    <row r="1417">
      <c r="A1417" s="610"/>
      <c r="H1417" s="610"/>
      <c r="I1417" s="610"/>
      <c r="P1417" s="610"/>
      <c r="Q1417" s="610"/>
      <c r="R1417" s="610"/>
    </row>
    <row r="1418">
      <c r="A1418" s="610"/>
      <c r="H1418" s="610"/>
      <c r="I1418" s="610"/>
      <c r="P1418" s="610"/>
      <c r="Q1418" s="610"/>
      <c r="R1418" s="610"/>
    </row>
    <row r="1419">
      <c r="A1419" s="610"/>
      <c r="H1419" s="610"/>
      <c r="I1419" s="610"/>
      <c r="P1419" s="610"/>
      <c r="Q1419" s="610"/>
      <c r="R1419" s="610"/>
    </row>
    <row r="1420">
      <c r="A1420" s="610"/>
      <c r="H1420" s="610"/>
      <c r="I1420" s="610"/>
      <c r="P1420" s="610"/>
      <c r="Q1420" s="610"/>
      <c r="R1420" s="610"/>
    </row>
    <row r="1421">
      <c r="A1421" s="610"/>
      <c r="H1421" s="610"/>
      <c r="I1421" s="610"/>
      <c r="P1421" s="610"/>
      <c r="Q1421" s="610"/>
      <c r="R1421" s="610"/>
    </row>
    <row r="1422">
      <c r="A1422" s="610"/>
      <c r="H1422" s="610"/>
      <c r="I1422" s="610"/>
      <c r="P1422" s="610"/>
      <c r="Q1422" s="610"/>
      <c r="R1422" s="610"/>
    </row>
    <row r="1423">
      <c r="A1423" s="610"/>
      <c r="H1423" s="610"/>
      <c r="I1423" s="610"/>
      <c r="P1423" s="610"/>
      <c r="Q1423" s="610"/>
      <c r="R1423" s="610"/>
    </row>
    <row r="1424">
      <c r="A1424" s="610"/>
      <c r="H1424" s="610"/>
      <c r="I1424" s="610"/>
      <c r="P1424" s="610"/>
      <c r="Q1424" s="610"/>
      <c r="R1424" s="610"/>
    </row>
    <row r="1425">
      <c r="A1425" s="610"/>
      <c r="H1425" s="610"/>
      <c r="I1425" s="610"/>
      <c r="P1425" s="610"/>
      <c r="Q1425" s="610"/>
      <c r="R1425" s="610"/>
    </row>
    <row r="1426">
      <c r="A1426" s="610"/>
      <c r="H1426" s="610"/>
      <c r="I1426" s="610"/>
      <c r="P1426" s="610"/>
      <c r="Q1426" s="610"/>
      <c r="R1426" s="610"/>
    </row>
    <row r="1427">
      <c r="A1427" s="610"/>
      <c r="H1427" s="610"/>
      <c r="I1427" s="610"/>
      <c r="P1427" s="610"/>
      <c r="Q1427" s="610"/>
      <c r="R1427" s="610"/>
    </row>
    <row r="1428">
      <c r="A1428" s="610"/>
      <c r="H1428" s="610"/>
      <c r="I1428" s="610"/>
      <c r="P1428" s="610"/>
      <c r="Q1428" s="610"/>
      <c r="R1428" s="610"/>
    </row>
    <row r="1429">
      <c r="A1429" s="610"/>
      <c r="H1429" s="610"/>
      <c r="I1429" s="610"/>
      <c r="P1429" s="610"/>
      <c r="Q1429" s="610"/>
      <c r="R1429" s="610"/>
    </row>
    <row r="1430">
      <c r="A1430" s="610"/>
      <c r="H1430" s="610"/>
      <c r="I1430" s="610"/>
      <c r="P1430" s="610"/>
      <c r="Q1430" s="610"/>
      <c r="R1430" s="610"/>
    </row>
    <row r="1431">
      <c r="A1431" s="610"/>
      <c r="H1431" s="610"/>
      <c r="I1431" s="610"/>
      <c r="P1431" s="610"/>
      <c r="Q1431" s="610"/>
      <c r="R1431" s="610"/>
    </row>
    <row r="1432">
      <c r="A1432" s="610"/>
      <c r="H1432" s="610"/>
      <c r="I1432" s="610"/>
      <c r="P1432" s="610"/>
      <c r="Q1432" s="610"/>
      <c r="R1432" s="610"/>
    </row>
    <row r="1433">
      <c r="A1433" s="610"/>
      <c r="H1433" s="610"/>
      <c r="I1433" s="610"/>
      <c r="P1433" s="610"/>
      <c r="Q1433" s="610"/>
      <c r="R1433" s="610"/>
    </row>
    <row r="1434">
      <c r="A1434" s="610"/>
      <c r="H1434" s="610"/>
      <c r="I1434" s="610"/>
      <c r="P1434" s="610"/>
      <c r="Q1434" s="610"/>
      <c r="R1434" s="610"/>
    </row>
    <row r="1435">
      <c r="A1435" s="610"/>
      <c r="H1435" s="610"/>
      <c r="I1435" s="610"/>
      <c r="P1435" s="610"/>
      <c r="Q1435" s="610"/>
      <c r="R1435" s="610"/>
    </row>
    <row r="1436">
      <c r="A1436" s="610"/>
      <c r="H1436" s="610"/>
      <c r="I1436" s="610"/>
      <c r="P1436" s="610"/>
      <c r="Q1436" s="610"/>
      <c r="R1436" s="610"/>
    </row>
    <row r="1437">
      <c r="A1437" s="610"/>
      <c r="H1437" s="610"/>
      <c r="I1437" s="610"/>
      <c r="P1437" s="610"/>
      <c r="Q1437" s="610"/>
      <c r="R1437" s="610"/>
    </row>
    <row r="1438">
      <c r="A1438" s="610"/>
      <c r="H1438" s="610"/>
      <c r="I1438" s="610"/>
      <c r="P1438" s="610"/>
      <c r="Q1438" s="610"/>
      <c r="R1438" s="610"/>
    </row>
    <row r="1439">
      <c r="A1439" s="610"/>
      <c r="H1439" s="610"/>
      <c r="I1439" s="610"/>
      <c r="P1439" s="610"/>
      <c r="Q1439" s="610"/>
      <c r="R1439" s="610"/>
    </row>
    <row r="1440">
      <c r="A1440" s="610"/>
      <c r="H1440" s="610"/>
      <c r="I1440" s="610"/>
      <c r="P1440" s="610"/>
      <c r="Q1440" s="610"/>
      <c r="R1440" s="610"/>
    </row>
    <row r="1441">
      <c r="A1441" s="610"/>
      <c r="H1441" s="610"/>
      <c r="I1441" s="610"/>
      <c r="P1441" s="610"/>
      <c r="Q1441" s="610"/>
      <c r="R1441" s="610"/>
    </row>
    <row r="1442">
      <c r="A1442" s="610"/>
      <c r="H1442" s="610"/>
      <c r="I1442" s="610"/>
      <c r="P1442" s="610"/>
      <c r="Q1442" s="610"/>
      <c r="R1442" s="610"/>
    </row>
    <row r="1443">
      <c r="A1443" s="610"/>
      <c r="H1443" s="610"/>
      <c r="I1443" s="610"/>
      <c r="P1443" s="610"/>
      <c r="Q1443" s="610"/>
      <c r="R1443" s="610"/>
    </row>
    <row r="1444">
      <c r="A1444" s="610"/>
      <c r="H1444" s="610"/>
      <c r="I1444" s="610"/>
      <c r="P1444" s="610"/>
      <c r="Q1444" s="610"/>
      <c r="R1444" s="61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3">
      <c r="A3" s="207">
        <v>45720.0</v>
      </c>
      <c r="B3" s="637">
        <v>94600.0</v>
      </c>
    </row>
    <row r="4">
      <c r="A4" s="207">
        <v>45723.0</v>
      </c>
      <c r="B4" s="637">
        <v>296000.0</v>
      </c>
      <c r="D4" s="207">
        <v>45723.0</v>
      </c>
      <c r="E4" s="35">
        <v>261000.0</v>
      </c>
      <c r="F4" s="35" t="s">
        <v>726</v>
      </c>
    </row>
    <row r="5">
      <c r="A5" s="207">
        <v>45726.0</v>
      </c>
      <c r="B5" s="638">
        <v>257400.0</v>
      </c>
      <c r="D5" s="207">
        <v>45730.0</v>
      </c>
      <c r="E5" s="637">
        <v>420600.0</v>
      </c>
      <c r="F5" s="35">
        <f>B3+B4+B6</f>
        <v>420600</v>
      </c>
    </row>
    <row r="6">
      <c r="A6" s="207">
        <v>45727.0</v>
      </c>
      <c r="B6" s="637">
        <v>30000.0</v>
      </c>
      <c r="D6" s="207">
        <v>45737.0</v>
      </c>
      <c r="E6" s="638">
        <f>581000-600</f>
        <v>580400</v>
      </c>
      <c r="F6" s="35">
        <f>B5+B7</f>
        <v>580400</v>
      </c>
    </row>
    <row r="7">
      <c r="A7" s="207">
        <v>45730.0</v>
      </c>
      <c r="B7" s="638">
        <v>323000.0</v>
      </c>
      <c r="D7" s="207">
        <v>45744.0</v>
      </c>
      <c r="E7" s="639">
        <v>550000.0</v>
      </c>
      <c r="F7" s="35">
        <f>B8+B9</f>
        <v>557500</v>
      </c>
      <c r="G7" s="35">
        <v>7500.0</v>
      </c>
    </row>
    <row r="8">
      <c r="A8" s="207">
        <v>45733.0</v>
      </c>
      <c r="B8" s="639">
        <v>237500.0</v>
      </c>
      <c r="D8" s="207">
        <v>45751.0</v>
      </c>
      <c r="E8" s="35">
        <v>250000.0</v>
      </c>
      <c r="F8" s="35">
        <f>B10+B11</f>
        <v>278200</v>
      </c>
      <c r="G8" s="35">
        <f>F8-E8</f>
        <v>28200</v>
      </c>
      <c r="I8" s="35">
        <f>G8+G7</f>
        <v>35700</v>
      </c>
    </row>
    <row r="9">
      <c r="A9" s="207">
        <v>45737.0</v>
      </c>
      <c r="B9" s="639">
        <v>320000.0</v>
      </c>
    </row>
    <row r="10">
      <c r="A10" s="207">
        <v>45741.0</v>
      </c>
      <c r="B10" s="35">
        <v>126000.0</v>
      </c>
    </row>
    <row r="11">
      <c r="A11" s="207">
        <v>45744.0</v>
      </c>
      <c r="B11" s="35">
        <v>152200.0</v>
      </c>
    </row>
    <row r="12">
      <c r="A12" s="207">
        <v>45747.0</v>
      </c>
      <c r="B12" s="35">
        <v>218500.0</v>
      </c>
    </row>
    <row r="13">
      <c r="A13" s="207">
        <v>45748.0</v>
      </c>
      <c r="B13" s="35">
        <v>32000.0</v>
      </c>
    </row>
    <row r="14">
      <c r="A14" s="207">
        <v>45751.0</v>
      </c>
      <c r="B14" s="35">
        <v>356000.0</v>
      </c>
    </row>
    <row r="15">
      <c r="A15" s="207">
        <v>45754.0</v>
      </c>
      <c r="B15" s="35">
        <v>170400.0</v>
      </c>
    </row>
    <row r="17">
      <c r="B17" s="35">
        <f>SUM(B3:B16)</f>
        <v>2613600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" max="5" width="14.75"/>
  </cols>
  <sheetData>
    <row r="1">
      <c r="A1" s="5" t="s">
        <v>727</v>
      </c>
      <c r="B1" s="1"/>
      <c r="C1" s="1"/>
      <c r="D1" s="640" t="s">
        <v>44</v>
      </c>
      <c r="E1" s="7">
        <v>46052.0</v>
      </c>
    </row>
    <row r="2">
      <c r="A2" s="97"/>
      <c r="B2" s="3"/>
      <c r="C2" s="97"/>
      <c r="D2" s="3"/>
      <c r="E2" s="3"/>
    </row>
    <row r="3">
      <c r="A3" s="5" t="s">
        <v>4</v>
      </c>
      <c r="B3" s="10" t="s">
        <v>5</v>
      </c>
      <c r="C3" s="641" t="s">
        <v>6</v>
      </c>
      <c r="D3" s="10" t="s">
        <v>7</v>
      </c>
      <c r="E3" s="10" t="s">
        <v>8</v>
      </c>
    </row>
    <row r="4">
      <c r="A4" s="26">
        <v>10.0</v>
      </c>
      <c r="B4" s="10" t="s">
        <v>18</v>
      </c>
      <c r="C4" s="641" t="s">
        <v>77</v>
      </c>
      <c r="D4" s="15">
        <v>11000.0</v>
      </c>
      <c r="E4" s="15">
        <f t="shared" ref="E4:E15" si="1">A4*D4</f>
        <v>110000</v>
      </c>
    </row>
    <row r="5">
      <c r="A5" s="26">
        <v>4.0</v>
      </c>
      <c r="B5" s="10" t="s">
        <v>38</v>
      </c>
      <c r="C5" s="641" t="s">
        <v>180</v>
      </c>
      <c r="D5" s="15">
        <v>14000.0</v>
      </c>
      <c r="E5" s="15">
        <f t="shared" si="1"/>
        <v>56000</v>
      </c>
    </row>
    <row r="6">
      <c r="A6" s="26">
        <v>4.0</v>
      </c>
      <c r="B6" s="10" t="s">
        <v>38</v>
      </c>
      <c r="C6" s="641" t="s">
        <v>117</v>
      </c>
      <c r="D6" s="15">
        <v>30000.0</v>
      </c>
      <c r="E6" s="15">
        <f t="shared" si="1"/>
        <v>120000</v>
      </c>
    </row>
    <row r="7">
      <c r="A7" s="26">
        <v>10.0</v>
      </c>
      <c r="B7" s="10" t="s">
        <v>38</v>
      </c>
      <c r="C7" s="641" t="s">
        <v>331</v>
      </c>
      <c r="D7" s="15">
        <v>13000.0</v>
      </c>
      <c r="E7" s="15">
        <f t="shared" si="1"/>
        <v>130000</v>
      </c>
    </row>
    <row r="8">
      <c r="A8" s="26">
        <v>1.0</v>
      </c>
      <c r="B8" s="10" t="s">
        <v>18</v>
      </c>
      <c r="C8" s="641" t="s">
        <v>202</v>
      </c>
      <c r="D8" s="15">
        <v>25000.0</v>
      </c>
      <c r="E8" s="15">
        <f t="shared" si="1"/>
        <v>25000</v>
      </c>
    </row>
    <row r="9">
      <c r="A9" s="26">
        <v>10.0</v>
      </c>
      <c r="B9" s="10" t="s">
        <v>18</v>
      </c>
      <c r="C9" s="641" t="s">
        <v>95</v>
      </c>
      <c r="D9" s="15">
        <v>15000.0</v>
      </c>
      <c r="E9" s="15">
        <f t="shared" si="1"/>
        <v>150000</v>
      </c>
    </row>
    <row r="10">
      <c r="A10" s="26">
        <v>2.0</v>
      </c>
      <c r="B10" s="10" t="s">
        <v>33</v>
      </c>
      <c r="C10" s="641" t="s">
        <v>728</v>
      </c>
      <c r="D10" s="15">
        <v>9500.0</v>
      </c>
      <c r="E10" s="15">
        <f t="shared" si="1"/>
        <v>19000</v>
      </c>
    </row>
    <row r="11">
      <c r="A11" s="26">
        <v>20.0</v>
      </c>
      <c r="B11" s="10" t="s">
        <v>38</v>
      </c>
      <c r="C11" s="641" t="s">
        <v>45</v>
      </c>
      <c r="D11" s="15">
        <v>13000.0</v>
      </c>
      <c r="E11" s="15">
        <f t="shared" si="1"/>
        <v>260000</v>
      </c>
    </row>
    <row r="12">
      <c r="A12" s="26">
        <v>2.0</v>
      </c>
      <c r="B12" s="10" t="s">
        <v>50</v>
      </c>
      <c r="C12" s="641" t="s">
        <v>68</v>
      </c>
      <c r="D12" s="15">
        <v>3500.0</v>
      </c>
      <c r="E12" s="15">
        <f t="shared" si="1"/>
        <v>7000</v>
      </c>
    </row>
    <row r="13">
      <c r="A13" s="26">
        <v>2.0</v>
      </c>
      <c r="B13" s="10" t="s">
        <v>18</v>
      </c>
      <c r="C13" s="641" t="s">
        <v>368</v>
      </c>
      <c r="D13" s="15">
        <v>20000.0</v>
      </c>
      <c r="E13" s="15">
        <f t="shared" si="1"/>
        <v>40000</v>
      </c>
    </row>
    <row r="14">
      <c r="A14" s="26">
        <v>1.0</v>
      </c>
      <c r="B14" s="10" t="s">
        <v>18</v>
      </c>
      <c r="C14" s="641" t="s">
        <v>111</v>
      </c>
      <c r="D14" s="15">
        <v>20000.0</v>
      </c>
      <c r="E14" s="15">
        <f t="shared" si="1"/>
        <v>20000</v>
      </c>
    </row>
    <row r="15">
      <c r="A15" s="26">
        <v>6.0</v>
      </c>
      <c r="B15" s="10" t="s">
        <v>38</v>
      </c>
      <c r="C15" s="641" t="s">
        <v>210</v>
      </c>
      <c r="D15" s="15">
        <v>18000.0</v>
      </c>
      <c r="E15" s="15">
        <f t="shared" si="1"/>
        <v>108000</v>
      </c>
    </row>
    <row r="16">
      <c r="A16" s="1"/>
      <c r="B16" s="3"/>
      <c r="C16" s="97"/>
      <c r="D16" s="3"/>
      <c r="E16" s="3"/>
    </row>
    <row r="17">
      <c r="A17" s="1"/>
      <c r="B17" s="3"/>
      <c r="C17" s="97"/>
      <c r="D17" s="3"/>
      <c r="E17" s="15">
        <f>SUM(E4:E15)</f>
        <v>1045000</v>
      </c>
    </row>
    <row r="19">
      <c r="A19" s="24" t="s">
        <v>190</v>
      </c>
      <c r="B19" s="24"/>
      <c r="C19" s="24"/>
      <c r="D19" s="32" t="s">
        <v>62</v>
      </c>
      <c r="E19" s="7">
        <v>46056.0</v>
      </c>
    </row>
    <row r="20">
      <c r="B20" s="25"/>
      <c r="C20" s="35"/>
      <c r="D20" s="25"/>
      <c r="E20" s="25"/>
    </row>
    <row r="21">
      <c r="A21" s="5" t="s">
        <v>4</v>
      </c>
      <c r="B21" s="10" t="s">
        <v>5</v>
      </c>
      <c r="C21" s="11" t="s">
        <v>6</v>
      </c>
      <c r="D21" s="12" t="s">
        <v>7</v>
      </c>
      <c r="E21" s="10" t="s">
        <v>8</v>
      </c>
    </row>
    <row r="22">
      <c r="A22" s="13">
        <v>2.0</v>
      </c>
      <c r="B22" s="12" t="s">
        <v>18</v>
      </c>
      <c r="C22" s="14" t="s">
        <v>191</v>
      </c>
      <c r="D22" s="15">
        <v>13000.0</v>
      </c>
      <c r="E22" s="15">
        <f t="shared" ref="E22:E28" si="2">A22*D22</f>
        <v>26000</v>
      </c>
    </row>
    <row r="23">
      <c r="A23" s="13">
        <v>1.0</v>
      </c>
      <c r="B23" s="12" t="s">
        <v>18</v>
      </c>
      <c r="C23" s="14" t="s">
        <v>192</v>
      </c>
      <c r="D23" s="15">
        <v>13000.0</v>
      </c>
      <c r="E23" s="15">
        <f t="shared" si="2"/>
        <v>13000</v>
      </c>
    </row>
    <row r="24">
      <c r="A24" s="13">
        <v>2.0</v>
      </c>
      <c r="B24" s="12" t="s">
        <v>18</v>
      </c>
      <c r="C24" s="14" t="s">
        <v>23</v>
      </c>
      <c r="D24" s="15">
        <v>13000.0</v>
      </c>
      <c r="E24" s="15">
        <f t="shared" si="2"/>
        <v>26000</v>
      </c>
    </row>
    <row r="25">
      <c r="A25" s="13">
        <v>2.0</v>
      </c>
      <c r="B25" s="12" t="s">
        <v>18</v>
      </c>
      <c r="C25" s="14" t="s">
        <v>194</v>
      </c>
      <c r="D25" s="15">
        <v>13000.0</v>
      </c>
      <c r="E25" s="15">
        <f t="shared" si="2"/>
        <v>26000</v>
      </c>
    </row>
    <row r="26">
      <c r="A26" s="13">
        <v>2.0</v>
      </c>
      <c r="B26" s="12" t="s">
        <v>18</v>
      </c>
      <c r="C26" s="14" t="s">
        <v>195</v>
      </c>
      <c r="D26" s="15">
        <v>10000.0</v>
      </c>
      <c r="E26" s="15">
        <f t="shared" si="2"/>
        <v>20000</v>
      </c>
    </row>
    <row r="27">
      <c r="A27" s="13">
        <v>2.0</v>
      </c>
      <c r="B27" s="12" t="s">
        <v>18</v>
      </c>
      <c r="C27" s="14" t="s">
        <v>65</v>
      </c>
      <c r="D27" s="15">
        <v>7500.0</v>
      </c>
      <c r="E27" s="15">
        <f t="shared" si="2"/>
        <v>15000</v>
      </c>
    </row>
    <row r="28">
      <c r="A28" s="13">
        <v>1.0</v>
      </c>
      <c r="B28" s="12" t="s">
        <v>18</v>
      </c>
      <c r="C28" s="14" t="s">
        <v>196</v>
      </c>
      <c r="D28" s="15">
        <v>23000.0</v>
      </c>
      <c r="E28" s="15">
        <f t="shared" si="2"/>
        <v>23000</v>
      </c>
    </row>
    <row r="29">
      <c r="A29" s="13"/>
      <c r="B29" s="12"/>
      <c r="C29" s="14"/>
      <c r="D29" s="15"/>
      <c r="E29" s="16"/>
    </row>
    <row r="30">
      <c r="A30" s="13"/>
      <c r="B30" s="12"/>
      <c r="C30" s="14"/>
      <c r="D30" s="15"/>
      <c r="E30" s="16">
        <f>SUM(E22:E28)</f>
        <v>149000</v>
      </c>
    </row>
    <row r="33">
      <c r="A33" s="88" t="s">
        <v>190</v>
      </c>
      <c r="B33" s="1"/>
      <c r="C33" s="1"/>
      <c r="D33" s="81" t="s">
        <v>170</v>
      </c>
      <c r="E33" s="7">
        <v>46059.0</v>
      </c>
    </row>
    <row r="34">
      <c r="A34" s="1"/>
      <c r="B34" s="3"/>
      <c r="C34" s="1"/>
      <c r="D34" s="3"/>
      <c r="E34" s="3"/>
    </row>
    <row r="35">
      <c r="A35" s="5" t="s">
        <v>4</v>
      </c>
      <c r="B35" s="10" t="s">
        <v>5</v>
      </c>
      <c r="C35" s="5" t="s">
        <v>6</v>
      </c>
      <c r="D35" s="10" t="s">
        <v>7</v>
      </c>
      <c r="E35" s="10" t="s">
        <v>8</v>
      </c>
    </row>
    <row r="36">
      <c r="A36" s="91">
        <v>3.0</v>
      </c>
      <c r="B36" s="92" t="s">
        <v>18</v>
      </c>
      <c r="C36" s="88" t="s">
        <v>48</v>
      </c>
      <c r="D36" s="22">
        <v>14000.0</v>
      </c>
      <c r="E36" s="15">
        <f t="shared" ref="E36:E63" si="3">A36*D36</f>
        <v>42000</v>
      </c>
    </row>
    <row r="37">
      <c r="A37" s="26">
        <v>2.0</v>
      </c>
      <c r="B37" s="92" t="s">
        <v>18</v>
      </c>
      <c r="C37" s="88" t="s">
        <v>195</v>
      </c>
      <c r="D37" s="22">
        <v>9000.0</v>
      </c>
      <c r="E37" s="15">
        <f t="shared" si="3"/>
        <v>18000</v>
      </c>
    </row>
    <row r="38">
      <c r="A38" s="91">
        <v>3.0</v>
      </c>
      <c r="B38" s="92" t="s">
        <v>18</v>
      </c>
      <c r="C38" s="88" t="s">
        <v>103</v>
      </c>
      <c r="D38" s="22">
        <v>13000.0</v>
      </c>
      <c r="E38" s="15">
        <f t="shared" si="3"/>
        <v>39000</v>
      </c>
    </row>
    <row r="39">
      <c r="A39" s="91">
        <v>2.0</v>
      </c>
      <c r="B39" s="92" t="s">
        <v>18</v>
      </c>
      <c r="C39" s="88" t="s">
        <v>65</v>
      </c>
      <c r="D39" s="22">
        <v>6500.0</v>
      </c>
      <c r="E39" s="15">
        <f t="shared" si="3"/>
        <v>13000</v>
      </c>
    </row>
    <row r="40">
      <c r="A40" s="91">
        <v>2.0</v>
      </c>
      <c r="B40" s="92" t="s">
        <v>50</v>
      </c>
      <c r="C40" s="88" t="s">
        <v>235</v>
      </c>
      <c r="D40" s="22">
        <v>3000.0</v>
      </c>
      <c r="E40" s="15">
        <f t="shared" si="3"/>
        <v>6000</v>
      </c>
    </row>
    <row r="41">
      <c r="A41" s="26">
        <v>1.0</v>
      </c>
      <c r="B41" s="92" t="s">
        <v>18</v>
      </c>
      <c r="C41" s="88" t="s">
        <v>97</v>
      </c>
      <c r="D41" s="22">
        <v>88000.0</v>
      </c>
      <c r="E41" s="15">
        <f t="shared" si="3"/>
        <v>88000</v>
      </c>
    </row>
    <row r="42">
      <c r="A42" s="91">
        <v>7.0</v>
      </c>
      <c r="B42" s="92" t="s">
        <v>18</v>
      </c>
      <c r="C42" s="88" t="s">
        <v>77</v>
      </c>
      <c r="D42" s="22">
        <v>12000.0</v>
      </c>
      <c r="E42" s="15">
        <f t="shared" si="3"/>
        <v>84000</v>
      </c>
    </row>
    <row r="43">
      <c r="A43" s="91">
        <v>3.0</v>
      </c>
      <c r="B43" s="92" t="s">
        <v>38</v>
      </c>
      <c r="C43" s="88" t="s">
        <v>117</v>
      </c>
      <c r="D43" s="22">
        <v>28000.0</v>
      </c>
      <c r="E43" s="15">
        <f t="shared" si="3"/>
        <v>84000</v>
      </c>
    </row>
    <row r="44">
      <c r="A44" s="26">
        <v>1.0</v>
      </c>
      <c r="B44" s="92" t="s">
        <v>38</v>
      </c>
      <c r="C44" s="88" t="s">
        <v>254</v>
      </c>
      <c r="D44" s="22">
        <v>26000.0</v>
      </c>
      <c r="E44" s="15">
        <f t="shared" si="3"/>
        <v>26000</v>
      </c>
    </row>
    <row r="45">
      <c r="A45" s="91">
        <v>1.0</v>
      </c>
      <c r="B45" s="92" t="s">
        <v>18</v>
      </c>
      <c r="C45" s="88" t="s">
        <v>78</v>
      </c>
      <c r="D45" s="22">
        <v>35000.0</v>
      </c>
      <c r="E45" s="15">
        <f t="shared" si="3"/>
        <v>35000</v>
      </c>
    </row>
    <row r="46">
      <c r="A46" s="91">
        <v>0.5</v>
      </c>
      <c r="B46" s="92" t="s">
        <v>18</v>
      </c>
      <c r="C46" s="88" t="s">
        <v>16</v>
      </c>
      <c r="D46" s="22">
        <v>9000.0</v>
      </c>
      <c r="E46" s="15">
        <f t="shared" si="3"/>
        <v>4500</v>
      </c>
    </row>
    <row r="47">
      <c r="A47" s="26">
        <v>3.0</v>
      </c>
      <c r="B47" s="92" t="s">
        <v>50</v>
      </c>
      <c r="C47" s="88" t="s">
        <v>68</v>
      </c>
      <c r="D47" s="22">
        <v>3500.0</v>
      </c>
      <c r="E47" s="15">
        <f t="shared" si="3"/>
        <v>10500</v>
      </c>
    </row>
    <row r="48">
      <c r="A48" s="91">
        <v>1.0</v>
      </c>
      <c r="B48" s="92" t="s">
        <v>29</v>
      </c>
      <c r="C48" s="88" t="s">
        <v>176</v>
      </c>
      <c r="D48" s="22">
        <v>30000.0</v>
      </c>
      <c r="E48" s="15">
        <f t="shared" si="3"/>
        <v>30000</v>
      </c>
    </row>
    <row r="49">
      <c r="A49" s="91">
        <v>3.0</v>
      </c>
      <c r="B49" s="92" t="s">
        <v>18</v>
      </c>
      <c r="C49" s="88" t="s">
        <v>24</v>
      </c>
      <c r="D49" s="22">
        <v>35000.0</v>
      </c>
      <c r="E49" s="15">
        <f t="shared" si="3"/>
        <v>105000</v>
      </c>
    </row>
    <row r="50">
      <c r="A50" s="91">
        <v>1.0</v>
      </c>
      <c r="B50" s="92" t="s">
        <v>18</v>
      </c>
      <c r="C50" s="88" t="s">
        <v>25</v>
      </c>
      <c r="D50" s="22">
        <v>20000.0</v>
      </c>
      <c r="E50" s="15">
        <f t="shared" si="3"/>
        <v>20000</v>
      </c>
    </row>
    <row r="51">
      <c r="A51" s="26">
        <v>1.0</v>
      </c>
      <c r="B51" s="92" t="s">
        <v>18</v>
      </c>
      <c r="C51" s="88" t="s">
        <v>26</v>
      </c>
      <c r="D51" s="22">
        <v>32000.0</v>
      </c>
      <c r="E51" s="15">
        <f t="shared" si="3"/>
        <v>32000</v>
      </c>
    </row>
    <row r="52">
      <c r="A52" s="26">
        <v>2.0</v>
      </c>
      <c r="B52" s="92" t="s">
        <v>50</v>
      </c>
      <c r="C52" s="88" t="s">
        <v>89</v>
      </c>
      <c r="D52" s="22">
        <v>6000.0</v>
      </c>
      <c r="E52" s="15">
        <f t="shared" si="3"/>
        <v>12000</v>
      </c>
    </row>
    <row r="53">
      <c r="A53" s="26">
        <v>2.0</v>
      </c>
      <c r="B53" s="92" t="s">
        <v>50</v>
      </c>
      <c r="C53" s="88" t="s">
        <v>236</v>
      </c>
      <c r="D53" s="22">
        <v>5000.0</v>
      </c>
      <c r="E53" s="15">
        <f t="shared" si="3"/>
        <v>10000</v>
      </c>
    </row>
    <row r="54">
      <c r="A54" s="91">
        <v>1.0</v>
      </c>
      <c r="B54" s="92" t="s">
        <v>18</v>
      </c>
      <c r="C54" s="88" t="s">
        <v>57</v>
      </c>
      <c r="D54" s="22">
        <v>30000.0</v>
      </c>
      <c r="E54" s="15">
        <f t="shared" si="3"/>
        <v>30000</v>
      </c>
    </row>
    <row r="55">
      <c r="A55" s="91">
        <v>0.5</v>
      </c>
      <c r="B55" s="92" t="s">
        <v>18</v>
      </c>
      <c r="C55" s="88" t="s">
        <v>53</v>
      </c>
      <c r="D55" s="22">
        <v>68000.0</v>
      </c>
      <c r="E55" s="15">
        <f t="shared" si="3"/>
        <v>34000</v>
      </c>
    </row>
    <row r="56">
      <c r="A56" s="91">
        <v>0.5</v>
      </c>
      <c r="B56" s="92" t="s">
        <v>18</v>
      </c>
      <c r="C56" s="88" t="s">
        <v>118</v>
      </c>
      <c r="D56" s="22">
        <v>23000.0</v>
      </c>
      <c r="E56" s="15">
        <f t="shared" si="3"/>
        <v>11500</v>
      </c>
    </row>
    <row r="57">
      <c r="A57" s="26">
        <v>1.0</v>
      </c>
      <c r="B57" s="92" t="s">
        <v>29</v>
      </c>
      <c r="C57" s="88" t="s">
        <v>214</v>
      </c>
      <c r="D57" s="22">
        <v>25000.0</v>
      </c>
      <c r="E57" s="15">
        <f t="shared" si="3"/>
        <v>25000</v>
      </c>
    </row>
    <row r="58">
      <c r="A58" s="91">
        <v>4.0</v>
      </c>
      <c r="B58" s="92" t="s">
        <v>33</v>
      </c>
      <c r="C58" s="88" t="s">
        <v>39</v>
      </c>
      <c r="D58" s="22">
        <v>1000.0</v>
      </c>
      <c r="E58" s="15">
        <f t="shared" si="3"/>
        <v>4000</v>
      </c>
    </row>
    <row r="59">
      <c r="A59" s="91">
        <v>4.0</v>
      </c>
      <c r="B59" s="92" t="s">
        <v>33</v>
      </c>
      <c r="C59" s="88" t="s">
        <v>119</v>
      </c>
      <c r="D59" s="22">
        <v>3400.0</v>
      </c>
      <c r="E59" s="15">
        <f t="shared" si="3"/>
        <v>13600</v>
      </c>
    </row>
    <row r="60">
      <c r="A60" s="91">
        <v>3.0</v>
      </c>
      <c r="B60" s="92" t="s">
        <v>50</v>
      </c>
      <c r="C60" s="88" t="s">
        <v>205</v>
      </c>
      <c r="D60" s="22">
        <v>3000.0</v>
      </c>
      <c r="E60" s="15">
        <f t="shared" si="3"/>
        <v>9000</v>
      </c>
    </row>
    <row r="61">
      <c r="A61" s="91">
        <v>4.0</v>
      </c>
      <c r="B61" s="92" t="s">
        <v>5</v>
      </c>
      <c r="C61" s="88" t="s">
        <v>256</v>
      </c>
      <c r="D61" s="22">
        <v>3800.0</v>
      </c>
      <c r="E61" s="15">
        <f t="shared" si="3"/>
        <v>15200</v>
      </c>
    </row>
    <row r="62">
      <c r="A62" s="91">
        <v>1.0</v>
      </c>
      <c r="B62" s="92" t="s">
        <v>29</v>
      </c>
      <c r="C62" s="88" t="s">
        <v>213</v>
      </c>
      <c r="D62" s="22">
        <v>25000.0</v>
      </c>
      <c r="E62" s="15">
        <f t="shared" si="3"/>
        <v>25000</v>
      </c>
    </row>
    <row r="63">
      <c r="A63" s="91">
        <v>0.5</v>
      </c>
      <c r="B63" s="92" t="s">
        <v>29</v>
      </c>
      <c r="C63" s="88" t="s">
        <v>31</v>
      </c>
      <c r="D63" s="22">
        <v>35000.0</v>
      </c>
      <c r="E63" s="15">
        <f t="shared" si="3"/>
        <v>17500</v>
      </c>
    </row>
    <row r="64">
      <c r="A64" s="1"/>
      <c r="B64" s="3"/>
      <c r="C64" s="1"/>
      <c r="D64" s="3"/>
      <c r="E64" s="3"/>
    </row>
    <row r="65">
      <c r="A65" s="1"/>
      <c r="B65" s="3"/>
      <c r="C65" s="1"/>
      <c r="D65" s="3"/>
      <c r="E65" s="15">
        <f>SUM(E36:E64)</f>
        <v>843800</v>
      </c>
    </row>
    <row r="69">
      <c r="D69" s="642" t="s">
        <v>13</v>
      </c>
      <c r="E69" s="122" t="s">
        <v>13</v>
      </c>
    </row>
  </sheetData>
  <printOptions horizontalCentered="1"/>
  <pageMargins bottom="0.0" footer="0.0" header="0.0" left="0.0" right="0.0" top="0.2755905511811023"/>
  <pageSetup paperSize="9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2024-12-01T23:15:56Z</dcterms:created>
  <dc:creator>Fede Fede</dc:creator>
</cp:coreProperties>
</file>