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-01-2026 " sheetId="1" r:id="rId4"/>
    <sheet state="visible" name="06-01-2026 " sheetId="2" r:id="rId5"/>
    <sheet state="visible" name="07-01-2026 " sheetId="3" r:id="rId6"/>
    <sheet state="visible" name="08-01-2026 " sheetId="4" r:id="rId7"/>
    <sheet state="visible" name="09-01-2026 " sheetId="5" r:id="rId8"/>
    <sheet state="visible" name="12-01-2026 " sheetId="6" r:id="rId9"/>
    <sheet state="visible" name="13-01-2026 " sheetId="7" r:id="rId10"/>
    <sheet state="visible" name="14-01-2026 " sheetId="8" r:id="rId11"/>
    <sheet state="visible" name="15-01-2026 " sheetId="9" r:id="rId12"/>
    <sheet state="visible" name="16-01-2026 " sheetId="10" r:id="rId13"/>
    <sheet state="visible" name="19-01-2026 " sheetId="11" r:id="rId14"/>
    <sheet state="visible" name="20-01-2026 " sheetId="12" r:id="rId15"/>
    <sheet state="visible" name="22-01-2026 " sheetId="13" r:id="rId16"/>
    <sheet state="visible" name="23-01-2026 " sheetId="14" r:id="rId17"/>
    <sheet state="visible" name="26-01-2026 " sheetId="15" r:id="rId18"/>
    <sheet state="visible" name="27-01-2026 " sheetId="16" r:id="rId19"/>
    <sheet state="visible" name="28-01-2026 " sheetId="17" r:id="rId20"/>
    <sheet state="visible" name="29-01-2026 " sheetId="18" r:id="rId21"/>
    <sheet state="visible" name="30-01-2026 " sheetId="19" r:id="rId22"/>
    <sheet state="visible" name="EXTRAS FV" sheetId="20" r:id="rId23"/>
    <sheet state="visible" name="CUENTAS CORRIENTES" sheetId="21" r:id="rId24"/>
    <sheet state="visible" name="JUAN COMISIONES" sheetId="22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/>
  <calcPr/>
  <extLst>
    <ext uri="GoogleSheetsCustomDataVersion2">
      <go:sheetsCustomData xmlns:go="http://customooxmlschemas.google.com/" r:id="rId50" roundtripDataChecksum="euWfe0nKlL/sumDKjJOqZd22d0H9BemDmJWwuOc9Hgg="/>
    </ext>
  </extLst>
</workbook>
</file>

<file path=xl/sharedStrings.xml><?xml version="1.0" encoding="utf-8"?>
<sst xmlns="http://schemas.openxmlformats.org/spreadsheetml/2006/main" count="5135" uniqueCount="380">
  <si>
    <t>FV</t>
  </si>
  <si>
    <t>rto: 210</t>
  </si>
  <si>
    <t xml:space="preserve"> </t>
  </si>
  <si>
    <t>COMPRA</t>
  </si>
  <si>
    <t>CANTIDAD</t>
  </si>
  <si>
    <t>UNIDAD</t>
  </si>
  <si>
    <t>PRODUCTO</t>
  </si>
  <si>
    <t>PRECIO</t>
  </si>
  <si>
    <t>TOTAL</t>
  </si>
  <si>
    <t>TOTAL + IVA</t>
  </si>
  <si>
    <t>DIFERENCIA</t>
  </si>
  <si>
    <t>CAJÓN</t>
  </si>
  <si>
    <t>HUEVOS</t>
  </si>
  <si>
    <t>CAJA</t>
  </si>
  <si>
    <t>MANZANA VERDE</t>
  </si>
  <si>
    <t>DURAZNO</t>
  </si>
  <si>
    <t>MELÓN</t>
  </si>
  <si>
    <t>KG</t>
  </si>
  <si>
    <t>SANDÍA</t>
  </si>
  <si>
    <t>BANANA</t>
  </si>
  <si>
    <t>NARANJA</t>
  </si>
  <si>
    <t>CIRUELAS</t>
  </si>
  <si>
    <t>LIMÓN</t>
  </si>
  <si>
    <t>MORRÓN ROJO</t>
  </si>
  <si>
    <t>MORRÓN VERDE</t>
  </si>
  <si>
    <t>ZAPALLITO REDONDO</t>
  </si>
  <si>
    <t>PAQUETE</t>
  </si>
  <si>
    <t>BROTES DE SOJA</t>
  </si>
  <si>
    <t>ATADO</t>
  </si>
  <si>
    <t>SALVIA</t>
  </si>
  <si>
    <t>ZUCCINI</t>
  </si>
  <si>
    <t>PEPINO</t>
  </si>
  <si>
    <t>CAJON</t>
  </si>
  <si>
    <t>REMOLACHA</t>
  </si>
  <si>
    <t>REPOLLO COLORADO</t>
  </si>
  <si>
    <t>TOMATE REDONDO</t>
  </si>
  <si>
    <t>TOMATE CHERRY</t>
  </si>
  <si>
    <t>JENGIBRE</t>
  </si>
  <si>
    <t>PALTA</t>
  </si>
  <si>
    <t>BANDEJA</t>
  </si>
  <si>
    <t>ARÁNDANOS</t>
  </si>
  <si>
    <t>CHAMPIÑÓN</t>
  </si>
  <si>
    <t>BOLSA</t>
  </si>
  <si>
    <t>MORRON VERDE</t>
  </si>
  <si>
    <t>MORRON ROJO</t>
  </si>
  <si>
    <t>LIMON</t>
  </si>
  <si>
    <t>BOLSA PROPIA</t>
  </si>
  <si>
    <t>BRASOV</t>
  </si>
  <si>
    <t>rto: 1</t>
  </si>
  <si>
    <t>APIO</t>
  </si>
  <si>
    <t>CHERRY</t>
  </si>
  <si>
    <t>CIBOULETTE</t>
  </si>
  <si>
    <t>LECHUGA MORADA</t>
  </si>
  <si>
    <t>PEREJIL</t>
  </si>
  <si>
    <t>CEBOLLA DE VERDEO</t>
  </si>
  <si>
    <t>MANGO</t>
  </si>
  <si>
    <t>PÍO</t>
  </si>
  <si>
    <t>COMO SIEMPRE LAGUNA</t>
  </si>
  <si>
    <t>rto: 18</t>
  </si>
  <si>
    <t>LECHUGA FRANCESA</t>
  </si>
  <si>
    <t>RÚCULA</t>
  </si>
  <si>
    <t>MORRÓN AMARILLO</t>
  </si>
  <si>
    <t>BERENJENA</t>
  </si>
  <si>
    <t>CILANTRO</t>
  </si>
  <si>
    <t>CHAMPIÑONES</t>
  </si>
  <si>
    <t>TOMATE PERITA</t>
  </si>
  <si>
    <t>CEBOLLA</t>
  </si>
  <si>
    <t>ESPINACA</t>
  </si>
  <si>
    <t>ZANAHORIA</t>
  </si>
  <si>
    <t>AJO</t>
  </si>
  <si>
    <t>PAPA</t>
  </si>
  <si>
    <t>AUPA</t>
  </si>
  <si>
    <t>MANZANA</t>
  </si>
  <si>
    <t>REPOLLO</t>
  </si>
  <si>
    <t>ALBAHACA</t>
  </si>
  <si>
    <t>MAPLE</t>
  </si>
  <si>
    <t>ANCO</t>
  </si>
  <si>
    <t>ACELGA</t>
  </si>
  <si>
    <t>CEB VERDEO</t>
  </si>
  <si>
    <t>LECHUGA</t>
  </si>
  <si>
    <t>LA PIADINA</t>
  </si>
  <si>
    <t>UVA VERDE</t>
  </si>
  <si>
    <t>CEREZA</t>
  </si>
  <si>
    <t>MESTIZO</t>
  </si>
  <si>
    <t>PAULA CASERO</t>
  </si>
  <si>
    <t>LECHUGA MANTECOSA</t>
  </si>
  <si>
    <t>BATATA</t>
  </si>
  <si>
    <t>JAULA</t>
  </si>
  <si>
    <t>TOTAL DIA</t>
  </si>
  <si>
    <t>GANANCIA</t>
  </si>
  <si>
    <t>%</t>
  </si>
  <si>
    <t>BULTOS COMPRADOS</t>
  </si>
  <si>
    <t>EFECTIVO</t>
  </si>
  <si>
    <t>MERCADO PAGO</t>
  </si>
  <si>
    <t>BANCO GALCIA</t>
  </si>
  <si>
    <t>BANCO RIO</t>
  </si>
  <si>
    <t>CHEQUES</t>
  </si>
  <si>
    <t>INGRESOS</t>
  </si>
  <si>
    <t>COBR. CTA. CTE</t>
  </si>
  <si>
    <t>RENDIMIENTO MP</t>
  </si>
  <si>
    <t>CHE ACREDITADO</t>
  </si>
  <si>
    <t>COBR. VACIOS</t>
  </si>
  <si>
    <t>PRESTAMOS</t>
  </si>
  <si>
    <t>IMP. CRED. 0,6%</t>
  </si>
  <si>
    <t>GASTOS</t>
  </si>
  <si>
    <t>ING. MERCADO</t>
  </si>
  <si>
    <t>CARGA / VACIOS</t>
  </si>
  <si>
    <t>CHEQ DEBITADO</t>
  </si>
  <si>
    <t>PEAJE</t>
  </si>
  <si>
    <t>MERCADERIA</t>
  </si>
  <si>
    <t>COMBUSTIBLE</t>
  </si>
  <si>
    <t>SUELDOS</t>
  </si>
  <si>
    <t>DEV. PRESTAMOS</t>
  </si>
  <si>
    <t>AGUA</t>
  </si>
  <si>
    <t>FLETE JUAN</t>
  </si>
  <si>
    <t>RETIRO JOAQUIN</t>
  </si>
  <si>
    <t>RETIRO FEDERICO</t>
  </si>
  <si>
    <t>ALQUILER LOCAL</t>
  </si>
  <si>
    <t>CONTADOR</t>
  </si>
  <si>
    <t>ACEITE/AGUA CHATA</t>
  </si>
  <si>
    <t>REMIS</t>
  </si>
  <si>
    <t>MECANICO</t>
  </si>
  <si>
    <t>BOLSAS/LIMPIEZA</t>
  </si>
  <si>
    <t>SEGURO LEO</t>
  </si>
  <si>
    <t>MONOTRIB. LEO</t>
  </si>
  <si>
    <t>IIBB CHEQUE</t>
  </si>
  <si>
    <t>IIBB</t>
  </si>
  <si>
    <t>IVA</t>
  </si>
  <si>
    <t>GANANCIAS</t>
  </si>
  <si>
    <t>MANT. CTA.</t>
  </si>
  <si>
    <t>IMP. DEB. 0,6%</t>
  </si>
  <si>
    <t>PASE DE CUENTAS</t>
  </si>
  <si>
    <t>TOTAL SALIDAS</t>
  </si>
  <si>
    <t>SALDOS</t>
  </si>
  <si>
    <t>fede</t>
  </si>
  <si>
    <t>joaquin</t>
  </si>
  <si>
    <t>rto: 211</t>
  </si>
  <si>
    <t>ROMERO</t>
  </si>
  <si>
    <t>TOMILLO</t>
  </si>
  <si>
    <t>RAKUS CAFE - PADUA</t>
  </si>
  <si>
    <t>rto: 12</t>
  </si>
  <si>
    <t>HUEVO N1</t>
  </si>
  <si>
    <t>REPOLLO BLANCO</t>
  </si>
  <si>
    <t>MENTA</t>
  </si>
  <si>
    <t>LIMA</t>
  </si>
  <si>
    <t>LEC CRIOLLA</t>
  </si>
  <si>
    <t>ATADOS</t>
  </si>
  <si>
    <t>RUCULA</t>
  </si>
  <si>
    <t>CUBETAS</t>
  </si>
  <si>
    <t>ARANDANOS</t>
  </si>
  <si>
    <t>BOLSAS</t>
  </si>
  <si>
    <t>rto: 212</t>
  </si>
  <si>
    <t>HUEVO</t>
  </si>
  <si>
    <t>CIRUELA</t>
  </si>
  <si>
    <t xml:space="preserve">DURAZNO </t>
  </si>
  <si>
    <t>MELON</t>
  </si>
  <si>
    <t>SANDIA</t>
  </si>
  <si>
    <t>TOMATE CHEERY</t>
  </si>
  <si>
    <t>HOGAR</t>
  </si>
  <si>
    <t>BONIATO</t>
  </si>
  <si>
    <t>BROCOLI</t>
  </si>
  <si>
    <t>CHAUCHA</t>
  </si>
  <si>
    <t>TOMATE</t>
  </si>
  <si>
    <t>ZAPALLITO</t>
  </si>
  <si>
    <t>FRUTILLA</t>
  </si>
  <si>
    <t>KIWI</t>
  </si>
  <si>
    <t>MANZANA ROJA</t>
  </si>
  <si>
    <t>rto: 2</t>
  </si>
  <si>
    <t>LEC FRANCESA</t>
  </si>
  <si>
    <t>rto: 213</t>
  </si>
  <si>
    <t>UVA SUPERIOR NACIONAL</t>
  </si>
  <si>
    <t>rto: 3</t>
  </si>
  <si>
    <t>PUERRO</t>
  </si>
  <si>
    <t>ART LIBRERIA</t>
  </si>
  <si>
    <t>rto: 214</t>
  </si>
  <si>
    <t>PELON</t>
  </si>
  <si>
    <t>CIRUELA RED</t>
  </si>
  <si>
    <t>rto: 19</t>
  </si>
  <si>
    <t>TOM PERITA</t>
  </si>
  <si>
    <t>CEBOLLA MORADA</t>
  </si>
  <si>
    <t>PAPA GARLIC</t>
  </si>
  <si>
    <t>PORTOBELLO</t>
  </si>
  <si>
    <t>POMELO</t>
  </si>
  <si>
    <t>LA MARQUESA</t>
  </si>
  <si>
    <t>CUBETA</t>
  </si>
  <si>
    <t>ARANDANO</t>
  </si>
  <si>
    <t>CHAMPI</t>
  </si>
  <si>
    <t>REP ROJO</t>
  </si>
  <si>
    <t>REP BLANCO</t>
  </si>
  <si>
    <t>ZAPALLO ANCO</t>
  </si>
  <si>
    <t>ZAPALLITO LARGO</t>
  </si>
  <si>
    <t>rto: 4</t>
  </si>
  <si>
    <t>TOM CHERRY</t>
  </si>
  <si>
    <t>ENELDO</t>
  </si>
  <si>
    <t>PIM ROJO</t>
  </si>
  <si>
    <t>PIM VERDE</t>
  </si>
  <si>
    <t>LEC MORADA</t>
  </si>
  <si>
    <t>CIBOULLETE</t>
  </si>
  <si>
    <t>ZAP LARGO</t>
  </si>
  <si>
    <t>RAKUS CAFE</t>
  </si>
  <si>
    <t>rto: 13</t>
  </si>
  <si>
    <t>FRUTILLA GRANEL</t>
  </si>
  <si>
    <t>VENTA DE CHEQUE</t>
  </si>
  <si>
    <t>IMP. IIBB. 2%</t>
  </si>
  <si>
    <t>rto: 215</t>
  </si>
  <si>
    <t>(11 KG X 4 ARANDANO)</t>
  </si>
  <si>
    <t>MANZANA GRANNY</t>
  </si>
  <si>
    <t>UVA BLANCA</t>
  </si>
  <si>
    <t>MORRON AMARILLO</t>
  </si>
  <si>
    <t>rto: 20</t>
  </si>
  <si>
    <t xml:space="preserve"> BOLSA</t>
  </si>
  <si>
    <t>PORTO</t>
  </si>
  <si>
    <t>PAULA</t>
  </si>
  <si>
    <t>ZAPALLITO REDO</t>
  </si>
  <si>
    <t>LEC MANTECA</t>
  </si>
  <si>
    <t>rto: 5</t>
  </si>
  <si>
    <t xml:space="preserve">UVA </t>
  </si>
  <si>
    <t>BROTE</t>
  </si>
  <si>
    <t>REMIS/INTERNET/ROPA</t>
  </si>
  <si>
    <t>rto: 216</t>
  </si>
  <si>
    <t>UVA</t>
  </si>
  <si>
    <t>RAKUS</t>
  </si>
  <si>
    <t>rto: 14</t>
  </si>
  <si>
    <t>FLORES</t>
  </si>
  <si>
    <t xml:space="preserve">HUEVO </t>
  </si>
  <si>
    <t>PALTA CHILE</t>
  </si>
  <si>
    <t>CEB MORADA</t>
  </si>
  <si>
    <t>CEBOLLON</t>
  </si>
  <si>
    <t>PAPA CEPILLADA</t>
  </si>
  <si>
    <t>MUNCHIS</t>
  </si>
  <si>
    <t>SEGURO CHATAS</t>
  </si>
  <si>
    <t>rto: 217</t>
  </si>
  <si>
    <t>rto: 218</t>
  </si>
  <si>
    <t>rto: 6</t>
  </si>
  <si>
    <t>rto: 219</t>
  </si>
  <si>
    <t>MANZANA GRNNY</t>
  </si>
  <si>
    <t>NARNAJA</t>
  </si>
  <si>
    <t>rto: 21</t>
  </si>
  <si>
    <t>PAPA BLANCA</t>
  </si>
  <si>
    <t>CABUTIA</t>
  </si>
  <si>
    <t>PAQ</t>
  </si>
  <si>
    <t>COLIFLOR</t>
  </si>
  <si>
    <t>ROCOTO</t>
  </si>
  <si>
    <t>PERA</t>
  </si>
  <si>
    <t>KALE</t>
  </si>
  <si>
    <t>ANANÁ</t>
  </si>
  <si>
    <t>FRUTILLA TAMARA</t>
  </si>
  <si>
    <t>rto: 7</t>
  </si>
  <si>
    <t>BROTES DE REMOLACHA</t>
  </si>
  <si>
    <t>rto: 15</t>
  </si>
  <si>
    <t>LECHUGA CRIOLLA</t>
  </si>
  <si>
    <t>FLORES COMESTIBLES</t>
  </si>
  <si>
    <t>NARANJA JUGO</t>
  </si>
  <si>
    <t>CAFÉ MARTÍNEZ</t>
  </si>
  <si>
    <t>rto: 220</t>
  </si>
  <si>
    <t>UVA RED GLOBE OFER</t>
  </si>
  <si>
    <t xml:space="preserve">TOMATE </t>
  </si>
  <si>
    <t>CJAON</t>
  </si>
  <si>
    <t>rto: 22</t>
  </si>
  <si>
    <t>rto: 8</t>
  </si>
  <si>
    <t xml:space="preserve">  </t>
  </si>
  <si>
    <t>USD/CUOTAS</t>
  </si>
  <si>
    <t>rto: 16</t>
  </si>
  <si>
    <t>**</t>
  </si>
  <si>
    <t>NARANJA SIN SEMILLA</t>
  </si>
  <si>
    <t>TOM REDONDO</t>
  </si>
  <si>
    <t>rto: 9</t>
  </si>
  <si>
    <t>RUCULA AYER</t>
  </si>
  <si>
    <t>MANGO - 5 KG -</t>
  </si>
  <si>
    <t>rto: 221</t>
  </si>
  <si>
    <t>UVA RED GLOBE</t>
  </si>
  <si>
    <t>MORRON</t>
  </si>
  <si>
    <t>VERDEO</t>
  </si>
  <si>
    <t>MEDIA CAJA</t>
  </si>
  <si>
    <t>rto: 23</t>
  </si>
  <si>
    <t>BROTES</t>
  </si>
  <si>
    <t>S/COSTO</t>
  </si>
  <si>
    <t>rto: 10</t>
  </si>
  <si>
    <t>LEC FRACNESA</t>
  </si>
  <si>
    <t>S/COST</t>
  </si>
  <si>
    <t>BANANA ECUADOR</t>
  </si>
  <si>
    <t>NARANJA S/SEMI</t>
  </si>
  <si>
    <t xml:space="preserve"> ATADO</t>
  </si>
  <si>
    <t>FABRIC SUSHI - GORRITI</t>
  </si>
  <si>
    <t>Comisión Juan</t>
  </si>
  <si>
    <t>CAFÉ MARTÍNEZ - MORENO</t>
  </si>
  <si>
    <t>SEGURO CAMIONETA</t>
  </si>
  <si>
    <t>rto: 24</t>
  </si>
  <si>
    <t>PIM AMARILLO</t>
  </si>
  <si>
    <t>rto: 11</t>
  </si>
  <si>
    <t>COLCAR</t>
  </si>
  <si>
    <t>BANANA PARAGUAY</t>
  </si>
  <si>
    <t>NARANJA S/SEMILLA</t>
  </si>
  <si>
    <t>ZANAHORIA CUBITO</t>
  </si>
  <si>
    <t>REPOLLO ROJO</t>
  </si>
  <si>
    <t>rto: 17</t>
  </si>
  <si>
    <t>rto: 222</t>
  </si>
  <si>
    <t>MELON BLANCO</t>
  </si>
  <si>
    <t>HOGAR CARDALES</t>
  </si>
  <si>
    <t>HUEVO NRO 1</t>
  </si>
  <si>
    <t>MARQUESA</t>
  </si>
  <si>
    <t>CAFE MARTINEZ - CAAMAÑO</t>
  </si>
  <si>
    <t>TOTAL C/IVA</t>
  </si>
  <si>
    <t>AJI PERUANO</t>
  </si>
  <si>
    <t>AJI JALAPEÑO</t>
  </si>
  <si>
    <t>AJI ROCOTO</t>
  </si>
  <si>
    <t>AJI LIMO</t>
  </si>
  <si>
    <t>PALTA T.70</t>
  </si>
  <si>
    <t>HAVANA - MORENO</t>
  </si>
  <si>
    <t>NARANJA COMERCIAL</t>
  </si>
  <si>
    <t>rto: 25</t>
  </si>
  <si>
    <t>ST CATERING</t>
  </si>
  <si>
    <t>AJI PICANTE</t>
  </si>
  <si>
    <t xml:space="preserve">ZANAHORIA </t>
  </si>
  <si>
    <t xml:space="preserve">NARANJA </t>
  </si>
  <si>
    <t>CAFE MARTINEZ - MORENO</t>
  </si>
  <si>
    <t>RUCULA SIN CARGO</t>
  </si>
  <si>
    <t>DIVISION FV</t>
  </si>
  <si>
    <t>DIVISION FV + IVA + BOLSA PROPIA</t>
  </si>
  <si>
    <t>OCTUBRE</t>
  </si>
  <si>
    <t>A PAGAR C/U</t>
  </si>
  <si>
    <t>PAGO C/U</t>
  </si>
  <si>
    <t>15/12</t>
  </si>
  <si>
    <t>26/12</t>
  </si>
  <si>
    <t>NOVIEMBRE</t>
  </si>
  <si>
    <t>28/01</t>
  </si>
  <si>
    <t>DICIEMBRE</t>
  </si>
  <si>
    <t>ENERO</t>
  </si>
  <si>
    <t>SUBTOTAL</t>
  </si>
  <si>
    <t>RET. IMP. GAN.</t>
  </si>
  <si>
    <t>RET IMP. IIBB</t>
  </si>
  <si>
    <t>RET. IMP. IVA</t>
  </si>
  <si>
    <t>IMP Cs y Ds</t>
  </si>
  <si>
    <t>DIVISION C/U</t>
  </si>
  <si>
    <t>VEGETALES</t>
  </si>
  <si>
    <t>CLIENTE</t>
  </si>
  <si>
    <t>SALDOS MES ANTERIOR</t>
  </si>
  <si>
    <t>FACTURACION</t>
  </si>
  <si>
    <t>COBRANZA</t>
  </si>
  <si>
    <t>RETENCIONES</t>
  </si>
  <si>
    <t>SALDO</t>
  </si>
  <si>
    <t>% del FIADO</t>
  </si>
  <si>
    <t>FERIADO CANTINA</t>
  </si>
  <si>
    <t>A.U.P.A.</t>
  </si>
  <si>
    <t>TODO CASERITO</t>
  </si>
  <si>
    <t>PAULA CASEROS</t>
  </si>
  <si>
    <t>CONTADO</t>
  </si>
  <si>
    <t>LAS BRISAS</t>
  </si>
  <si>
    <t>HOGAR SAN MARINO</t>
  </si>
  <si>
    <t>HOWARD JOHNSON</t>
  </si>
  <si>
    <t>LENTAX S.R.L</t>
  </si>
  <si>
    <t>FV S.A.</t>
  </si>
  <si>
    <t>ALUMNI</t>
  </si>
  <si>
    <t>ROSSO RISTORANTE</t>
  </si>
  <si>
    <t>NORTH SIDE</t>
  </si>
  <si>
    <t>ONNEG</t>
  </si>
  <si>
    <t>COLEGIOS</t>
  </si>
  <si>
    <t>AL ESTRIBO</t>
  </si>
  <si>
    <t>PIO</t>
  </si>
  <si>
    <t>FABRIC - MORENO</t>
  </si>
  <si>
    <t>CAFE MARTINEZ - MORENO CENTRO</t>
  </si>
  <si>
    <t>CAFE MARTINEZ - MORENO GORRITI</t>
  </si>
  <si>
    <t>VENTA ACUMULADA</t>
  </si>
  <si>
    <t>GANANCIA ACUMULADA BRUTA</t>
  </si>
  <si>
    <t>BULTOS</t>
  </si>
  <si>
    <t>1° SEMANA 05/01 - 10/01</t>
  </si>
  <si>
    <t>2° SEMANA 12/01 - 17/01</t>
  </si>
  <si>
    <t>3° SEMANA 19/01 - 24/01</t>
  </si>
  <si>
    <t>4° SEMANA 26/01 - 31/01</t>
  </si>
  <si>
    <t>BULTOS MES</t>
  </si>
  <si>
    <t>VENTA DEL MES</t>
  </si>
  <si>
    <t>PROMEDIO VENTA X DIA</t>
  </si>
  <si>
    <t>PROMEDIO GCIA X DIA</t>
  </si>
  <si>
    <t>JUAN</t>
  </si>
  <si>
    <t>FACTURACION TOTAL</t>
  </si>
  <si>
    <t>COMISION 5%</t>
  </si>
  <si>
    <t>FABRIC - MORENO GORRITI</t>
  </si>
  <si>
    <t>HAVANNA - MORENO NINE</t>
  </si>
  <si>
    <t>TOTAL FACTURADO ENERO</t>
  </si>
  <si>
    <t>TOTAL COMISIONES ENERO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</si>
</sst>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\ _€_-;\-* #,##0.00\ _€_-;_-* &quot;-&quot;??\ _€_-;_-@"/>
    <numFmt numFmtId="165" formatCode="_ [$$-2C0A]\ * #,##0.00_ ;_ [$$-2C0A]\ * \-#,##0.00_ ;_ [$$-2C0A]\ * &quot;-&quot;??_ ;_ @_ "/>
    <numFmt numFmtId="166" formatCode="0.0%"/>
    <numFmt numFmtId="167" formatCode="_-&quot;$&quot;\ * #,##0.00_-;\-&quot;$&quot;\ * #,##0.00_-;_-&quot;$&quot;\ * &quot;-&quot;??_-;_-@"/>
    <numFmt numFmtId="168" formatCode="&quot;$&quot;#,##0.00"/>
  </numFmts>
  <fonts count="19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Calibri"/>
    </font>
    <font>
      <sz val="11.0"/>
      <color theme="1"/>
      <name val="Arial"/>
    </font>
    <font>
      <b/>
      <color theme="1"/>
      <name val="Aptos Narrow"/>
    </font>
    <font>
      <color theme="1"/>
      <name val="Aptos Narrow"/>
    </font>
    <font>
      <color theme="1"/>
      <name val="Arial"/>
    </font>
    <font>
      <b/>
      <sz val="16.0"/>
      <color theme="1"/>
      <name val="Calibri"/>
    </font>
    <font>
      <b/>
      <i/>
      <sz val="11.0"/>
      <color theme="1"/>
      <name val="Arial"/>
    </font>
    <font>
      <b/>
      <sz val="12.0"/>
      <color theme="1"/>
      <name val="Arial"/>
    </font>
    <font/>
    <font>
      <b/>
      <sz val="11.0"/>
      <color theme="1"/>
      <name val="Calibri"/>
    </font>
    <font>
      <sz val="9.0"/>
      <color theme="1"/>
      <name val="Google Sans"/>
    </font>
    <font>
      <b/>
      <i/>
      <sz val="11.0"/>
      <color rgb="FFFF0000"/>
      <name val="Calibri"/>
    </font>
    <font>
      <b/>
      <sz val="11.0"/>
      <color theme="1"/>
      <name val="Arial"/>
    </font>
    <font>
      <b/>
      <sz val="12.0"/>
      <color theme="1"/>
      <name val="Calibri"/>
    </font>
    <font>
      <b/>
      <color theme="1"/>
      <name val="Arial"/>
    </font>
    <font>
      <u/>
      <sz val="11.0"/>
      <color theme="1"/>
      <name val="Calibri"/>
    </font>
    <font>
      <b/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AB242"/>
        <bgColor rgb="FF8AB242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CCFFCC"/>
        <bgColor rgb="FFCCFFCC"/>
      </patternFill>
    </fill>
    <fill>
      <patternFill patternType="solid">
        <fgColor rgb="FFFF9900"/>
        <bgColor rgb="FFFF9900"/>
      </patternFill>
    </fill>
  </fills>
  <borders count="4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C2809"/>
      </top>
    </border>
    <border>
      <top style="medium">
        <color rgb="FF0C2809"/>
      </top>
    </border>
    <border>
      <right style="medium">
        <color rgb="FF000000"/>
      </right>
      <top style="medium">
        <color rgb="FF0C280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C2809"/>
      </bottom>
    </border>
    <border>
      <top style="medium">
        <color rgb="FF000000"/>
      </top>
      <bottom style="medium">
        <color rgb="FF0C2809"/>
      </bottom>
    </border>
    <border>
      <left style="medium">
        <color rgb="FF0C2809"/>
      </left>
      <right style="medium">
        <color rgb="FF000000"/>
      </right>
      <top style="medium">
        <color rgb="FF000000"/>
      </top>
      <bottom style="medium">
        <color rgb="FF0C2809"/>
      </bottom>
    </border>
    <border>
      <left style="medium">
        <color rgb="FF000000"/>
      </left>
      <right style="medium">
        <color rgb="FF000000"/>
      </right>
      <bottom style="medium">
        <color rgb="FF0C2809"/>
      </bottom>
    </border>
    <border>
      <left style="medium">
        <color rgb="FF000000"/>
      </left>
      <top style="medium">
        <color rgb="FF0C2809"/>
      </top>
      <bottom style="medium">
        <color rgb="FF0C2809"/>
      </bottom>
    </border>
    <border>
      <top style="medium">
        <color rgb="FF0C2809"/>
      </top>
      <bottom style="medium">
        <color rgb="FF0C2809"/>
      </bottom>
    </border>
    <border>
      <left style="medium">
        <color rgb="FF0C2809"/>
      </left>
      <right style="medium">
        <color rgb="FF0C2809"/>
      </right>
      <top style="medium">
        <color rgb="FF0C2809"/>
      </top>
      <bottom style="medium">
        <color rgb="FF0C2809"/>
      </bottom>
    </border>
    <border>
      <right style="medium">
        <color rgb="FF000000"/>
      </right>
      <top style="medium">
        <color rgb="FF0C2809"/>
      </top>
      <bottom style="medium">
        <color rgb="FF0C2809"/>
      </bottom>
    </border>
    <border>
      <left style="medium">
        <color rgb="FF000000"/>
      </left>
      <bottom style="medium">
        <color rgb="FF0C2809"/>
      </bottom>
    </border>
    <border>
      <bottom style="medium">
        <color rgb="FF0C2809"/>
      </bottom>
    </border>
    <border>
      <left style="medium">
        <color rgb="FF000000"/>
      </left>
      <right style="medium">
        <color rgb="FF0C2809"/>
      </right>
      <bottom style="medium">
        <color rgb="FF0C2809"/>
      </bottom>
    </border>
    <border>
      <left style="medium">
        <color rgb="FF000000"/>
      </left>
      <right style="medium">
        <color rgb="FF000000"/>
      </right>
      <top style="medium">
        <color rgb="FF0C2809"/>
      </top>
      <bottom style="medium">
        <color rgb="FF0C2809"/>
      </bottom>
    </border>
    <border>
      <left style="medium">
        <color rgb="FF000000"/>
      </left>
      <right style="medium">
        <color rgb="FF0C2809"/>
      </right>
      <top style="medium">
        <color rgb="FF0C2809"/>
      </top>
      <bottom style="medium">
        <color rgb="FF0C2809"/>
      </bottom>
    </border>
    <border>
      <left style="medium">
        <color rgb="FF0C2809"/>
      </left>
      <right style="medium">
        <color rgb="FF000000"/>
      </right>
      <top style="medium">
        <color rgb="FF0C2809"/>
      </top>
      <bottom style="medium">
        <color rgb="FF0C2809"/>
      </bottom>
    </border>
    <border>
      <left style="medium">
        <color rgb="FF0C2809"/>
      </left>
      <right style="medium">
        <color rgb="FF000000"/>
      </right>
      <top style="medium">
        <color rgb="FF0C2809"/>
      </top>
    </border>
    <border>
      <left style="medium">
        <color rgb="FF000000"/>
      </left>
    </border>
    <border>
      <left style="medium">
        <color rgb="FF000000"/>
      </left>
      <top style="medium">
        <color rgb="FF0C2809"/>
      </top>
      <bottom style="medium">
        <color rgb="FF000000"/>
      </bottom>
    </border>
    <border>
      <top style="medium">
        <color rgb="FF0C2809"/>
      </top>
      <bottom style="medium">
        <color rgb="FF000000"/>
      </bottom>
    </border>
    <border>
      <left style="medium">
        <color rgb="FF0C2809"/>
      </left>
      <right style="medium">
        <color rgb="FF000000"/>
      </right>
      <top style="medium">
        <color rgb="FF0C280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16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center" vertical="bottom"/>
    </xf>
    <xf borderId="0" fillId="0" fontId="1" numFmtId="16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5" xfId="0" applyFont="1" applyNumberFormat="1"/>
    <xf borderId="0" fillId="0" fontId="2" numFmtId="164" xfId="0" applyAlignment="1" applyFont="1" applyNumberFormat="1">
      <alignment horizontal="right"/>
    </xf>
    <xf borderId="0" fillId="0" fontId="2" numFmtId="0" xfId="0" applyFont="1"/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164" xfId="0" applyFont="1" applyNumberFormat="1"/>
    <xf borderId="0" fillId="0" fontId="5" numFmtId="165" xfId="0" applyFont="1" applyNumberFormat="1"/>
    <xf borderId="0" fillId="0" fontId="2" numFmtId="10" xfId="0" applyAlignment="1" applyFont="1" applyNumberFormat="1">
      <alignment horizontal="right" vertical="bottom"/>
    </xf>
    <xf borderId="0" fillId="0" fontId="2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2" numFmtId="165" xfId="0" applyAlignment="1" applyFont="1" applyNumberFormat="1">
      <alignment horizontal="left" vertical="bottom"/>
    </xf>
    <xf borderId="0" fillId="0" fontId="6" numFmtId="0" xfId="0" applyFont="1"/>
    <xf borderId="0" fillId="0" fontId="1" numFmtId="10" xfId="0" applyFont="1" applyNumberFormat="1"/>
    <xf borderId="0" fillId="0" fontId="2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3" numFmtId="165" xfId="0" applyFont="1" applyNumberFormat="1"/>
    <xf borderId="0" fillId="0" fontId="7" numFmtId="164" xfId="0" applyAlignment="1" applyFont="1" applyNumberForma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5" fillId="0" fontId="10" numFmtId="0" xfId="0" applyBorder="1" applyFont="1"/>
    <xf borderId="3" fillId="0" fontId="2" numFmtId="167" xfId="0" applyAlignment="1" applyBorder="1" applyFont="1" applyNumberFormat="1">
      <alignment horizontal="center" vertical="bottom"/>
    </xf>
    <xf borderId="3" fillId="0" fontId="2" numFmtId="167" xfId="0" applyBorder="1" applyFont="1" applyNumberFormat="1"/>
    <xf borderId="0" fillId="0" fontId="1" numFmtId="167" xfId="0" applyAlignment="1" applyFont="1" applyNumberFormat="1">
      <alignment vertical="bottom"/>
    </xf>
    <xf borderId="4" fillId="0" fontId="10" numFmtId="0" xfId="0" applyBorder="1" applyFont="1"/>
    <xf borderId="6" fillId="0" fontId="10" numFmtId="0" xfId="0" applyBorder="1" applyFont="1"/>
    <xf borderId="0" fillId="0" fontId="2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/>
    </xf>
    <xf borderId="3" fillId="0" fontId="2" numFmtId="164" xfId="0" applyAlignment="1" applyBorder="1" applyFont="1" applyNumberFormat="1">
      <alignment horizontal="right" vertical="bottom"/>
    </xf>
    <xf borderId="4" fillId="0" fontId="2" numFmtId="167" xfId="0" applyAlignment="1" applyBorder="1" applyFont="1" applyNumberFormat="1">
      <alignment horizontal="center" vertical="bottom"/>
    </xf>
    <xf borderId="4" fillId="0" fontId="2" numFmtId="167" xfId="0" applyAlignment="1" applyBorder="1" applyFont="1" applyNumberFormat="1">
      <alignment horizontal="center"/>
    </xf>
    <xf borderId="6" fillId="0" fontId="2" numFmtId="167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horizontal="right" vertical="top"/>
    </xf>
    <xf borderId="0" fillId="0" fontId="1" numFmtId="167" xfId="0" applyAlignment="1" applyFont="1" applyNumberFormat="1">
      <alignment vertical="top"/>
    </xf>
    <xf borderId="0" fillId="0" fontId="1" numFmtId="164" xfId="0" applyFont="1" applyNumberFormat="1"/>
    <xf borderId="0" fillId="0" fontId="3" numFmtId="0" xfId="0" applyFont="1"/>
    <xf borderId="3" fillId="0" fontId="2" numFmtId="164" xfId="0" applyAlignment="1" applyBorder="1" applyFont="1" applyNumberFormat="1">
      <alignment horizontal="right"/>
    </xf>
    <xf borderId="4" fillId="0" fontId="2" numFmtId="167" xfId="0" applyAlignment="1" applyBorder="1" applyFont="1" applyNumberFormat="1">
      <alignment horizontal="right"/>
    </xf>
    <xf borderId="6" fillId="0" fontId="1" numFmtId="167" xfId="0" applyBorder="1" applyFont="1" applyNumberFormat="1"/>
    <xf borderId="3" fillId="0" fontId="11" numFmtId="167" xfId="0" applyAlignment="1" applyBorder="1" applyFont="1" applyNumberFormat="1">
      <alignment horizontal="center"/>
    </xf>
    <xf borderId="4" fillId="0" fontId="11" numFmtId="167" xfId="0" applyAlignment="1" applyBorder="1" applyFont="1" applyNumberFormat="1">
      <alignment horizontal="center"/>
    </xf>
    <xf borderId="7" fillId="2" fontId="11" numFmtId="167" xfId="0" applyAlignment="1" applyBorder="1" applyFill="1" applyFont="1" applyNumberFormat="1">
      <alignment horizontal="center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3" fillId="0" fontId="1" numFmtId="164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4" fillId="0" fontId="1" numFmtId="165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vertical="bottom"/>
    </xf>
    <xf borderId="4" fillId="0" fontId="1" numFmtId="167" xfId="0" applyAlignment="1" applyBorder="1" applyFont="1" applyNumberFormat="1">
      <alignment vertical="bottom"/>
    </xf>
    <xf borderId="6" fillId="0" fontId="1" numFmtId="167" xfId="0" applyAlignment="1" applyBorder="1" applyFont="1" applyNumberFormat="1">
      <alignment vertical="bottom"/>
    </xf>
    <xf borderId="7" fillId="2" fontId="1" numFmtId="167" xfId="0" applyAlignment="1" applyBorder="1" applyFont="1" applyNumberFormat="1">
      <alignment vertical="bottom"/>
    </xf>
    <xf borderId="8" fillId="0" fontId="2" numFmtId="165" xfId="0" applyAlignment="1" applyBorder="1" applyFont="1" applyNumberFormat="1">
      <alignment horizontal="center" vertical="bottom"/>
    </xf>
    <xf borderId="9" fillId="0" fontId="2" numFmtId="167" xfId="0" applyBorder="1" applyFont="1" applyNumberFormat="1"/>
    <xf borderId="10" fillId="2" fontId="11" numFmtId="167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right" vertical="bottom"/>
    </xf>
    <xf borderId="6" fillId="0" fontId="2" numFmtId="165" xfId="0" applyAlignment="1" applyBorder="1" applyFont="1" applyNumberFormat="1">
      <alignment horizontal="center" vertical="bottom"/>
    </xf>
    <xf borderId="11" fillId="0" fontId="2" numFmtId="167" xfId="0" applyBorder="1" applyFont="1" applyNumberFormat="1"/>
    <xf borderId="0" fillId="0" fontId="1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left"/>
    </xf>
    <xf borderId="0" fillId="0" fontId="2" numFmtId="9" xfId="0" applyFont="1" applyNumberFormat="1"/>
    <xf borderId="0" fillId="0" fontId="13" numFmtId="0" xfId="0" applyFont="1"/>
    <xf borderId="12" fillId="0" fontId="14" numFmtId="16" xfId="0" applyAlignment="1" applyBorder="1" applyFont="1" applyNumberFormat="1">
      <alignment horizontal="center" vertical="bottom"/>
    </xf>
    <xf borderId="13" fillId="0" fontId="10" numFmtId="0" xfId="0" applyBorder="1" applyFont="1"/>
    <xf borderId="14" fillId="0" fontId="10" numFmtId="0" xfId="0" applyBorder="1" applyFont="1"/>
    <xf borderId="0" fillId="0" fontId="1" numFmtId="168" xfId="0" applyAlignment="1" applyFont="1" applyNumberFormat="1">
      <alignment vertical="bottom"/>
    </xf>
    <xf borderId="2" fillId="3" fontId="11" numFmtId="16" xfId="0" applyAlignment="1" applyBorder="1" applyFill="1" applyFont="1" applyNumberFormat="1">
      <alignment horizontal="center" vertical="bottom"/>
    </xf>
    <xf borderId="15" fillId="0" fontId="10" numFmtId="0" xfId="0" applyBorder="1" applyFont="1"/>
    <xf borderId="16" fillId="0" fontId="10" numFmtId="0" xfId="0" applyBorder="1" applyFont="1"/>
    <xf borderId="17" fillId="3" fontId="11" numFmtId="168" xfId="0" applyAlignment="1" applyBorder="1" applyFont="1" applyNumberFormat="1">
      <alignment horizontal="center" vertical="bottom"/>
    </xf>
    <xf borderId="18" fillId="0" fontId="10" numFmtId="0" xfId="0" applyBorder="1" applyFont="1"/>
    <xf borderId="19" fillId="0" fontId="10" numFmtId="0" xfId="0" applyBorder="1" applyFont="1"/>
    <xf borderId="20" fillId="4" fontId="11" numFmtId="164" xfId="0" applyAlignment="1" applyBorder="1" applyFill="1" applyFont="1" applyNumberFormat="1">
      <alignment horizontal="center" vertical="bottom"/>
    </xf>
    <xf borderId="20" fillId="4" fontId="11" numFmtId="165" xfId="0" applyAlignment="1" applyBorder="1" applyFont="1" applyNumberFormat="1">
      <alignment horizontal="center" vertical="bottom"/>
    </xf>
    <xf borderId="20" fillId="4" fontId="11" numFmtId="16" xfId="0" applyAlignment="1" applyBorder="1" applyFont="1" applyNumberFormat="1">
      <alignment horizontal="center" vertical="bottom"/>
    </xf>
    <xf borderId="21" fillId="4" fontId="11" numFmtId="164" xfId="0" applyAlignment="1" applyBorder="1" applyFont="1" applyNumberFormat="1">
      <alignment horizontal="center" vertical="bottom"/>
    </xf>
    <xf borderId="12" fillId="4" fontId="11" numFmtId="165" xfId="0" applyAlignment="1" applyBorder="1" applyFont="1" applyNumberFormat="1">
      <alignment horizontal="center" vertical="bottom"/>
    </xf>
    <xf borderId="22" fillId="4" fontId="11" numFmtId="165" xfId="0" applyAlignment="1" applyBorder="1" applyFont="1" applyNumberFormat="1">
      <alignment horizontal="center" vertical="bottom"/>
    </xf>
    <xf borderId="21" fillId="4" fontId="11" numFmtId="165" xfId="0" applyAlignment="1" applyBorder="1" applyFont="1" applyNumberFormat="1">
      <alignment horizontal="center" vertical="bottom"/>
    </xf>
    <xf borderId="21" fillId="4" fontId="1" numFmtId="165" xfId="0" applyAlignment="1" applyBorder="1" applyFont="1" applyNumberFormat="1">
      <alignment vertical="bottom"/>
    </xf>
    <xf borderId="23" fillId="0" fontId="2" numFmtId="164" xfId="0" applyAlignment="1" applyBorder="1" applyFont="1" applyNumberFormat="1">
      <alignment horizontal="right"/>
    </xf>
    <xf borderId="24" fillId="0" fontId="2" numFmtId="165" xfId="0" applyAlignment="1" applyBorder="1" applyFont="1" applyNumberFormat="1">
      <alignment horizontal="right" vertical="bottom"/>
    </xf>
    <xf borderId="21" fillId="4" fontId="14" numFmtId="165" xfId="0" applyAlignment="1" applyBorder="1" applyFont="1" applyNumberFormat="1">
      <alignment horizontal="center" vertical="bottom"/>
    </xf>
    <xf borderId="17" fillId="3" fontId="11" numFmtId="0" xfId="0" applyAlignment="1" applyBorder="1" applyFont="1">
      <alignment horizontal="center" vertical="bottom"/>
    </xf>
    <xf borderId="25" fillId="3" fontId="11" numFmtId="16" xfId="0" applyAlignment="1" applyBorder="1" applyFont="1" applyNumberFormat="1">
      <alignment horizontal="center" vertical="bottom"/>
    </xf>
    <xf borderId="26" fillId="0" fontId="10" numFmtId="0" xfId="0" applyBorder="1" applyFont="1"/>
    <xf borderId="17" fillId="5" fontId="11" numFmtId="0" xfId="0" applyAlignment="1" applyBorder="1" applyFill="1" applyFont="1">
      <alignment horizontal="center" vertical="bottom"/>
    </xf>
    <xf borderId="27" fillId="0" fontId="1" numFmtId="165" xfId="0" applyAlignment="1" applyBorder="1" applyFont="1" applyNumberFormat="1">
      <alignment vertical="bottom"/>
    </xf>
    <xf borderId="23" fillId="0" fontId="2" numFmtId="164" xfId="0" applyAlignment="1" applyBorder="1" applyFont="1" applyNumberFormat="1">
      <alignment horizontal="right" vertical="bottom"/>
    </xf>
    <xf borderId="0" fillId="0" fontId="2" numFmtId="16" xfId="0" applyAlignment="1" applyFont="1" applyNumberFormat="1">
      <alignment vertical="bottom"/>
    </xf>
    <xf borderId="3" fillId="4" fontId="1" numFmtId="164" xfId="0" applyAlignment="1" applyBorder="1" applyFont="1" applyNumberFormat="1">
      <alignment vertical="bottom"/>
    </xf>
    <xf borderId="4" fillId="4" fontId="1" numFmtId="165" xfId="0" applyAlignment="1" applyBorder="1" applyFont="1" applyNumberFormat="1">
      <alignment vertical="bottom"/>
    </xf>
    <xf borderId="4" fillId="4" fontId="1" numFmtId="0" xfId="0" applyAlignment="1" applyBorder="1" applyFont="1">
      <alignment vertical="bottom"/>
    </xf>
    <xf borderId="6" fillId="4" fontId="1" numFmtId="165" xfId="0" applyAlignment="1" applyBorder="1" applyFont="1" applyNumberFormat="1">
      <alignment vertical="bottom"/>
    </xf>
    <xf borderId="3" fillId="4" fontId="1" numFmtId="165" xfId="0" applyAlignment="1" applyBorder="1" applyFont="1" applyNumberFormat="1">
      <alignment vertical="bottom"/>
    </xf>
    <xf borderId="28" fillId="4" fontId="11" numFmtId="164" xfId="0" applyAlignment="1" applyBorder="1" applyFont="1" applyNumberFormat="1">
      <alignment vertical="bottom"/>
    </xf>
    <xf borderId="29" fillId="4" fontId="1" numFmtId="165" xfId="0" applyAlignment="1" applyBorder="1" applyFont="1" applyNumberFormat="1">
      <alignment vertical="bottom"/>
    </xf>
    <xf borderId="29" fillId="4" fontId="1" numFmtId="0" xfId="0" applyAlignment="1" applyBorder="1" applyFont="1">
      <alignment vertical="bottom"/>
    </xf>
    <xf borderId="15" fillId="4" fontId="1" numFmtId="165" xfId="0" applyAlignment="1" applyBorder="1" applyFont="1" applyNumberFormat="1">
      <alignment vertical="bottom"/>
    </xf>
    <xf borderId="30" fillId="4" fontId="2" numFmtId="165" xfId="0" applyAlignment="1" applyBorder="1" applyFont="1" applyNumberFormat="1">
      <alignment horizontal="right" vertical="bottom"/>
    </xf>
    <xf borderId="3" fillId="4" fontId="11" numFmtId="164" xfId="0" applyAlignment="1" applyBorder="1" applyFont="1" applyNumberFormat="1">
      <alignment vertical="bottom"/>
    </xf>
    <xf borderId="31" fillId="4" fontId="2" numFmtId="165" xfId="0" applyAlignment="1" applyBorder="1" applyFont="1" applyNumberFormat="1">
      <alignment horizontal="right" vertical="bottom"/>
    </xf>
    <xf borderId="32" fillId="4" fontId="11" numFmtId="164" xfId="0" applyAlignment="1" applyBorder="1" applyFont="1" applyNumberFormat="1">
      <alignment vertical="bottom"/>
    </xf>
    <xf borderId="33" fillId="4" fontId="1" numFmtId="165" xfId="0" applyAlignment="1" applyBorder="1" applyFont="1" applyNumberFormat="1">
      <alignment vertical="bottom"/>
    </xf>
    <xf borderId="33" fillId="4" fontId="1" numFmtId="0" xfId="0" applyAlignment="1" applyBorder="1" applyFont="1">
      <alignment vertical="bottom"/>
    </xf>
    <xf borderId="34" fillId="4" fontId="2" numFmtId="10" xfId="0" applyAlignment="1" applyBorder="1" applyFont="1" applyNumberFormat="1">
      <alignment horizontal="right" vertical="bottom"/>
    </xf>
    <xf borderId="35" fillId="4" fontId="2" numFmtId="165" xfId="0" applyAlignment="1" applyBorder="1" applyFont="1" applyNumberFormat="1">
      <alignment horizontal="right" vertical="bottom"/>
    </xf>
    <xf borderId="36" fillId="4" fontId="11" numFmtId="164" xfId="0" applyAlignment="1" applyBorder="1" applyFont="1" applyNumberFormat="1">
      <alignment vertical="bottom"/>
    </xf>
    <xf borderId="37" fillId="0" fontId="10" numFmtId="0" xfId="0" applyBorder="1" applyFont="1"/>
    <xf borderId="38" fillId="4" fontId="2" numFmtId="10" xfId="0" applyAlignment="1" applyBorder="1" applyFont="1" applyNumberFormat="1">
      <alignment horizontal="right" vertical="bottom"/>
    </xf>
    <xf borderId="37" fillId="4" fontId="1" numFmtId="10" xfId="0" applyAlignment="1" applyBorder="1" applyFont="1" applyNumberFormat="1">
      <alignment vertical="bottom"/>
    </xf>
    <xf borderId="39" fillId="4" fontId="2" numFmtId="165" xfId="0" applyAlignment="1" applyBorder="1" applyFont="1" applyNumberFormat="1">
      <alignment horizontal="right" vertical="bottom"/>
    </xf>
    <xf borderId="33" fillId="0" fontId="10" numFmtId="0" xfId="0" applyBorder="1" applyFont="1"/>
    <xf borderId="40" fillId="4" fontId="2" numFmtId="10" xfId="0" applyAlignment="1" applyBorder="1" applyFont="1" applyNumberFormat="1">
      <alignment horizontal="right" vertical="bottom"/>
    </xf>
    <xf borderId="33" fillId="4" fontId="1" numFmtId="10" xfId="0" applyAlignment="1" applyBorder="1" applyFont="1" applyNumberFormat="1">
      <alignment vertical="bottom"/>
    </xf>
    <xf borderId="41" fillId="4" fontId="2" numFmtId="165" xfId="0" applyAlignment="1" applyBorder="1" applyFont="1" applyNumberFormat="1">
      <alignment horizontal="right" vertical="bottom"/>
    </xf>
    <xf borderId="32" fillId="4" fontId="1" numFmtId="165" xfId="0" applyAlignment="1" applyBorder="1" applyFont="1" applyNumberFormat="1">
      <alignment vertical="bottom"/>
    </xf>
    <xf borderId="17" fillId="4" fontId="1" numFmtId="164" xfId="0" applyAlignment="1" applyBorder="1" applyFont="1" applyNumberFormat="1">
      <alignment vertical="bottom"/>
    </xf>
    <xf borderId="18" fillId="4" fontId="1" numFmtId="165" xfId="0" applyAlignment="1" applyBorder="1" applyFont="1" applyNumberFormat="1">
      <alignment vertical="bottom"/>
    </xf>
    <xf borderId="18" fillId="4" fontId="1" numFmtId="0" xfId="0" applyAlignment="1" applyBorder="1" applyFont="1">
      <alignment vertical="bottom"/>
    </xf>
    <xf borderId="42" fillId="4" fontId="1" numFmtId="165" xfId="0" applyAlignment="1" applyBorder="1" applyFont="1" applyNumberFormat="1">
      <alignment vertical="bottom"/>
    </xf>
    <xf borderId="43" fillId="4" fontId="1" numFmtId="165" xfId="0" applyAlignment="1" applyBorder="1" applyFont="1" applyNumberFormat="1">
      <alignment vertical="bottom"/>
    </xf>
    <xf borderId="17" fillId="4" fontId="1" numFmtId="165" xfId="0" applyAlignment="1" applyBorder="1" applyFont="1" applyNumberFormat="1">
      <alignment vertical="bottom"/>
    </xf>
    <xf borderId="44" fillId="4" fontId="11" numFmtId="164" xfId="0" applyAlignment="1" applyBorder="1" applyFont="1" applyNumberFormat="1">
      <alignment vertical="bottom"/>
    </xf>
    <xf borderId="45" fillId="4" fontId="1" numFmtId="165" xfId="0" applyAlignment="1" applyBorder="1" applyFont="1" applyNumberFormat="1">
      <alignment vertical="bottom"/>
    </xf>
    <xf borderId="45" fillId="4" fontId="1" numFmtId="16" xfId="0" applyAlignment="1" applyBorder="1" applyFont="1" applyNumberFormat="1">
      <alignment vertical="bottom"/>
    </xf>
    <xf borderId="46" fillId="4" fontId="2" numFmtId="165" xfId="0" applyAlignment="1" applyBorder="1" applyFont="1" applyNumberFormat="1">
      <alignment horizontal="right" vertical="bottom"/>
    </xf>
    <xf borderId="44" fillId="4" fontId="15" numFmtId="165" xfId="0" applyAlignment="1" applyBorder="1" applyFont="1" applyNumberFormat="1">
      <alignment vertical="bottom"/>
    </xf>
    <xf borderId="45" fillId="0" fontId="10" numFmtId="0" xfId="0" applyBorder="1" applyFont="1"/>
    <xf borderId="0" fillId="0" fontId="3" numFmtId="165" xfId="0" applyAlignment="1" applyFont="1" applyNumberFormat="1">
      <alignment horizontal="right"/>
    </xf>
    <xf borderId="20" fillId="0" fontId="2" numFmtId="0" xfId="0" applyAlignment="1" applyBorder="1" applyFont="1">
      <alignment horizontal="center"/>
    </xf>
    <xf borderId="47" fillId="0" fontId="2" numFmtId="0" xfId="0" applyAlignment="1" applyBorder="1" applyFont="1">
      <alignment horizontal="center"/>
    </xf>
    <xf borderId="20" fillId="0" fontId="2" numFmtId="0" xfId="0" applyBorder="1" applyFont="1"/>
    <xf borderId="20" fillId="0" fontId="2" numFmtId="167" xfId="0" applyAlignment="1" applyBorder="1" applyFont="1" applyNumberFormat="1">
      <alignment horizontal="left"/>
    </xf>
    <xf borderId="20" fillId="0" fontId="2" numFmtId="167" xfId="0" applyBorder="1" applyFont="1" applyNumberFormat="1"/>
    <xf borderId="20" fillId="6" fontId="2" numFmtId="0" xfId="0" applyBorder="1" applyFill="1" applyFont="1"/>
    <xf borderId="20" fillId="0" fontId="2" numFmtId="10" xfId="0" applyAlignment="1" applyBorder="1" applyFont="1" applyNumberFormat="1">
      <alignment horizontal="center"/>
    </xf>
    <xf borderId="0" fillId="0" fontId="2" numFmtId="167" xfId="0" applyFont="1" applyNumberFormat="1"/>
    <xf borderId="0" fillId="0" fontId="16" numFmtId="0" xfId="0" applyAlignment="1" applyFont="1">
      <alignment horizontal="center"/>
    </xf>
    <xf borderId="20" fillId="0" fontId="2" numFmtId="165" xfId="0" applyBorder="1" applyFont="1" applyNumberFormat="1"/>
    <xf borderId="0" fillId="0" fontId="14" numFmtId="0" xfId="0" applyAlignment="1" applyFont="1">
      <alignment horizontal="center"/>
    </xf>
    <xf borderId="0" fillId="0" fontId="3" numFmtId="167" xfId="0" applyFont="1" applyNumberFormat="1"/>
    <xf borderId="1" fillId="0" fontId="14" numFmtId="0" xfId="0" applyAlignment="1" applyBorder="1" applyFont="1">
      <alignment horizontal="center"/>
    </xf>
    <xf borderId="0" fillId="0" fontId="8" numFmtId="0" xfId="0" applyFont="1"/>
    <xf borderId="20" fillId="0" fontId="17" numFmtId="167" xfId="0" applyBorder="1" applyFont="1" applyNumberFormat="1"/>
    <xf borderId="0" fillId="0" fontId="1" numFmtId="167" xfId="0" applyFont="1" applyNumberFormat="1"/>
    <xf borderId="0" fillId="0" fontId="1" numFmtId="16" xfId="0" applyFont="1" applyNumberFormat="1"/>
    <xf borderId="0" fillId="0" fontId="5" numFmtId="167" xfId="0" applyFont="1" applyNumberFormat="1"/>
    <xf borderId="20" fillId="0" fontId="2" numFmtId="0" xfId="0" applyAlignment="1" applyBorder="1" applyFont="1">
      <alignment vertical="bottom"/>
    </xf>
    <xf borderId="11" fillId="7" fontId="2" numFmtId="167" xfId="0" applyBorder="1" applyFill="1" applyFont="1" applyNumberFormat="1"/>
    <xf borderId="0" fillId="0" fontId="2" numFmtId="10" xfId="0" applyAlignment="1" applyFont="1" applyNumberFormat="1">
      <alignment horizontal="center"/>
    </xf>
    <xf borderId="0" fillId="0" fontId="2" numFmtId="10" xfId="0" applyFont="1" applyNumberFormat="1"/>
    <xf borderId="0" fillId="0" fontId="18" numFmtId="167" xfId="0" applyAlignment="1" applyFont="1" applyNumberFormat="1">
      <alignment horizontal="center"/>
    </xf>
    <xf borderId="0" fillId="0" fontId="6" numFmtId="168" xfId="0" applyFont="1" applyNumberFormat="1"/>
    <xf borderId="0" fillId="0" fontId="1" numFmtId="0" xfId="0" applyAlignment="1" applyFont="1">
      <alignment vertical="bottom"/>
    </xf>
    <xf borderId="11" fillId="0" fontId="14" numFmtId="0" xfId="0" applyAlignment="1" applyBorder="1" applyFont="1">
      <alignment horizontal="center" vertical="bottom"/>
    </xf>
    <xf borderId="17" fillId="3" fontId="11" numFmtId="0" xfId="0" applyAlignment="1" applyBorder="1" applyFont="1">
      <alignment horizontal="center" vertical="bottom"/>
    </xf>
    <xf borderId="21" fillId="4" fontId="11" numFmtId="0" xfId="0" applyAlignment="1" applyBorder="1" applyFont="1">
      <alignment horizontal="center" vertical="bottom"/>
    </xf>
    <xf borderId="43" fillId="0" fontId="2" numFmtId="0" xfId="0" applyAlignment="1" applyBorder="1" applyFont="1">
      <alignment vertical="bottom"/>
    </xf>
    <xf borderId="27" fillId="0" fontId="2" numFmtId="165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right" vertical="bottom"/>
    </xf>
    <xf borderId="48" fillId="0" fontId="2" numFmtId="165" xfId="0" applyAlignment="1" applyBorder="1" applyFont="1" applyNumberFormat="1">
      <alignment horizontal="right" vertical="bottom"/>
    </xf>
    <xf borderId="20" fillId="4" fontId="15" numFmtId="0" xfId="0" applyAlignment="1" applyBorder="1" applyFont="1">
      <alignment horizontal="center" vertical="bottom"/>
    </xf>
    <xf borderId="12" fillId="4" fontId="15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6.xml"/><Relationship Id="rId30" Type="http://schemas.openxmlformats.org/officeDocument/2006/relationships/externalLink" Target="externalLinks/externalLink5.xml"/><Relationship Id="rId33" Type="http://schemas.openxmlformats.org/officeDocument/2006/relationships/externalLink" Target="externalLinks/externalLink8.xml"/><Relationship Id="rId32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3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28" Type="http://schemas.openxmlformats.org/officeDocument/2006/relationships/externalLink" Target="externalLinks/externalLink3.xml"/><Relationship Id="rId27" Type="http://schemas.openxmlformats.org/officeDocument/2006/relationships/externalLink" Target="externalLinks/externalLink2.xml"/><Relationship Id="rId29" Type="http://schemas.openxmlformats.org/officeDocument/2006/relationships/externalLink" Target="externalLinks/externalLink4.xml"/><Relationship Id="rId5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7.%20JULIO%202025%20(3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7.%20JULIO%202025%20(5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07-02-2025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microsoft.com/office/2006/relationships/xlExternalLinkPath/xlPathMissing" Target="11-02-2025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microsoft.com/office/2006/relationships/xlExternalLinkPath/xlPathMissing" Target="14-02-2025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microsoft.com/office/2006/relationships/xlExternalLinkPath/xlPathMissing" Target="17-02-2025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microsoft.com/office/2006/relationships/xlExternalLinkPath/xlPathMissing" Target="18-02-2025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microsoft.com/office/2006/relationships/xlExternalLinkPath/xlPathMissing" Target="21-02-2025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microsoft.com/office/2006/relationships/xlExternalLinkPath/xlPathMissing" Target="24-02-2025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microsoft.com/office/2006/relationships/xlExternalLinkPath/xlPathMissing" Target="25-02-2025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microsoft.com/office/2006/relationships/xlExternalLinkPath/xlPathMissing" Target="26-02-2025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microsoft.com/office/2006/relationships/xlExternalLinkPath/xlPathMissing" Target="28-02-2025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microsoft.com/office/2006/relationships/xlExternalLinkPath/xlPathMissing" Target="03-02-2025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microsoft.com/office/2006/relationships/xlExternalLinkPath/xlPathMissing" Target="05-02-2025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microsoft.com/office/2006/relationships/xlExternalLinkPath/xlPathMissing" Target="10-02-2025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microsoft.com/office/2006/relationships/xlExternalLinkPath/xlPathMissing" Target="13-02-2025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microsoft.com/office/2006/relationships/xlExternalLinkPath/xlPathMissing" Target="19-02-2025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microsoft.com/office/2006/relationships/xlExternalLinkPath/xlPathMissing" Target="20-02-2025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microsoft.com/office/2006/relationships/xlExternalLinkPath/xlPathMissing" Target="04-02-2025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microsoft.com/office/2006/relationships/xlExternalLinkPath/xlPathMissing" Target="06-02-2025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microsoft.com/office/2006/relationships/xlExternalLinkPath/xlPathMissing" Target="15-02-2025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microsoft.com/office/2006/relationships/xlExternalLinkPath/xlPathMissing" Target="22-02-2025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microsoft.com/office/2006/relationships/xlExternalLinkPath/xlPathMissing" Target="12-02-2025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microsoft.com/office/2006/relationships/xlExternalLinkPath/xlPathMissing" Target="01-02-20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07-2025 "/>
      <sheetName val="02-07-2025"/>
      <sheetName val="03-07-2025"/>
      <sheetName val="04-07-2025 "/>
      <sheetName val="05-07-2025 "/>
      <sheetName val="07-07-2025 "/>
      <sheetName val="08-07-2025"/>
      <sheetName val="10-07-2025"/>
      <sheetName val="11-07-2025"/>
      <sheetName val="CUENTAS CORRIENTES"/>
      <sheetName val="COLEGIO PROMEDIO"/>
      <sheetName val="CHEQUES"/>
      <sheetName val="FIADO MERCADO"/>
      <sheetName val="VACIOS"/>
      <sheetName val="CRECIMIENTO"/>
      <sheetName val="RETIROS"/>
      <sheetName val="CAJA MENSUAL"/>
      <sheetName val="UTILIDAD"/>
      <sheetName val="ESTADO DE RESULTADO"/>
      <sheetName val="Hoja1"/>
      <sheetName val="Sheet3"/>
      <sheetName val="Hoja2"/>
      <sheetName val="INVERS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07-2025 "/>
      <sheetName val="02-07-2025"/>
      <sheetName val="03-07-2025"/>
      <sheetName val="04-07-2025 "/>
      <sheetName val="05-07-2025 "/>
      <sheetName val="07-07-2025 "/>
      <sheetName val="08-07-2025"/>
      <sheetName val="10-07-2025"/>
      <sheetName val="11-07-2025"/>
      <sheetName val="12-07-2025"/>
      <sheetName val="14-07-2025 "/>
      <sheetName val="15-07-2025"/>
      <sheetName val="16-07-2025 "/>
      <sheetName val="17-07-2025 "/>
      <sheetName val="18-07-2025 "/>
      <sheetName val="19-07-2025"/>
      <sheetName val="21-07-2025 "/>
      <sheetName val="CUENTAS CORRIENTES"/>
      <sheetName val="CHEQUES"/>
      <sheetName val="FIADO MERCADO"/>
      <sheetName val="VACIOS"/>
      <sheetName val="CRECIMIENTO"/>
      <sheetName val="CAJA MENSUAL"/>
      <sheetName val="UTILIDAD"/>
      <sheetName val="RETIROS"/>
      <sheetName val="ESTADO DE RESULTADO"/>
      <sheetName val="COLEGIO PROMEDIO"/>
      <sheetName val="Hoja1"/>
      <sheetName val="Sheet3"/>
      <sheetName val="Hoja2"/>
      <sheetName val="INVERSION 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7-02-202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1-02-2025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4-02-2025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7-02-2025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8-02-2025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1-02-2025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4-02-2025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5-02-2025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6-02-2025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8-02-2025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3-02-2025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5-02-202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0-02-2025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-02-2025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9-02-2025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-02-2025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4-02-2025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6-02-2025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5-02-2025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2-02-2025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2-02-2025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02-202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1</v>
      </c>
      <c r="F3" s="7">
        <v>46027.0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1.0</v>
      </c>
      <c r="B6" s="12" t="s">
        <v>11</v>
      </c>
      <c r="C6" s="14" t="s">
        <v>12</v>
      </c>
      <c r="D6" s="15">
        <v>52000.0</v>
      </c>
      <c r="E6" s="15">
        <f t="shared" ref="E6:E38" si="1">A6*D6</f>
        <v>52000</v>
      </c>
      <c r="F6" s="15">
        <f>E6*1.21</f>
        <v>62920</v>
      </c>
      <c r="G6" s="3"/>
      <c r="H6" s="3" t="s">
        <v>2</v>
      </c>
      <c r="I6" s="16">
        <v>45000.0</v>
      </c>
      <c r="J6" s="15">
        <f t="shared" ref="J6:J38" si="2">I6*A6</f>
        <v>45000</v>
      </c>
      <c r="K6" s="15">
        <f t="shared" ref="K6:K38" si="3">F6-J6</f>
        <v>17920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4.0</v>
      </c>
      <c r="B7" s="12" t="s">
        <v>13</v>
      </c>
      <c r="C7" s="14" t="s">
        <v>14</v>
      </c>
      <c r="D7" s="15">
        <v>77000.0</v>
      </c>
      <c r="E7" s="15">
        <f t="shared" si="1"/>
        <v>308000</v>
      </c>
      <c r="F7" s="15">
        <f t="shared" ref="F7:F31" si="4">E7*1.105</f>
        <v>340340</v>
      </c>
      <c r="G7" s="3"/>
      <c r="H7" s="3" t="s">
        <v>2</v>
      </c>
      <c r="I7" s="15">
        <v>38000.0</v>
      </c>
      <c r="J7" s="15">
        <f t="shared" si="2"/>
        <v>152000</v>
      </c>
      <c r="K7" s="15">
        <f t="shared" si="3"/>
        <v>188340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11</v>
      </c>
      <c r="C8" s="14" t="s">
        <v>15</v>
      </c>
      <c r="D8" s="15">
        <v>42000.0</v>
      </c>
      <c r="E8" s="15">
        <f t="shared" si="1"/>
        <v>84000</v>
      </c>
      <c r="F8" s="15">
        <f t="shared" si="4"/>
        <v>92820</v>
      </c>
      <c r="G8" s="3"/>
      <c r="H8" s="3" t="s">
        <v>2</v>
      </c>
      <c r="I8" s="15">
        <v>38000.0</v>
      </c>
      <c r="J8" s="15">
        <f t="shared" si="2"/>
        <v>76000</v>
      </c>
      <c r="K8" s="15">
        <f t="shared" si="3"/>
        <v>16820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2.0</v>
      </c>
      <c r="B9" s="12" t="s">
        <v>13</v>
      </c>
      <c r="C9" s="14" t="s">
        <v>16</v>
      </c>
      <c r="D9" s="15">
        <v>30000.0</v>
      </c>
      <c r="E9" s="15">
        <f t="shared" si="1"/>
        <v>60000</v>
      </c>
      <c r="F9" s="15">
        <f t="shared" si="4"/>
        <v>66300</v>
      </c>
      <c r="G9" s="3"/>
      <c r="H9" s="3"/>
      <c r="I9" s="15">
        <v>22000.0</v>
      </c>
      <c r="J9" s="15">
        <f t="shared" si="2"/>
        <v>44000</v>
      </c>
      <c r="K9" s="15">
        <f t="shared" si="3"/>
        <v>22300</v>
      </c>
      <c r="L9" s="4"/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30.0</v>
      </c>
      <c r="B10" s="12" t="s">
        <v>17</v>
      </c>
      <c r="C10" s="14" t="s">
        <v>18</v>
      </c>
      <c r="D10" s="15">
        <v>1500.0</v>
      </c>
      <c r="E10" s="15">
        <f t="shared" si="1"/>
        <v>45000</v>
      </c>
      <c r="F10" s="15">
        <f t="shared" si="4"/>
        <v>49725</v>
      </c>
      <c r="G10" s="3"/>
      <c r="H10" s="3" t="s">
        <v>2</v>
      </c>
      <c r="I10" s="16">
        <v>600.0</v>
      </c>
      <c r="J10" s="15">
        <f t="shared" si="2"/>
        <v>18000</v>
      </c>
      <c r="K10" s="15">
        <f t="shared" si="3"/>
        <v>31725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4.0</v>
      </c>
      <c r="B11" s="12" t="s">
        <v>13</v>
      </c>
      <c r="C11" s="14" t="s">
        <v>19</v>
      </c>
      <c r="D11" s="15">
        <v>46000.0</v>
      </c>
      <c r="E11" s="15">
        <f t="shared" si="1"/>
        <v>184000</v>
      </c>
      <c r="F11" s="15">
        <f t="shared" si="4"/>
        <v>203320</v>
      </c>
      <c r="G11" s="3"/>
      <c r="H11" s="3" t="s">
        <v>2</v>
      </c>
      <c r="I11" s="15">
        <v>37000.0</v>
      </c>
      <c r="J11" s="15">
        <f t="shared" si="2"/>
        <v>148000</v>
      </c>
      <c r="K11" s="15">
        <f t="shared" si="3"/>
        <v>55320</v>
      </c>
      <c r="L11" s="4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11</v>
      </c>
      <c r="C12" s="14" t="s">
        <v>20</v>
      </c>
      <c r="D12" s="15">
        <v>23000.0</v>
      </c>
      <c r="E12" s="15">
        <f t="shared" si="1"/>
        <v>46000</v>
      </c>
      <c r="F12" s="15">
        <f t="shared" si="4"/>
        <v>50830</v>
      </c>
      <c r="G12" s="3"/>
      <c r="H12" s="3" t="s">
        <v>2</v>
      </c>
      <c r="I12" s="15">
        <v>13000.0</v>
      </c>
      <c r="J12" s="15">
        <f t="shared" si="2"/>
        <v>26000</v>
      </c>
      <c r="K12" s="15">
        <f t="shared" si="3"/>
        <v>24830</v>
      </c>
      <c r="L12" s="4"/>
      <c r="M12" s="20"/>
      <c r="N12" s="18"/>
      <c r="O12" s="19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2.0</v>
      </c>
      <c r="B13" s="12" t="s">
        <v>11</v>
      </c>
      <c r="C13" s="14" t="s">
        <v>21</v>
      </c>
      <c r="D13" s="15">
        <v>45000.0</v>
      </c>
      <c r="E13" s="15">
        <f t="shared" si="1"/>
        <v>90000</v>
      </c>
      <c r="F13" s="15">
        <f t="shared" si="4"/>
        <v>99450</v>
      </c>
      <c r="G13" s="3"/>
      <c r="H13" s="3" t="s">
        <v>2</v>
      </c>
      <c r="I13" s="15">
        <v>38000.0</v>
      </c>
      <c r="J13" s="15">
        <f t="shared" si="2"/>
        <v>76000</v>
      </c>
      <c r="K13" s="15">
        <f t="shared" si="3"/>
        <v>23450</v>
      </c>
      <c r="L13" s="4"/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11</v>
      </c>
      <c r="C14" s="14" t="s">
        <v>22</v>
      </c>
      <c r="D14" s="15">
        <v>48000.0</v>
      </c>
      <c r="E14" s="15">
        <f t="shared" si="1"/>
        <v>48000</v>
      </c>
      <c r="F14" s="15">
        <f t="shared" si="4"/>
        <v>53040</v>
      </c>
      <c r="G14" s="3"/>
      <c r="H14" s="3" t="s">
        <v>2</v>
      </c>
      <c r="I14" s="15">
        <v>40000.0</v>
      </c>
      <c r="J14" s="15">
        <f t="shared" si="2"/>
        <v>40000</v>
      </c>
      <c r="K14" s="15">
        <f t="shared" si="3"/>
        <v>13040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11</v>
      </c>
      <c r="C15" s="14" t="s">
        <v>23</v>
      </c>
      <c r="D15" s="15">
        <v>20000.0</v>
      </c>
      <c r="E15" s="15">
        <f t="shared" si="1"/>
        <v>20000</v>
      </c>
      <c r="F15" s="15">
        <f t="shared" si="4"/>
        <v>22100</v>
      </c>
      <c r="G15" s="3"/>
      <c r="H15" s="3"/>
      <c r="I15" s="15">
        <v>15000.0</v>
      </c>
      <c r="J15" s="15">
        <f t="shared" si="2"/>
        <v>15000</v>
      </c>
      <c r="K15" s="15">
        <f t="shared" si="3"/>
        <v>7100</v>
      </c>
      <c r="L15" s="4"/>
      <c r="M15" s="20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11</v>
      </c>
      <c r="C16" s="14" t="s">
        <v>24</v>
      </c>
      <c r="D16" s="15">
        <v>19000.0</v>
      </c>
      <c r="E16" s="15">
        <f t="shared" si="1"/>
        <v>19000</v>
      </c>
      <c r="F16" s="15">
        <f t="shared" si="4"/>
        <v>20995</v>
      </c>
      <c r="G16" s="3"/>
      <c r="H16" s="3" t="s">
        <v>2</v>
      </c>
      <c r="I16" s="16">
        <v>14000.0</v>
      </c>
      <c r="J16" s="15">
        <f t="shared" si="2"/>
        <v>14000</v>
      </c>
      <c r="K16" s="15">
        <f t="shared" si="3"/>
        <v>6995</v>
      </c>
      <c r="L16" s="4"/>
      <c r="M16" s="17"/>
      <c r="N16" s="18"/>
      <c r="O16" s="19"/>
      <c r="P16" s="18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2.0</v>
      </c>
      <c r="B17" s="12" t="s">
        <v>11</v>
      </c>
      <c r="C17" s="14" t="s">
        <v>25</v>
      </c>
      <c r="D17" s="15">
        <v>13000.0</v>
      </c>
      <c r="E17" s="15">
        <f t="shared" si="1"/>
        <v>26000</v>
      </c>
      <c r="F17" s="15">
        <f t="shared" si="4"/>
        <v>28730</v>
      </c>
      <c r="G17" s="3"/>
      <c r="H17" s="3" t="s">
        <v>2</v>
      </c>
      <c r="I17" s="15">
        <v>10000.0</v>
      </c>
      <c r="J17" s="15">
        <f t="shared" si="2"/>
        <v>20000</v>
      </c>
      <c r="K17" s="15">
        <f t="shared" si="3"/>
        <v>8730</v>
      </c>
      <c r="L17" s="4"/>
      <c r="M17" s="20"/>
      <c r="N17" s="18"/>
      <c r="O17" s="19"/>
      <c r="P17" s="21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2.0</v>
      </c>
      <c r="B18" s="12" t="s">
        <v>26</v>
      </c>
      <c r="C18" s="14" t="s">
        <v>27</v>
      </c>
      <c r="D18" s="15">
        <v>3000.0</v>
      </c>
      <c r="E18" s="15">
        <f t="shared" si="1"/>
        <v>6000</v>
      </c>
      <c r="F18" s="15">
        <f t="shared" si="4"/>
        <v>6630</v>
      </c>
      <c r="G18" s="3"/>
      <c r="H18" s="3" t="s">
        <v>2</v>
      </c>
      <c r="I18" s="15">
        <v>1800.0</v>
      </c>
      <c r="J18" s="15">
        <f t="shared" si="2"/>
        <v>3600</v>
      </c>
      <c r="K18" s="15">
        <f t="shared" si="3"/>
        <v>3030</v>
      </c>
      <c r="L18" s="4"/>
      <c r="M18" s="20"/>
      <c r="N18" s="18"/>
      <c r="O18" s="19"/>
      <c r="P18" s="21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10.0</v>
      </c>
      <c r="B19" s="12" t="s">
        <v>28</v>
      </c>
      <c r="C19" s="14" t="s">
        <v>29</v>
      </c>
      <c r="D19" s="15">
        <v>3000.0</v>
      </c>
      <c r="E19" s="15">
        <f t="shared" si="1"/>
        <v>30000</v>
      </c>
      <c r="F19" s="15">
        <f t="shared" si="4"/>
        <v>33150</v>
      </c>
      <c r="G19" s="3"/>
      <c r="H19" s="3"/>
      <c r="I19" s="15">
        <v>2000.0</v>
      </c>
      <c r="J19" s="15">
        <f t="shared" si="2"/>
        <v>20000</v>
      </c>
      <c r="K19" s="15">
        <f t="shared" si="3"/>
        <v>13150</v>
      </c>
      <c r="L19" s="4"/>
      <c r="M19" s="20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1.0</v>
      </c>
      <c r="B20" s="12" t="s">
        <v>11</v>
      </c>
      <c r="C20" s="14" t="s">
        <v>30</v>
      </c>
      <c r="D20" s="15">
        <v>12000.0</v>
      </c>
      <c r="E20" s="15">
        <f t="shared" si="1"/>
        <v>12000</v>
      </c>
      <c r="F20" s="15">
        <f t="shared" si="4"/>
        <v>13260</v>
      </c>
      <c r="G20" s="3"/>
      <c r="H20" s="3" t="s">
        <v>2</v>
      </c>
      <c r="I20" s="16">
        <v>8000.0</v>
      </c>
      <c r="J20" s="15">
        <f t="shared" si="2"/>
        <v>8000</v>
      </c>
      <c r="K20" s="15">
        <f t="shared" si="3"/>
        <v>5260</v>
      </c>
      <c r="L20" s="4"/>
      <c r="M20" s="17"/>
      <c r="N20" s="18"/>
      <c r="O20" s="19"/>
      <c r="P20" s="18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1.0</v>
      </c>
      <c r="B21" s="12" t="s">
        <v>11</v>
      </c>
      <c r="C21" s="14" t="s">
        <v>31</v>
      </c>
      <c r="D21" s="15">
        <v>16000.0</v>
      </c>
      <c r="E21" s="15">
        <f t="shared" si="1"/>
        <v>16000</v>
      </c>
      <c r="F21" s="15">
        <f t="shared" si="4"/>
        <v>17680</v>
      </c>
      <c r="G21" s="3"/>
      <c r="H21" s="3" t="s">
        <v>2</v>
      </c>
      <c r="I21" s="15">
        <v>12000.0</v>
      </c>
      <c r="J21" s="15">
        <f t="shared" si="2"/>
        <v>12000</v>
      </c>
      <c r="K21" s="15">
        <f t="shared" si="3"/>
        <v>5680</v>
      </c>
      <c r="L21" s="4"/>
      <c r="M21" s="20"/>
      <c r="N21" s="18"/>
      <c r="O21" s="19"/>
      <c r="P21" s="21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2.0</v>
      </c>
      <c r="B22" s="12" t="s">
        <v>32</v>
      </c>
      <c r="C22" s="14" t="s">
        <v>33</v>
      </c>
      <c r="D22" s="15">
        <v>15000.0</v>
      </c>
      <c r="E22" s="15">
        <f t="shared" si="1"/>
        <v>30000</v>
      </c>
      <c r="F22" s="15">
        <f t="shared" si="4"/>
        <v>33150</v>
      </c>
      <c r="G22" s="3"/>
      <c r="H22" s="3" t="s">
        <v>2</v>
      </c>
      <c r="I22" s="15">
        <v>10000.0</v>
      </c>
      <c r="J22" s="15">
        <f t="shared" si="2"/>
        <v>20000</v>
      </c>
      <c r="K22" s="15">
        <f t="shared" si="3"/>
        <v>13150</v>
      </c>
      <c r="L22" s="4"/>
      <c r="M22" s="20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1.0</v>
      </c>
      <c r="B23" s="12" t="s">
        <v>32</v>
      </c>
      <c r="C23" s="14" t="s">
        <v>34</v>
      </c>
      <c r="D23" s="15">
        <v>18000.0</v>
      </c>
      <c r="E23" s="15">
        <f t="shared" si="1"/>
        <v>18000</v>
      </c>
      <c r="F23" s="15">
        <f t="shared" si="4"/>
        <v>19890</v>
      </c>
      <c r="G23" s="6"/>
      <c r="H23" s="3"/>
      <c r="I23" s="15">
        <v>12000.0</v>
      </c>
      <c r="J23" s="15">
        <f t="shared" si="2"/>
        <v>12000</v>
      </c>
      <c r="K23" s="15">
        <f t="shared" si="3"/>
        <v>7890</v>
      </c>
      <c r="L23" s="4"/>
      <c r="M23" s="20"/>
      <c r="N23" s="21"/>
      <c r="P23" s="21"/>
      <c r="Q23" s="21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2.0</v>
      </c>
      <c r="B24" s="12" t="s">
        <v>11</v>
      </c>
      <c r="C24" s="14" t="s">
        <v>35</v>
      </c>
      <c r="D24" s="15">
        <v>32000.0</v>
      </c>
      <c r="E24" s="15">
        <f t="shared" si="1"/>
        <v>64000</v>
      </c>
      <c r="F24" s="15">
        <f t="shared" si="4"/>
        <v>70720</v>
      </c>
      <c r="G24" s="6"/>
      <c r="H24" s="3"/>
      <c r="I24" s="15">
        <v>30000.0</v>
      </c>
      <c r="J24" s="15">
        <f t="shared" si="2"/>
        <v>60000</v>
      </c>
      <c r="K24" s="15">
        <f t="shared" si="3"/>
        <v>10720</v>
      </c>
      <c r="L24" s="4"/>
      <c r="M24" s="20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2.0</v>
      </c>
      <c r="B25" s="12" t="s">
        <v>11</v>
      </c>
      <c r="C25" s="14" t="s">
        <v>36</v>
      </c>
      <c r="D25" s="15">
        <v>35000.0</v>
      </c>
      <c r="E25" s="15">
        <f t="shared" si="1"/>
        <v>70000</v>
      </c>
      <c r="F25" s="15">
        <f t="shared" si="4"/>
        <v>77350</v>
      </c>
      <c r="G25" s="6"/>
      <c r="H25" s="3"/>
      <c r="I25" s="15">
        <v>26000.0</v>
      </c>
      <c r="J25" s="15">
        <f t="shared" si="2"/>
        <v>52000</v>
      </c>
      <c r="K25" s="15">
        <f t="shared" si="3"/>
        <v>25350</v>
      </c>
      <c r="L25" s="4"/>
      <c r="M25" s="20"/>
      <c r="N25" s="21"/>
      <c r="P25" s="21"/>
      <c r="Q25" s="21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2.0</v>
      </c>
      <c r="B26" s="12" t="s">
        <v>17</v>
      </c>
      <c r="C26" s="14" t="s">
        <v>37</v>
      </c>
      <c r="D26" s="15">
        <v>5000.0</v>
      </c>
      <c r="E26" s="15">
        <f t="shared" si="1"/>
        <v>10000</v>
      </c>
      <c r="F26" s="15">
        <f t="shared" si="4"/>
        <v>11050</v>
      </c>
      <c r="G26" s="6"/>
      <c r="H26" s="3"/>
      <c r="I26" s="15">
        <v>4000.0</v>
      </c>
      <c r="J26" s="15">
        <f t="shared" si="2"/>
        <v>8000</v>
      </c>
      <c r="K26" s="15">
        <f t="shared" si="3"/>
        <v>3050</v>
      </c>
      <c r="L26" s="4"/>
      <c r="M26" s="20"/>
      <c r="N26" s="21"/>
      <c r="P26" s="21"/>
      <c r="Q26" s="21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15.0</v>
      </c>
      <c r="B27" s="12" t="s">
        <v>5</v>
      </c>
      <c r="C27" s="14" t="s">
        <v>38</v>
      </c>
      <c r="D27" s="15">
        <v>1300.0</v>
      </c>
      <c r="E27" s="15">
        <f t="shared" si="1"/>
        <v>19500</v>
      </c>
      <c r="F27" s="15">
        <f t="shared" si="4"/>
        <v>21547.5</v>
      </c>
      <c r="G27" s="6"/>
      <c r="H27" s="3"/>
      <c r="I27" s="15">
        <f>50000/70</f>
        <v>714.2857143</v>
      </c>
      <c r="J27" s="15">
        <f t="shared" si="2"/>
        <v>10714.28571</v>
      </c>
      <c r="K27" s="15">
        <f t="shared" si="3"/>
        <v>10833.21429</v>
      </c>
      <c r="L27" s="4"/>
      <c r="M27" s="20"/>
      <c r="N27" s="21"/>
      <c r="P27" s="21"/>
      <c r="Q27" s="21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6.0</v>
      </c>
      <c r="B28" s="12" t="s">
        <v>39</v>
      </c>
      <c r="C28" s="14" t="s">
        <v>40</v>
      </c>
      <c r="D28" s="15">
        <v>2500.0</v>
      </c>
      <c r="E28" s="15">
        <f t="shared" si="1"/>
        <v>15000</v>
      </c>
      <c r="F28" s="15">
        <f t="shared" si="4"/>
        <v>16575</v>
      </c>
      <c r="G28" s="6"/>
      <c r="H28" s="3"/>
      <c r="I28" s="15">
        <f>16000/12</f>
        <v>1333.333333</v>
      </c>
      <c r="J28" s="15">
        <f t="shared" si="2"/>
        <v>8000</v>
      </c>
      <c r="K28" s="15">
        <f t="shared" si="3"/>
        <v>8575</v>
      </c>
      <c r="L28" s="4"/>
      <c r="M28" s="20"/>
      <c r="N28" s="21"/>
      <c r="P28" s="21"/>
      <c r="Q28" s="21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5.0</v>
      </c>
      <c r="B29" s="12" t="s">
        <v>17</v>
      </c>
      <c r="C29" s="14" t="s">
        <v>41</v>
      </c>
      <c r="D29" s="15">
        <v>20000.0</v>
      </c>
      <c r="E29" s="15">
        <f t="shared" si="1"/>
        <v>100000</v>
      </c>
      <c r="F29" s="15">
        <f t="shared" si="4"/>
        <v>110500</v>
      </c>
      <c r="G29" s="6"/>
      <c r="H29" s="3"/>
      <c r="I29" s="15">
        <f>75000/5</f>
        <v>15000</v>
      </c>
      <c r="J29" s="15">
        <f t="shared" si="2"/>
        <v>75000</v>
      </c>
      <c r="K29" s="15">
        <f t="shared" si="3"/>
        <v>35500</v>
      </c>
      <c r="L29" s="4"/>
      <c r="M29" s="20"/>
      <c r="N29" s="21"/>
      <c r="P29" s="21"/>
      <c r="Q29" s="21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2.0</v>
      </c>
      <c r="B30" s="12" t="s">
        <v>32</v>
      </c>
      <c r="C30" s="14" t="s">
        <v>35</v>
      </c>
      <c r="D30" s="15">
        <v>32000.0</v>
      </c>
      <c r="E30" s="15">
        <f t="shared" si="1"/>
        <v>64000</v>
      </c>
      <c r="F30" s="15">
        <f t="shared" si="4"/>
        <v>70720</v>
      </c>
      <c r="G30" s="6" t="s">
        <v>42</v>
      </c>
      <c r="H30" s="3"/>
      <c r="I30" s="15"/>
      <c r="J30" s="15">
        <f t="shared" si="2"/>
        <v>0</v>
      </c>
      <c r="K30" s="15">
        <f t="shared" si="3"/>
        <v>70720</v>
      </c>
      <c r="L30" s="4"/>
      <c r="M30" s="20"/>
      <c r="N30" s="21"/>
      <c r="P30" s="21"/>
      <c r="Q30" s="21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1.0</v>
      </c>
      <c r="B31" s="12" t="s">
        <v>13</v>
      </c>
      <c r="C31" s="14" t="s">
        <v>19</v>
      </c>
      <c r="D31" s="15">
        <v>46000.0</v>
      </c>
      <c r="E31" s="15">
        <f t="shared" si="1"/>
        <v>46000</v>
      </c>
      <c r="F31" s="15">
        <f t="shared" si="4"/>
        <v>50830</v>
      </c>
      <c r="G31" s="6" t="s">
        <v>42</v>
      </c>
      <c r="H31" s="3"/>
      <c r="I31" s="15"/>
      <c r="J31" s="15">
        <f t="shared" si="2"/>
        <v>0</v>
      </c>
      <c r="K31" s="15">
        <f t="shared" si="3"/>
        <v>50830</v>
      </c>
      <c r="L31" s="4"/>
      <c r="M31" s="20"/>
      <c r="N31" s="21"/>
      <c r="P31" s="21"/>
      <c r="Q31" s="21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0.5</v>
      </c>
      <c r="B32" s="12" t="s">
        <v>32</v>
      </c>
      <c r="C32" s="14" t="s">
        <v>12</v>
      </c>
      <c r="D32" s="15">
        <v>52000.0</v>
      </c>
      <c r="E32" s="15">
        <f t="shared" si="1"/>
        <v>26000</v>
      </c>
      <c r="F32" s="15">
        <f>E32*1.21</f>
        <v>31460</v>
      </c>
      <c r="G32" s="6" t="s">
        <v>42</v>
      </c>
      <c r="H32" s="3"/>
      <c r="I32" s="15"/>
      <c r="J32" s="15">
        <f t="shared" si="2"/>
        <v>0</v>
      </c>
      <c r="K32" s="15">
        <f t="shared" si="3"/>
        <v>31460</v>
      </c>
      <c r="L32" s="4"/>
      <c r="M32" s="20"/>
      <c r="N32" s="21"/>
      <c r="P32" s="21"/>
      <c r="Q32" s="21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32</v>
      </c>
      <c r="C33" s="14" t="s">
        <v>36</v>
      </c>
      <c r="D33" s="15">
        <v>35000.0</v>
      </c>
      <c r="E33" s="15">
        <f t="shared" si="1"/>
        <v>35000</v>
      </c>
      <c r="F33" s="15">
        <f t="shared" ref="F33:F38" si="5">E33*1.105</f>
        <v>38675</v>
      </c>
      <c r="G33" s="6" t="s">
        <v>42</v>
      </c>
      <c r="H33" s="3"/>
      <c r="I33" s="15"/>
      <c r="J33" s="15">
        <f t="shared" si="2"/>
        <v>0</v>
      </c>
      <c r="K33" s="15">
        <f t="shared" si="3"/>
        <v>38675</v>
      </c>
      <c r="L33" s="4"/>
      <c r="M33" s="20"/>
      <c r="N33" s="21"/>
      <c r="P33" s="21"/>
      <c r="Q33" s="21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32</v>
      </c>
      <c r="C34" s="14" t="s">
        <v>31</v>
      </c>
      <c r="D34" s="15">
        <v>16000.0</v>
      </c>
      <c r="E34" s="15">
        <f t="shared" si="1"/>
        <v>16000</v>
      </c>
      <c r="F34" s="15">
        <f t="shared" si="5"/>
        <v>17680</v>
      </c>
      <c r="G34" s="6" t="s">
        <v>42</v>
      </c>
      <c r="H34" s="3"/>
      <c r="I34" s="15"/>
      <c r="J34" s="15">
        <f t="shared" si="2"/>
        <v>0</v>
      </c>
      <c r="K34" s="15">
        <f t="shared" si="3"/>
        <v>17680</v>
      </c>
      <c r="L34" s="4"/>
      <c r="M34" s="20"/>
      <c r="N34" s="21"/>
      <c r="P34" s="21"/>
      <c r="Q34" s="21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1.0</v>
      </c>
      <c r="B35" s="12" t="s">
        <v>32</v>
      </c>
      <c r="C35" s="14" t="s">
        <v>43</v>
      </c>
      <c r="D35" s="15">
        <v>19000.0</v>
      </c>
      <c r="E35" s="15">
        <f t="shared" si="1"/>
        <v>19000</v>
      </c>
      <c r="F35" s="15">
        <f t="shared" si="5"/>
        <v>20995</v>
      </c>
      <c r="G35" s="6" t="s">
        <v>42</v>
      </c>
      <c r="H35" s="3"/>
      <c r="I35" s="15"/>
      <c r="J35" s="15">
        <f t="shared" si="2"/>
        <v>0</v>
      </c>
      <c r="K35" s="15">
        <f t="shared" si="3"/>
        <v>20995</v>
      </c>
      <c r="L35" s="4"/>
      <c r="M35" s="20"/>
      <c r="N35" s="21"/>
      <c r="P35" s="21"/>
      <c r="Q35" s="21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1.0</v>
      </c>
      <c r="B36" s="12" t="s">
        <v>32</v>
      </c>
      <c r="C36" s="14" t="s">
        <v>44</v>
      </c>
      <c r="D36" s="15">
        <v>20000.0</v>
      </c>
      <c r="E36" s="15">
        <f t="shared" si="1"/>
        <v>20000</v>
      </c>
      <c r="F36" s="15">
        <f t="shared" si="5"/>
        <v>22100</v>
      </c>
      <c r="G36" s="6" t="s">
        <v>42</v>
      </c>
      <c r="H36" s="3"/>
      <c r="I36" s="15"/>
      <c r="J36" s="15">
        <f t="shared" si="2"/>
        <v>0</v>
      </c>
      <c r="K36" s="15">
        <f t="shared" si="3"/>
        <v>22100</v>
      </c>
      <c r="L36" s="4"/>
      <c r="M36" s="20"/>
      <c r="N36" s="21"/>
      <c r="P36" s="21"/>
      <c r="Q36" s="21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32</v>
      </c>
      <c r="C37" s="14" t="s">
        <v>45</v>
      </c>
      <c r="D37" s="15">
        <v>48000.0</v>
      </c>
      <c r="E37" s="15">
        <f t="shared" si="1"/>
        <v>48000</v>
      </c>
      <c r="F37" s="15">
        <f t="shared" si="5"/>
        <v>53040</v>
      </c>
      <c r="G37" s="6" t="s">
        <v>42</v>
      </c>
      <c r="H37" s="3"/>
      <c r="I37" s="15"/>
      <c r="J37" s="15">
        <f t="shared" si="2"/>
        <v>0</v>
      </c>
      <c r="K37" s="15">
        <f t="shared" si="3"/>
        <v>53040</v>
      </c>
      <c r="L37" s="4"/>
      <c r="M37" s="20"/>
      <c r="N37" s="21"/>
      <c r="P37" s="21"/>
      <c r="Q37" s="21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1.0</v>
      </c>
      <c r="B38" s="12" t="s">
        <v>32</v>
      </c>
      <c r="C38" s="14" t="s">
        <v>14</v>
      </c>
      <c r="D38" s="15">
        <v>77000.0</v>
      </c>
      <c r="E38" s="15">
        <f t="shared" si="1"/>
        <v>77000</v>
      </c>
      <c r="F38" s="15">
        <f t="shared" si="5"/>
        <v>85085</v>
      </c>
      <c r="G38" s="6" t="s">
        <v>46</v>
      </c>
      <c r="H38" s="3"/>
      <c r="I38" s="15"/>
      <c r="J38" s="15">
        <f t="shared" si="2"/>
        <v>0</v>
      </c>
      <c r="K38" s="15">
        <f t="shared" si="3"/>
        <v>85085</v>
      </c>
      <c r="L38" s="4"/>
      <c r="M38" s="20"/>
      <c r="N38" s="21"/>
      <c r="P38" s="21"/>
      <c r="Q38" s="21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/>
      <c r="B39" s="12"/>
      <c r="C39" s="14"/>
      <c r="D39" s="15"/>
      <c r="E39" s="3"/>
      <c r="F39" s="3"/>
      <c r="G39" s="3"/>
      <c r="H39" s="3"/>
      <c r="I39" s="3"/>
      <c r="J39" s="3"/>
      <c r="K39" s="3"/>
      <c r="L39" s="4"/>
      <c r="N39" s="21"/>
      <c r="P39" s="21"/>
      <c r="Q39" s="21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/>
      <c r="B40" s="12"/>
      <c r="C40" s="14"/>
      <c r="D40" s="15"/>
      <c r="E40" s="15">
        <f t="shared" ref="E40:F40" si="6">SUM(E6:E38)</f>
        <v>1723500</v>
      </c>
      <c r="F40" s="15">
        <f t="shared" si="6"/>
        <v>1912657.5</v>
      </c>
      <c r="G40" s="3"/>
      <c r="H40" s="3"/>
      <c r="I40" s="3"/>
      <c r="J40" s="3"/>
      <c r="K40" s="15">
        <f>SUM(K6:K38)</f>
        <v>949343.2143</v>
      </c>
      <c r="L40" s="22">
        <f>K40/F40</f>
        <v>0.4963477331</v>
      </c>
      <c r="M40" s="2"/>
      <c r="N40" s="21"/>
      <c r="P40" s="21"/>
      <c r="Q40" s="21"/>
      <c r="R40" s="2"/>
      <c r="S40" s="3"/>
      <c r="T40" s="3"/>
      <c r="U40" s="1"/>
      <c r="V40" s="3"/>
      <c r="W40" s="3"/>
      <c r="X40" s="3"/>
      <c r="Y40" s="3"/>
      <c r="Z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21"/>
      <c r="P41" s="21"/>
      <c r="Q41" s="21"/>
      <c r="R41" s="2"/>
      <c r="S41" s="3"/>
      <c r="T41" s="3"/>
      <c r="U41" s="1"/>
      <c r="V41" s="3"/>
      <c r="W41" s="3"/>
      <c r="X41" s="3"/>
      <c r="Y41" s="3"/>
      <c r="Z41" s="3"/>
    </row>
    <row r="42">
      <c r="A42" s="23"/>
      <c r="B42" s="23"/>
      <c r="C42" s="23"/>
      <c r="D42" s="7"/>
      <c r="E42" s="24"/>
      <c r="F42" s="7"/>
      <c r="G42" s="6"/>
      <c r="H42" s="3"/>
      <c r="I42" s="8"/>
      <c r="J42" s="8"/>
      <c r="K42" s="8"/>
      <c r="L42" s="4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23" t="s">
        <v>47</v>
      </c>
      <c r="B43" s="23"/>
      <c r="C43" s="23"/>
      <c r="D43" s="25" t="s">
        <v>48</v>
      </c>
      <c r="E43" s="7">
        <v>46027.0</v>
      </c>
      <c r="F43" s="7"/>
      <c r="G43" s="6"/>
      <c r="H43" s="3"/>
      <c r="I43" s="8" t="s">
        <v>3</v>
      </c>
      <c r="L43" s="4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B44" s="24"/>
      <c r="C44" s="26"/>
      <c r="D44" s="7"/>
      <c r="E44" s="24"/>
      <c r="F44" s="3"/>
      <c r="G44" s="3"/>
      <c r="H44" s="3"/>
      <c r="I44" s="3"/>
      <c r="J44" s="3"/>
      <c r="K44" s="3"/>
      <c r="L44" s="4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5" t="s">
        <v>4</v>
      </c>
      <c r="B45" s="10" t="s">
        <v>5</v>
      </c>
      <c r="C45" s="11" t="s">
        <v>6</v>
      </c>
      <c r="D45" s="12" t="s">
        <v>7</v>
      </c>
      <c r="E45" s="10" t="s">
        <v>8</v>
      </c>
      <c r="F45" s="10"/>
      <c r="G45" s="3"/>
      <c r="H45" s="3"/>
      <c r="I45" s="27" t="s">
        <v>7</v>
      </c>
      <c r="J45" s="10" t="s">
        <v>8</v>
      </c>
      <c r="K45" s="10" t="s">
        <v>10</v>
      </c>
      <c r="L45" s="4"/>
      <c r="M45" s="19"/>
      <c r="N45" s="18"/>
      <c r="O45" s="19"/>
      <c r="P45" s="18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2.0</v>
      </c>
      <c r="B46" s="12" t="s">
        <v>5</v>
      </c>
      <c r="C46" s="14" t="s">
        <v>49</v>
      </c>
      <c r="D46" s="15">
        <v>1500.0</v>
      </c>
      <c r="E46" s="16">
        <f t="shared" ref="E46:E56" si="7">A46*D46</f>
        <v>3000</v>
      </c>
      <c r="F46" s="15"/>
      <c r="G46" s="2"/>
      <c r="H46" s="3"/>
      <c r="I46" s="15">
        <v>1000.0</v>
      </c>
      <c r="J46" s="15">
        <f t="shared" ref="J46:J56" si="8">I46*A46</f>
        <v>2000</v>
      </c>
      <c r="K46" s="15">
        <f t="shared" ref="K46:K56" si="9">E46-J46</f>
        <v>1000</v>
      </c>
      <c r="L46" s="22"/>
      <c r="N46" s="21"/>
      <c r="P46" s="21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1.0</v>
      </c>
      <c r="B47" s="12" t="s">
        <v>39</v>
      </c>
      <c r="C47" s="14" t="s">
        <v>50</v>
      </c>
      <c r="D47" s="15">
        <v>17500.0</v>
      </c>
      <c r="E47" s="16">
        <f t="shared" si="7"/>
        <v>17500</v>
      </c>
      <c r="F47" s="15"/>
      <c r="G47" s="2"/>
      <c r="H47" s="3" t="s">
        <v>2</v>
      </c>
      <c r="I47" s="15">
        <v>13000.0</v>
      </c>
      <c r="J47" s="15">
        <f t="shared" si="8"/>
        <v>13000</v>
      </c>
      <c r="K47" s="15">
        <f t="shared" si="9"/>
        <v>4500</v>
      </c>
      <c r="L47" s="22"/>
      <c r="N47" s="21"/>
      <c r="P47" s="21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2.0</v>
      </c>
      <c r="B48" s="12" t="s">
        <v>28</v>
      </c>
      <c r="C48" s="14" t="s">
        <v>51</v>
      </c>
      <c r="D48" s="15">
        <v>3000.0</v>
      </c>
      <c r="E48" s="16">
        <f t="shared" si="7"/>
        <v>6000</v>
      </c>
      <c r="F48" s="15"/>
      <c r="G48" s="2"/>
      <c r="H48" s="3"/>
      <c r="I48" s="16">
        <v>2000.0</v>
      </c>
      <c r="J48" s="15">
        <f t="shared" si="8"/>
        <v>4000</v>
      </c>
      <c r="K48" s="15">
        <f t="shared" si="9"/>
        <v>2000</v>
      </c>
      <c r="L48" s="22"/>
      <c r="N48" s="21"/>
      <c r="P48" s="21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2.0</v>
      </c>
      <c r="B49" s="12" t="s">
        <v>13</v>
      </c>
      <c r="C49" s="14" t="s">
        <v>22</v>
      </c>
      <c r="D49" s="15">
        <v>45000.0</v>
      </c>
      <c r="E49" s="16">
        <f t="shared" si="7"/>
        <v>90000</v>
      </c>
      <c r="F49" s="15"/>
      <c r="G49" s="2"/>
      <c r="H49" s="2"/>
      <c r="I49" s="16">
        <v>40000.0</v>
      </c>
      <c r="J49" s="15">
        <f t="shared" si="8"/>
        <v>80000</v>
      </c>
      <c r="K49" s="15">
        <f t="shared" si="9"/>
        <v>10000</v>
      </c>
      <c r="L49" s="22"/>
      <c r="N49" s="21"/>
      <c r="P49" s="21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2.0</v>
      </c>
      <c r="B50" s="12" t="s">
        <v>11</v>
      </c>
      <c r="C50" s="14" t="s">
        <v>20</v>
      </c>
      <c r="D50" s="15">
        <v>16000.0</v>
      </c>
      <c r="E50" s="16">
        <f t="shared" si="7"/>
        <v>32000</v>
      </c>
      <c r="F50" s="15"/>
      <c r="G50" s="2"/>
      <c r="H50" s="3"/>
      <c r="I50" s="15">
        <v>13000.0</v>
      </c>
      <c r="J50" s="15">
        <f t="shared" si="8"/>
        <v>26000</v>
      </c>
      <c r="K50" s="15">
        <f t="shared" si="9"/>
        <v>6000</v>
      </c>
      <c r="L50" s="22"/>
      <c r="M50" s="20"/>
      <c r="N50" s="21"/>
      <c r="P50" s="21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1.0</v>
      </c>
      <c r="B51" s="12" t="s">
        <v>11</v>
      </c>
      <c r="C51" s="14" t="s">
        <v>52</v>
      </c>
      <c r="D51" s="15">
        <v>12000.0</v>
      </c>
      <c r="E51" s="16">
        <f t="shared" si="7"/>
        <v>12000</v>
      </c>
      <c r="F51" s="15"/>
      <c r="G51" s="2"/>
      <c r="H51" s="3"/>
      <c r="I51" s="15">
        <v>7000.0</v>
      </c>
      <c r="J51" s="15">
        <f t="shared" si="8"/>
        <v>7000</v>
      </c>
      <c r="K51" s="15">
        <f t="shared" si="9"/>
        <v>5000</v>
      </c>
      <c r="L51" s="22"/>
      <c r="M51" s="20"/>
      <c r="N51" s="21"/>
      <c r="P51" s="21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1.0</v>
      </c>
      <c r="B52" s="12" t="s">
        <v>13</v>
      </c>
      <c r="C52" s="14" t="s">
        <v>38</v>
      </c>
      <c r="D52" s="15">
        <v>60000.0</v>
      </c>
      <c r="E52" s="16">
        <f t="shared" si="7"/>
        <v>60000</v>
      </c>
      <c r="F52" s="15"/>
      <c r="G52" s="2"/>
      <c r="I52" s="15">
        <v>50000.0</v>
      </c>
      <c r="J52" s="15">
        <f t="shared" si="8"/>
        <v>50000</v>
      </c>
      <c r="K52" s="15">
        <f t="shared" si="9"/>
        <v>10000</v>
      </c>
      <c r="L52" s="22"/>
      <c r="N52" s="21"/>
      <c r="P52" s="21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2.0</v>
      </c>
      <c r="B53" s="12" t="s">
        <v>28</v>
      </c>
      <c r="C53" s="14" t="s">
        <v>53</v>
      </c>
      <c r="D53" s="15">
        <v>4000.0</v>
      </c>
      <c r="E53" s="16">
        <f t="shared" si="7"/>
        <v>8000</v>
      </c>
      <c r="F53" s="15"/>
      <c r="G53" s="2"/>
      <c r="H53" s="3" t="s">
        <v>2</v>
      </c>
      <c r="I53" s="16">
        <v>2000.0</v>
      </c>
      <c r="J53" s="15">
        <f t="shared" si="8"/>
        <v>4000</v>
      </c>
      <c r="K53" s="15">
        <f t="shared" si="9"/>
        <v>4000</v>
      </c>
      <c r="L53" s="22"/>
      <c r="N53" s="21"/>
      <c r="P53" s="21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1.0</v>
      </c>
      <c r="B54" s="12" t="s">
        <v>11</v>
      </c>
      <c r="C54" s="14" t="s">
        <v>35</v>
      </c>
      <c r="D54" s="15">
        <v>35000.0</v>
      </c>
      <c r="E54" s="16">
        <f t="shared" si="7"/>
        <v>35000</v>
      </c>
      <c r="F54" s="15"/>
      <c r="G54" s="2"/>
      <c r="H54" s="3"/>
      <c r="I54" s="15">
        <v>30000.0</v>
      </c>
      <c r="J54" s="15">
        <f t="shared" si="8"/>
        <v>30000</v>
      </c>
      <c r="K54" s="15">
        <f t="shared" si="9"/>
        <v>5000</v>
      </c>
      <c r="L54" s="22"/>
      <c r="N54" s="21"/>
      <c r="P54" s="21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3.0</v>
      </c>
      <c r="B55" s="12" t="s">
        <v>28</v>
      </c>
      <c r="C55" s="14" t="s">
        <v>54</v>
      </c>
      <c r="D55" s="15">
        <v>4000.0</v>
      </c>
      <c r="E55" s="16">
        <f t="shared" si="7"/>
        <v>12000</v>
      </c>
      <c r="F55" s="15"/>
      <c r="G55" s="2"/>
      <c r="H55" s="3" t="s">
        <v>2</v>
      </c>
      <c r="I55" s="15">
        <v>3000.0</v>
      </c>
      <c r="J55" s="15">
        <f t="shared" si="8"/>
        <v>9000</v>
      </c>
      <c r="K55" s="15">
        <f t="shared" si="9"/>
        <v>3000</v>
      </c>
      <c r="L55" s="22"/>
      <c r="N55" s="21"/>
      <c r="P55" s="21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6.0</v>
      </c>
      <c r="B56" s="12" t="s">
        <v>5</v>
      </c>
      <c r="C56" s="14" t="s">
        <v>55</v>
      </c>
      <c r="D56" s="15">
        <v>2500.0</v>
      </c>
      <c r="E56" s="16">
        <f t="shared" si="7"/>
        <v>15000</v>
      </c>
      <c r="F56" s="15"/>
      <c r="G56" s="2"/>
      <c r="H56" s="3"/>
      <c r="I56" s="16">
        <f>15000/12</f>
        <v>1250</v>
      </c>
      <c r="J56" s="15">
        <f t="shared" si="8"/>
        <v>7500</v>
      </c>
      <c r="K56" s="15">
        <f t="shared" si="9"/>
        <v>7500</v>
      </c>
      <c r="L56" s="22"/>
      <c r="N56" s="21"/>
      <c r="P56" s="21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/>
      <c r="B57" s="12"/>
      <c r="C57" s="14"/>
      <c r="D57" s="15"/>
      <c r="E57" s="16"/>
      <c r="F57" s="10"/>
      <c r="G57" s="3"/>
      <c r="H57" s="3"/>
      <c r="I57" s="3"/>
      <c r="J57" s="3"/>
      <c r="K57" s="3"/>
      <c r="L57" s="4"/>
      <c r="M57" s="17"/>
      <c r="N57" s="18"/>
      <c r="O57" s="19"/>
      <c r="P57" s="18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/>
      <c r="B58" s="12"/>
      <c r="C58" s="14"/>
      <c r="D58" s="15"/>
      <c r="E58" s="16">
        <f>SUM(E46:E56)</f>
        <v>290500</v>
      </c>
      <c r="F58" s="15"/>
      <c r="G58" s="2"/>
      <c r="H58" s="3"/>
      <c r="I58" s="3"/>
      <c r="J58" s="3"/>
      <c r="K58" s="15">
        <f>SUM(K46:K56)</f>
        <v>58000</v>
      </c>
      <c r="L58" s="22">
        <f>K58/E58</f>
        <v>0.1996557659</v>
      </c>
      <c r="M58" s="20"/>
      <c r="N58" s="21"/>
      <c r="P58" s="21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16"/>
      <c r="F59" s="15"/>
      <c r="G59" s="2"/>
      <c r="H59" s="3"/>
      <c r="I59" s="16"/>
      <c r="J59" s="15"/>
      <c r="K59" s="15"/>
      <c r="L59" s="25"/>
      <c r="M59" s="20"/>
      <c r="N59" s="21"/>
      <c r="P59" s="21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/>
      <c r="B60" s="12"/>
      <c r="C60" s="14"/>
      <c r="D60" s="15"/>
      <c r="E60" s="16"/>
      <c r="F60" s="15"/>
      <c r="G60" s="2"/>
      <c r="H60" s="3"/>
      <c r="I60" s="15"/>
      <c r="J60" s="15"/>
      <c r="K60" s="15"/>
      <c r="L60" s="25"/>
      <c r="M60" s="20"/>
      <c r="N60" s="21"/>
      <c r="P60" s="21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"/>
      <c r="B61" s="2"/>
      <c r="C61" s="2"/>
      <c r="D61" s="3"/>
      <c r="E61" s="3"/>
      <c r="F61" s="3"/>
      <c r="G61" s="2"/>
      <c r="H61" s="2"/>
      <c r="I61" s="2"/>
      <c r="J61" s="2"/>
      <c r="K61" s="3"/>
      <c r="L61" s="4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"/>
      <c r="B62" s="2"/>
      <c r="C62" s="2"/>
      <c r="D62" s="7"/>
      <c r="E62" s="3"/>
      <c r="F62" s="3"/>
      <c r="G62" s="2"/>
      <c r="H62" s="2"/>
      <c r="I62" s="2"/>
      <c r="J62" s="2"/>
      <c r="K62" s="3"/>
      <c r="L62" s="4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23" t="s">
        <v>56</v>
      </c>
      <c r="B63" s="23"/>
      <c r="C63" s="23"/>
      <c r="D63" s="25" t="s">
        <v>48</v>
      </c>
      <c r="E63" s="7">
        <v>46027.0</v>
      </c>
      <c r="F63" s="28"/>
      <c r="G63" s="24"/>
      <c r="H63" s="24"/>
      <c r="I63" s="16"/>
      <c r="J63" s="16"/>
      <c r="K63" s="16"/>
      <c r="L63" s="29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B64" s="24"/>
      <c r="C64" s="26"/>
      <c r="D64" s="24"/>
      <c r="E64" s="24"/>
      <c r="F64" s="24"/>
      <c r="G64" s="24"/>
      <c r="H64" s="24"/>
      <c r="I64" s="16"/>
      <c r="J64" s="16"/>
      <c r="K64" s="16"/>
      <c r="L64" s="29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5" t="s">
        <v>4</v>
      </c>
      <c r="B65" s="10" t="s">
        <v>5</v>
      </c>
      <c r="C65" s="11" t="s">
        <v>6</v>
      </c>
      <c r="D65" s="12" t="s">
        <v>7</v>
      </c>
      <c r="E65" s="10" t="s">
        <v>8</v>
      </c>
      <c r="F65" s="12"/>
      <c r="G65" s="24"/>
      <c r="H65" s="24"/>
      <c r="I65" s="12" t="s">
        <v>7</v>
      </c>
      <c r="J65" s="12" t="s">
        <v>8</v>
      </c>
      <c r="K65" s="12" t="s">
        <v>10</v>
      </c>
      <c r="L65" s="29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1.0</v>
      </c>
      <c r="B66" s="12" t="s">
        <v>28</v>
      </c>
      <c r="C66" s="14" t="s">
        <v>53</v>
      </c>
      <c r="D66" s="15">
        <v>4000.0</v>
      </c>
      <c r="E66" s="15">
        <f t="shared" ref="E66:E67" si="10">A66*D66</f>
        <v>4000</v>
      </c>
      <c r="F66" s="15"/>
      <c r="G66" s="24"/>
      <c r="H66" s="24"/>
      <c r="I66" s="16">
        <v>2000.0</v>
      </c>
      <c r="J66" s="16">
        <f t="shared" ref="J66:J67" si="11">I66*A66</f>
        <v>2000</v>
      </c>
      <c r="K66" s="16">
        <f t="shared" ref="K66:K67" si="12">E66-J66</f>
        <v>2000</v>
      </c>
      <c r="L66" s="30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2.0</v>
      </c>
      <c r="B67" s="12" t="s">
        <v>11</v>
      </c>
      <c r="C67" s="14" t="s">
        <v>22</v>
      </c>
      <c r="D67" s="15">
        <v>45000.0</v>
      </c>
      <c r="E67" s="15">
        <f t="shared" si="10"/>
        <v>90000</v>
      </c>
      <c r="F67" s="15"/>
      <c r="G67" s="24"/>
      <c r="H67" s="24"/>
      <c r="I67" s="16">
        <v>40000.0</v>
      </c>
      <c r="J67" s="16">
        <f t="shared" si="11"/>
        <v>80000</v>
      </c>
      <c r="K67" s="16">
        <f t="shared" si="12"/>
        <v>10000</v>
      </c>
      <c r="L67" s="30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/>
      <c r="B68" s="12"/>
      <c r="C68" s="14"/>
      <c r="D68" s="15"/>
      <c r="E68" s="15"/>
      <c r="F68" s="15"/>
      <c r="G68" s="24"/>
      <c r="H68" s="24"/>
      <c r="I68" s="15"/>
      <c r="J68" s="16"/>
      <c r="K68" s="16"/>
      <c r="L68" s="30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/>
      <c r="B69" s="12"/>
      <c r="C69" s="14"/>
      <c r="D69" s="15"/>
      <c r="E69" s="16">
        <f>SUM(E66:E67)</f>
        <v>94000</v>
      </c>
      <c r="F69" s="16"/>
      <c r="G69" s="24"/>
      <c r="H69" s="24"/>
      <c r="I69" s="16"/>
      <c r="J69" s="16"/>
      <c r="K69" s="16">
        <f>SUM(K66:K67)</f>
        <v>12000</v>
      </c>
      <c r="L69" s="30">
        <f>K69/E69</f>
        <v>0.1276595745</v>
      </c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"/>
      <c r="B70" s="2"/>
      <c r="C70" s="2"/>
      <c r="D70" s="3"/>
      <c r="E70" s="3"/>
      <c r="F70" s="3"/>
      <c r="G70" s="2"/>
      <c r="H70" s="2"/>
      <c r="I70" s="2"/>
      <c r="J70" s="2"/>
      <c r="K70" s="3"/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"/>
      <c r="B71" s="2"/>
      <c r="C71" s="2"/>
      <c r="D71" s="3"/>
      <c r="E71" s="3"/>
      <c r="F71" s="3"/>
      <c r="G71" s="2"/>
      <c r="H71" s="2"/>
      <c r="I71" s="2"/>
      <c r="J71" s="2"/>
      <c r="K71" s="3"/>
      <c r="L71" s="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"/>
      <c r="B72" s="2"/>
      <c r="C72" s="2"/>
      <c r="D72" s="3"/>
      <c r="E72" s="3"/>
      <c r="F72" s="3"/>
      <c r="G72" s="2"/>
      <c r="H72" s="2"/>
      <c r="I72" s="2"/>
      <c r="J72" s="2"/>
      <c r="K72" s="3"/>
      <c r="L72" s="4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"/>
      <c r="B73" s="2"/>
      <c r="C73" s="2"/>
      <c r="D73" s="3"/>
      <c r="E73" s="3"/>
      <c r="F73" s="3"/>
      <c r="G73" s="2"/>
      <c r="H73" s="2"/>
      <c r="I73" s="2"/>
      <c r="J73" s="2"/>
      <c r="K73" s="3"/>
      <c r="L73" s="4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23" t="s">
        <v>57</v>
      </c>
      <c r="B74" s="23"/>
      <c r="C74" s="23"/>
      <c r="D74" s="25" t="s">
        <v>58</v>
      </c>
      <c r="E74" s="7">
        <v>46027.0</v>
      </c>
      <c r="F74" s="28"/>
      <c r="G74" s="24"/>
      <c r="H74" s="24"/>
      <c r="I74" s="16"/>
      <c r="J74" s="16"/>
      <c r="K74" s="16"/>
      <c r="L74" s="29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B75" s="24"/>
      <c r="C75" s="26"/>
      <c r="D75" s="24"/>
      <c r="E75" s="24"/>
      <c r="F75" s="24"/>
      <c r="G75" s="24"/>
      <c r="H75" s="24"/>
      <c r="I75" s="16"/>
      <c r="J75" s="16"/>
      <c r="K75" s="16"/>
      <c r="L75" s="29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5" t="s">
        <v>4</v>
      </c>
      <c r="B76" s="10" t="s">
        <v>5</v>
      </c>
      <c r="C76" s="11" t="s">
        <v>6</v>
      </c>
      <c r="D76" s="12" t="s">
        <v>7</v>
      </c>
      <c r="E76" s="10" t="s">
        <v>8</v>
      </c>
      <c r="F76" s="12"/>
      <c r="G76" s="24"/>
      <c r="H76" s="24"/>
      <c r="I76" s="12" t="s">
        <v>7</v>
      </c>
      <c r="J76" s="12" t="s">
        <v>8</v>
      </c>
      <c r="K76" s="12" t="s">
        <v>10</v>
      </c>
      <c r="L76" s="29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1.0</v>
      </c>
      <c r="B77" s="12" t="s">
        <v>11</v>
      </c>
      <c r="C77" s="14" t="s">
        <v>36</v>
      </c>
      <c r="D77" s="15">
        <v>32000.0</v>
      </c>
      <c r="E77" s="15">
        <f t="shared" ref="E77:E102" si="13">A77*D77</f>
        <v>32000</v>
      </c>
      <c r="F77" s="16"/>
      <c r="G77" s="24"/>
      <c r="H77" s="24"/>
      <c r="I77" s="16">
        <v>26000.0</v>
      </c>
      <c r="J77" s="16">
        <f t="shared" ref="J77:J102" si="14">I77*A77</f>
        <v>26000</v>
      </c>
      <c r="K77" s="16">
        <f t="shared" ref="K77:K102" si="15">E77-J77</f>
        <v>6000</v>
      </c>
      <c r="L77" s="31" t="s">
        <v>2</v>
      </c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1.0</v>
      </c>
      <c r="B78" s="12" t="s">
        <v>11</v>
      </c>
      <c r="C78" s="14" t="s">
        <v>59</v>
      </c>
      <c r="D78" s="15">
        <v>15000.0</v>
      </c>
      <c r="E78" s="15">
        <f t="shared" si="13"/>
        <v>15000</v>
      </c>
      <c r="F78" s="16"/>
      <c r="G78" s="32" t="s">
        <v>2</v>
      </c>
      <c r="H78" s="24"/>
      <c r="I78" s="15">
        <v>13000.0</v>
      </c>
      <c r="J78" s="16">
        <f t="shared" si="14"/>
        <v>13000</v>
      </c>
      <c r="K78" s="16">
        <f t="shared" si="15"/>
        <v>2000</v>
      </c>
      <c r="L78" s="31" t="s">
        <v>2</v>
      </c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1.0</v>
      </c>
      <c r="B79" s="12" t="s">
        <v>11</v>
      </c>
      <c r="C79" s="14" t="s">
        <v>52</v>
      </c>
      <c r="D79" s="15">
        <v>12000.0</v>
      </c>
      <c r="E79" s="15">
        <f t="shared" si="13"/>
        <v>12000</v>
      </c>
      <c r="F79" s="16"/>
      <c r="G79" s="24"/>
      <c r="H79" s="24"/>
      <c r="I79" s="15">
        <v>7000.0</v>
      </c>
      <c r="J79" s="16">
        <f t="shared" si="14"/>
        <v>7000</v>
      </c>
      <c r="K79" s="16">
        <f t="shared" si="15"/>
        <v>5000</v>
      </c>
      <c r="L79" s="31" t="s">
        <v>2</v>
      </c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>
        <v>1.0</v>
      </c>
      <c r="B80" s="12" t="s">
        <v>11</v>
      </c>
      <c r="C80" s="14" t="s">
        <v>60</v>
      </c>
      <c r="D80" s="15">
        <v>15000.0</v>
      </c>
      <c r="E80" s="15">
        <f t="shared" si="13"/>
        <v>15000</v>
      </c>
      <c r="F80" s="16"/>
      <c r="G80" s="24"/>
      <c r="H80" s="24"/>
      <c r="I80" s="15">
        <v>12000.0</v>
      </c>
      <c r="J80" s="16">
        <f t="shared" si="14"/>
        <v>12000</v>
      </c>
      <c r="K80" s="16">
        <f t="shared" si="15"/>
        <v>3000</v>
      </c>
      <c r="L80" s="31" t="s">
        <v>2</v>
      </c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5.0</v>
      </c>
      <c r="B81" s="12" t="s">
        <v>17</v>
      </c>
      <c r="C81" s="14" t="s">
        <v>61</v>
      </c>
      <c r="D81" s="15">
        <v>3000.0</v>
      </c>
      <c r="E81" s="15">
        <f t="shared" si="13"/>
        <v>15000</v>
      </c>
      <c r="F81" s="16"/>
      <c r="G81" s="24"/>
      <c r="H81" s="24"/>
      <c r="I81" s="15">
        <f>16000/8</f>
        <v>2000</v>
      </c>
      <c r="J81" s="16">
        <f t="shared" si="14"/>
        <v>10000</v>
      </c>
      <c r="K81" s="16">
        <f t="shared" si="15"/>
        <v>5000</v>
      </c>
      <c r="L81" s="31" t="s">
        <v>2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5.0</v>
      </c>
      <c r="B82" s="12" t="s">
        <v>17</v>
      </c>
      <c r="C82" s="14" t="s">
        <v>23</v>
      </c>
      <c r="D82" s="15">
        <v>2800.0</v>
      </c>
      <c r="E82" s="15">
        <f t="shared" si="13"/>
        <v>14000</v>
      </c>
      <c r="F82" s="16"/>
      <c r="G82" s="24"/>
      <c r="H82" s="24"/>
      <c r="I82" s="16">
        <f>15000/8</f>
        <v>1875</v>
      </c>
      <c r="J82" s="16">
        <f t="shared" si="14"/>
        <v>9375</v>
      </c>
      <c r="K82" s="16">
        <f t="shared" si="15"/>
        <v>4625</v>
      </c>
      <c r="L82" s="31" t="s">
        <v>2</v>
      </c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>
        <v>5.0</v>
      </c>
      <c r="B83" s="12" t="s">
        <v>17</v>
      </c>
      <c r="C83" s="14" t="s">
        <v>24</v>
      </c>
      <c r="D83" s="15">
        <v>2800.0</v>
      </c>
      <c r="E83" s="15">
        <f t="shared" si="13"/>
        <v>14000</v>
      </c>
      <c r="F83" s="16"/>
      <c r="G83" s="32" t="s">
        <v>2</v>
      </c>
      <c r="H83" s="24"/>
      <c r="I83" s="15">
        <f>14000/8</f>
        <v>1750</v>
      </c>
      <c r="J83" s="16">
        <f t="shared" si="14"/>
        <v>8750</v>
      </c>
      <c r="K83" s="16">
        <f t="shared" si="15"/>
        <v>5250</v>
      </c>
      <c r="L83" s="31" t="s">
        <v>2</v>
      </c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>
        <v>2.0</v>
      </c>
      <c r="B84" s="12" t="s">
        <v>17</v>
      </c>
      <c r="C84" s="14" t="s">
        <v>62</v>
      </c>
      <c r="D84" s="15">
        <v>1800.0</v>
      </c>
      <c r="E84" s="15">
        <f t="shared" si="13"/>
        <v>3600</v>
      </c>
      <c r="F84" s="16"/>
      <c r="G84" s="24"/>
      <c r="H84" s="24"/>
      <c r="I84" s="15">
        <v>1100.0</v>
      </c>
      <c r="J84" s="16">
        <f t="shared" si="14"/>
        <v>2200</v>
      </c>
      <c r="K84" s="16">
        <f t="shared" si="15"/>
        <v>1400</v>
      </c>
      <c r="L84" s="31" t="s">
        <v>2</v>
      </c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3">
        <v>2.0</v>
      </c>
      <c r="B85" s="12" t="s">
        <v>17</v>
      </c>
      <c r="C85" s="14" t="s">
        <v>30</v>
      </c>
      <c r="D85" s="15">
        <v>1200.0</v>
      </c>
      <c r="E85" s="15">
        <f t="shared" si="13"/>
        <v>2400</v>
      </c>
      <c r="F85" s="16"/>
      <c r="G85" s="24"/>
      <c r="H85" s="24"/>
      <c r="I85" s="15">
        <f>8000/15</f>
        <v>533.3333333</v>
      </c>
      <c r="J85" s="16">
        <f t="shared" si="14"/>
        <v>1066.666667</v>
      </c>
      <c r="K85" s="16">
        <f t="shared" si="15"/>
        <v>1333.333333</v>
      </c>
      <c r="L85" s="31" t="s">
        <v>2</v>
      </c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>
        <v>2.0</v>
      </c>
      <c r="B86" s="12" t="s">
        <v>17</v>
      </c>
      <c r="C86" s="14" t="s">
        <v>25</v>
      </c>
      <c r="D86" s="15">
        <v>1200.0</v>
      </c>
      <c r="E86" s="15">
        <f t="shared" si="13"/>
        <v>2400</v>
      </c>
      <c r="F86" s="16"/>
      <c r="G86" s="24"/>
      <c r="H86" s="24"/>
      <c r="I86" s="16">
        <v>0.0</v>
      </c>
      <c r="J86" s="16">
        <f t="shared" si="14"/>
        <v>0</v>
      </c>
      <c r="K86" s="16">
        <f t="shared" si="15"/>
        <v>2400</v>
      </c>
      <c r="L86" s="31" t="s">
        <v>2</v>
      </c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>
        <v>1.0</v>
      </c>
      <c r="B87" s="12" t="s">
        <v>28</v>
      </c>
      <c r="C87" s="14" t="s">
        <v>63</v>
      </c>
      <c r="D87" s="15">
        <v>3000.0</v>
      </c>
      <c r="E87" s="15">
        <f t="shared" si="13"/>
        <v>3000</v>
      </c>
      <c r="F87" s="16"/>
      <c r="G87" s="24"/>
      <c r="H87" s="24"/>
      <c r="I87" s="15">
        <v>1500.0</v>
      </c>
      <c r="J87" s="16">
        <f t="shared" si="14"/>
        <v>1500</v>
      </c>
      <c r="K87" s="16">
        <f t="shared" si="15"/>
        <v>1500</v>
      </c>
      <c r="L87" s="31" t="s">
        <v>2</v>
      </c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1.0</v>
      </c>
      <c r="B88" s="12" t="s">
        <v>17</v>
      </c>
      <c r="C88" s="14" t="s">
        <v>64</v>
      </c>
      <c r="D88" s="15">
        <v>18000.0</v>
      </c>
      <c r="E88" s="15">
        <f t="shared" si="13"/>
        <v>18000</v>
      </c>
      <c r="F88" s="16"/>
      <c r="G88" s="24"/>
      <c r="H88" s="24"/>
      <c r="I88" s="16">
        <v>15000.0</v>
      </c>
      <c r="J88" s="16">
        <f t="shared" si="14"/>
        <v>15000</v>
      </c>
      <c r="K88" s="16">
        <f t="shared" si="15"/>
        <v>3000</v>
      </c>
      <c r="L88" s="31" t="s">
        <v>2</v>
      </c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1.0</v>
      </c>
      <c r="B89" s="12" t="s">
        <v>28</v>
      </c>
      <c r="C89" s="14" t="s">
        <v>33</v>
      </c>
      <c r="D89" s="15">
        <v>1800.0</v>
      </c>
      <c r="E89" s="15">
        <f t="shared" si="13"/>
        <v>1800</v>
      </c>
      <c r="F89" s="16"/>
      <c r="G89" s="24"/>
      <c r="H89" s="24"/>
      <c r="I89" s="16">
        <v>1000.0</v>
      </c>
      <c r="J89" s="16">
        <f t="shared" si="14"/>
        <v>1000</v>
      </c>
      <c r="K89" s="16">
        <f t="shared" si="15"/>
        <v>800</v>
      </c>
      <c r="L89" s="31" t="s">
        <v>2</v>
      </c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1.0</v>
      </c>
      <c r="B90" s="12" t="s">
        <v>28</v>
      </c>
      <c r="C90" s="14" t="s">
        <v>51</v>
      </c>
      <c r="D90" s="15">
        <v>3000.0</v>
      </c>
      <c r="E90" s="15">
        <f t="shared" si="13"/>
        <v>3000</v>
      </c>
      <c r="F90" s="16"/>
      <c r="G90" s="24"/>
      <c r="H90" s="24"/>
      <c r="I90" s="16">
        <v>2000.0</v>
      </c>
      <c r="J90" s="16">
        <f t="shared" si="14"/>
        <v>2000</v>
      </c>
      <c r="K90" s="16">
        <f t="shared" si="15"/>
        <v>1000</v>
      </c>
      <c r="L90" s="31" t="s">
        <v>2</v>
      </c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1.0</v>
      </c>
      <c r="B91" s="12" t="s">
        <v>17</v>
      </c>
      <c r="C91" s="14" t="s">
        <v>31</v>
      </c>
      <c r="D91" s="15">
        <v>1800.0</v>
      </c>
      <c r="E91" s="15">
        <f t="shared" si="13"/>
        <v>1800</v>
      </c>
      <c r="F91" s="16"/>
      <c r="G91" s="32" t="s">
        <v>2</v>
      </c>
      <c r="H91" s="24"/>
      <c r="I91" s="15">
        <v>0.0</v>
      </c>
      <c r="J91" s="16">
        <f t="shared" si="14"/>
        <v>0</v>
      </c>
      <c r="K91" s="16">
        <f t="shared" si="15"/>
        <v>1800</v>
      </c>
      <c r="L91" s="31" t="s">
        <v>2</v>
      </c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1.0</v>
      </c>
      <c r="B92" s="12" t="s">
        <v>11</v>
      </c>
      <c r="C92" s="14" t="s">
        <v>65</v>
      </c>
      <c r="D92" s="15">
        <v>26000.0</v>
      </c>
      <c r="E92" s="15">
        <f t="shared" si="13"/>
        <v>26000</v>
      </c>
      <c r="F92" s="16"/>
      <c r="G92" s="24"/>
      <c r="H92" s="24"/>
      <c r="I92" s="15">
        <v>20000.0</v>
      </c>
      <c r="J92" s="16">
        <f t="shared" si="14"/>
        <v>20000</v>
      </c>
      <c r="K92" s="16">
        <f t="shared" si="15"/>
        <v>6000</v>
      </c>
      <c r="L92" s="31" t="s">
        <v>2</v>
      </c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1.0</v>
      </c>
      <c r="B93" s="12" t="s">
        <v>42</v>
      </c>
      <c r="C93" s="14" t="s">
        <v>66</v>
      </c>
      <c r="D93" s="15">
        <v>14000.0</v>
      </c>
      <c r="E93" s="15">
        <f t="shared" si="13"/>
        <v>14000</v>
      </c>
      <c r="F93" s="16"/>
      <c r="G93" s="24"/>
      <c r="H93" s="24"/>
      <c r="I93" s="15">
        <v>10000.0</v>
      </c>
      <c r="J93" s="16">
        <f t="shared" si="14"/>
        <v>10000</v>
      </c>
      <c r="K93" s="16">
        <f t="shared" si="15"/>
        <v>4000</v>
      </c>
      <c r="L93" s="31" t="s">
        <v>2</v>
      </c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4.0</v>
      </c>
      <c r="B94" s="12" t="s">
        <v>11</v>
      </c>
      <c r="C94" s="14" t="s">
        <v>67</v>
      </c>
      <c r="D94" s="15">
        <v>17000.0</v>
      </c>
      <c r="E94" s="15">
        <f t="shared" si="13"/>
        <v>68000</v>
      </c>
      <c r="F94" s="16"/>
      <c r="G94" s="24"/>
      <c r="H94" s="24"/>
      <c r="I94" s="16">
        <v>14000.0</v>
      </c>
      <c r="J94" s="16">
        <f t="shared" si="14"/>
        <v>56000</v>
      </c>
      <c r="K94" s="16">
        <f t="shared" si="15"/>
        <v>12000</v>
      </c>
      <c r="L94" s="31" t="s">
        <v>2</v>
      </c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1.0</v>
      </c>
      <c r="B95" s="12" t="s">
        <v>11</v>
      </c>
      <c r="C95" s="14" t="s">
        <v>12</v>
      </c>
      <c r="D95" s="15">
        <v>55000.0</v>
      </c>
      <c r="E95" s="15">
        <f t="shared" si="13"/>
        <v>55000</v>
      </c>
      <c r="F95" s="16"/>
      <c r="G95" s="24"/>
      <c r="H95" s="24"/>
      <c r="I95" s="15">
        <v>45000.0</v>
      </c>
      <c r="J95" s="16">
        <f t="shared" si="14"/>
        <v>45000</v>
      </c>
      <c r="K95" s="16">
        <f t="shared" si="15"/>
        <v>10000</v>
      </c>
      <c r="L95" s="31" t="s">
        <v>2</v>
      </c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1.0</v>
      </c>
      <c r="B96" s="12" t="s">
        <v>42</v>
      </c>
      <c r="C96" s="14" t="s">
        <v>68</v>
      </c>
      <c r="D96" s="15">
        <v>14000.0</v>
      </c>
      <c r="E96" s="15">
        <f t="shared" si="13"/>
        <v>14000</v>
      </c>
      <c r="F96" s="16"/>
      <c r="G96" s="24"/>
      <c r="H96" s="24"/>
      <c r="I96" s="16">
        <v>12000.0</v>
      </c>
      <c r="J96" s="16">
        <f t="shared" si="14"/>
        <v>12000</v>
      </c>
      <c r="K96" s="16">
        <f t="shared" si="15"/>
        <v>2000</v>
      </c>
      <c r="L96" s="31" t="s">
        <v>2</v>
      </c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2.0</v>
      </c>
      <c r="B97" s="12" t="s">
        <v>5</v>
      </c>
      <c r="C97" s="14" t="s">
        <v>69</v>
      </c>
      <c r="D97" s="15">
        <v>1200.0</v>
      </c>
      <c r="E97" s="15">
        <f t="shared" si="13"/>
        <v>2400</v>
      </c>
      <c r="F97" s="16"/>
      <c r="G97" s="24"/>
      <c r="H97" s="24"/>
      <c r="I97" s="16">
        <v>600.0</v>
      </c>
      <c r="J97" s="16">
        <f t="shared" si="14"/>
        <v>1200</v>
      </c>
      <c r="K97" s="16">
        <f t="shared" si="15"/>
        <v>1200</v>
      </c>
      <c r="L97" s="31" t="s">
        <v>2</v>
      </c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1.0</v>
      </c>
      <c r="B98" s="12" t="s">
        <v>28</v>
      </c>
      <c r="C98" s="14" t="s">
        <v>53</v>
      </c>
      <c r="D98" s="15">
        <v>4000.0</v>
      </c>
      <c r="E98" s="15">
        <f t="shared" si="13"/>
        <v>4000</v>
      </c>
      <c r="F98" s="16"/>
      <c r="G98" s="24"/>
      <c r="H98" s="24"/>
      <c r="I98" s="15">
        <v>2000.0</v>
      </c>
      <c r="J98" s="16">
        <f t="shared" si="14"/>
        <v>2000</v>
      </c>
      <c r="K98" s="16">
        <f t="shared" si="15"/>
        <v>2000</v>
      </c>
      <c r="L98" s="31" t="s">
        <v>2</v>
      </c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>
        <v>3.0</v>
      </c>
      <c r="B99" s="12" t="s">
        <v>5</v>
      </c>
      <c r="C99" s="14" t="s">
        <v>55</v>
      </c>
      <c r="D99" s="15">
        <v>2500.0</v>
      </c>
      <c r="E99" s="15">
        <f t="shared" si="13"/>
        <v>7500</v>
      </c>
      <c r="F99" s="16"/>
      <c r="G99" s="24"/>
      <c r="H99" s="24"/>
      <c r="I99" s="16">
        <f>15000/12</f>
        <v>1250</v>
      </c>
      <c r="J99" s="16">
        <f t="shared" si="14"/>
        <v>3750</v>
      </c>
      <c r="K99" s="16">
        <f t="shared" si="15"/>
        <v>3750</v>
      </c>
      <c r="L99" s="31" t="s">
        <v>2</v>
      </c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>
        <v>1.0</v>
      </c>
      <c r="B100" s="12" t="s">
        <v>42</v>
      </c>
      <c r="C100" s="14" t="s">
        <v>70</v>
      </c>
      <c r="D100" s="15">
        <v>16000.0</v>
      </c>
      <c r="E100" s="15">
        <f t="shared" si="13"/>
        <v>16000</v>
      </c>
      <c r="F100" s="16"/>
      <c r="G100" s="24"/>
      <c r="H100" s="24"/>
      <c r="I100" s="16">
        <v>13000.0</v>
      </c>
      <c r="J100" s="16">
        <f t="shared" si="14"/>
        <v>13000</v>
      </c>
      <c r="K100" s="16">
        <f t="shared" si="15"/>
        <v>3000</v>
      </c>
      <c r="L100" s="31" t="s">
        <v>2</v>
      </c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>
        <v>1.0</v>
      </c>
      <c r="B101" s="12" t="s">
        <v>11</v>
      </c>
      <c r="C101" s="14" t="s">
        <v>22</v>
      </c>
      <c r="D101" s="15">
        <v>48000.0</v>
      </c>
      <c r="E101" s="15">
        <f t="shared" si="13"/>
        <v>48000</v>
      </c>
      <c r="F101" s="16"/>
      <c r="G101" s="24"/>
      <c r="H101" s="24"/>
      <c r="I101" s="16">
        <v>40000.0</v>
      </c>
      <c r="J101" s="16">
        <f t="shared" si="14"/>
        <v>40000</v>
      </c>
      <c r="K101" s="16">
        <f t="shared" si="15"/>
        <v>8000</v>
      </c>
      <c r="L101" s="31" t="s">
        <v>2</v>
      </c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>
        <v>1.0</v>
      </c>
      <c r="B102" s="12" t="s">
        <v>11</v>
      </c>
      <c r="C102" s="14" t="s">
        <v>20</v>
      </c>
      <c r="D102" s="15">
        <v>16000.0</v>
      </c>
      <c r="E102" s="15">
        <f t="shared" si="13"/>
        <v>16000</v>
      </c>
      <c r="F102" s="16"/>
      <c r="G102" s="24"/>
      <c r="H102" s="24"/>
      <c r="I102" s="15">
        <v>13000.0</v>
      </c>
      <c r="J102" s="16">
        <f t="shared" si="14"/>
        <v>13000</v>
      </c>
      <c r="K102" s="16">
        <f t="shared" si="15"/>
        <v>3000</v>
      </c>
      <c r="L102" s="31" t="s">
        <v>2</v>
      </c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/>
      <c r="B103" s="12"/>
      <c r="C103" s="14"/>
      <c r="D103" s="15"/>
      <c r="E103" s="16"/>
      <c r="F103" s="16"/>
      <c r="H103" s="24"/>
      <c r="I103" s="16"/>
      <c r="J103" s="16"/>
      <c r="K103" s="16"/>
      <c r="L103" s="30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/>
      <c r="B104" s="12"/>
      <c r="C104" s="14"/>
      <c r="D104" s="15"/>
      <c r="E104" s="16">
        <f>SUM(E77:E102)</f>
        <v>423900</v>
      </c>
      <c r="F104" s="16"/>
      <c r="G104" s="24"/>
      <c r="H104" s="24"/>
      <c r="I104" s="16"/>
      <c r="J104" s="16"/>
      <c r="K104" s="16">
        <f>SUM(K77:K102)</f>
        <v>99058.33333</v>
      </c>
      <c r="L104" s="30">
        <f>K104/E104</f>
        <v>0.2336832586</v>
      </c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3"/>
      <c r="B105" s="12"/>
      <c r="C105" s="14"/>
      <c r="D105" s="15"/>
      <c r="E105" s="3"/>
      <c r="F105" s="3"/>
      <c r="G105" s="2"/>
      <c r="H105" s="2"/>
      <c r="I105" s="2"/>
      <c r="J105" s="2"/>
      <c r="K105" s="3"/>
      <c r="L105" s="4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33"/>
      <c r="B106" s="34"/>
      <c r="C106" s="2"/>
      <c r="D106" s="3"/>
      <c r="E106" s="3"/>
      <c r="F106" s="3"/>
      <c r="G106" s="2"/>
      <c r="H106" s="2"/>
      <c r="I106" s="2"/>
      <c r="J106" s="2"/>
      <c r="K106" s="3"/>
      <c r="L106" s="4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33"/>
      <c r="B107" s="34"/>
      <c r="C107" s="2"/>
      <c r="D107" s="3"/>
      <c r="E107" s="3"/>
      <c r="F107" s="3"/>
      <c r="G107" s="2"/>
      <c r="H107" s="2"/>
      <c r="I107" s="2"/>
      <c r="J107" s="2"/>
      <c r="K107" s="3"/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23" t="s">
        <v>71</v>
      </c>
      <c r="B108" s="23"/>
      <c r="C108" s="23"/>
      <c r="D108" s="25" t="s">
        <v>48</v>
      </c>
      <c r="E108" s="7">
        <v>46027.0</v>
      </c>
      <c r="G108" s="24"/>
      <c r="H108" s="24"/>
      <c r="I108" s="16"/>
      <c r="J108" s="16"/>
      <c r="K108" s="16"/>
      <c r="L108" s="29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B109" s="24"/>
      <c r="C109" s="26"/>
      <c r="D109" s="24"/>
      <c r="E109" s="24"/>
      <c r="F109" s="24"/>
      <c r="G109" s="24"/>
      <c r="H109" s="24"/>
      <c r="I109" s="16"/>
      <c r="J109" s="16"/>
      <c r="K109" s="16"/>
      <c r="L109" s="29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5" t="s">
        <v>4</v>
      </c>
      <c r="B110" s="10" t="s">
        <v>5</v>
      </c>
      <c r="C110" s="11" t="s">
        <v>6</v>
      </c>
      <c r="D110" s="12" t="s">
        <v>7</v>
      </c>
      <c r="E110" s="10" t="s">
        <v>8</v>
      </c>
      <c r="F110" s="12"/>
      <c r="G110" s="24"/>
      <c r="H110" s="24"/>
      <c r="I110" s="12" t="s">
        <v>7</v>
      </c>
      <c r="J110" s="12" t="s">
        <v>8</v>
      </c>
      <c r="K110" s="12" t="s">
        <v>10</v>
      </c>
      <c r="L110" s="29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>
        <v>2.0</v>
      </c>
      <c r="B111" s="12" t="s">
        <v>13</v>
      </c>
      <c r="C111" s="14" t="s">
        <v>19</v>
      </c>
      <c r="D111" s="15">
        <v>44000.0</v>
      </c>
      <c r="E111" s="15">
        <f t="shared" ref="E111:E128" si="16">A111*D111</f>
        <v>88000</v>
      </c>
      <c r="F111" s="16"/>
      <c r="G111" s="24"/>
      <c r="H111" s="24"/>
      <c r="I111" s="15">
        <v>37000.0</v>
      </c>
      <c r="J111" s="16">
        <f t="shared" ref="J111:J128" si="17">I111*A111</f>
        <v>74000</v>
      </c>
      <c r="K111" s="16">
        <f t="shared" ref="K111:K128" si="18">E111-J111</f>
        <v>14000</v>
      </c>
      <c r="L111" s="31" t="s">
        <v>2</v>
      </c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2.0</v>
      </c>
      <c r="B112" s="12" t="s">
        <v>13</v>
      </c>
      <c r="C112" s="14" t="s">
        <v>72</v>
      </c>
      <c r="D112" s="15">
        <v>55000.0</v>
      </c>
      <c r="E112" s="15">
        <f t="shared" si="16"/>
        <v>110000</v>
      </c>
      <c r="F112" s="16"/>
      <c r="G112" s="24"/>
      <c r="H112" s="24"/>
      <c r="I112" s="16">
        <v>48000.0</v>
      </c>
      <c r="J112" s="16">
        <f t="shared" si="17"/>
        <v>96000</v>
      </c>
      <c r="K112" s="16">
        <f t="shared" si="18"/>
        <v>14000</v>
      </c>
      <c r="L112" s="31" t="s">
        <v>2</v>
      </c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1.0</v>
      </c>
      <c r="B113" s="12" t="s">
        <v>32</v>
      </c>
      <c r="C113" s="14" t="s">
        <v>20</v>
      </c>
      <c r="D113" s="15">
        <v>16000.0</v>
      </c>
      <c r="E113" s="15">
        <f t="shared" si="16"/>
        <v>16000</v>
      </c>
      <c r="F113" s="16"/>
      <c r="G113" s="24"/>
      <c r="H113" s="16" t="s">
        <v>2</v>
      </c>
      <c r="I113" s="16">
        <v>13000.0</v>
      </c>
      <c r="J113" s="16">
        <f t="shared" si="17"/>
        <v>13000</v>
      </c>
      <c r="K113" s="16">
        <f t="shared" si="18"/>
        <v>3000</v>
      </c>
      <c r="L113" s="31" t="s">
        <v>2</v>
      </c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2.0</v>
      </c>
      <c r="B114" s="12" t="s">
        <v>42</v>
      </c>
      <c r="C114" s="14" t="s">
        <v>68</v>
      </c>
      <c r="D114" s="15">
        <v>14000.0</v>
      </c>
      <c r="E114" s="15">
        <f t="shared" si="16"/>
        <v>28000</v>
      </c>
      <c r="F114" s="16"/>
      <c r="G114" s="24"/>
      <c r="H114" s="24"/>
      <c r="I114" s="16">
        <v>12000.0</v>
      </c>
      <c r="J114" s="16">
        <f t="shared" si="17"/>
        <v>24000</v>
      </c>
      <c r="K114" s="16">
        <f t="shared" si="18"/>
        <v>4000</v>
      </c>
      <c r="L114" s="31" t="s">
        <v>2</v>
      </c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4.0</v>
      </c>
      <c r="B115" s="12" t="s">
        <v>17</v>
      </c>
      <c r="C115" s="14" t="s">
        <v>62</v>
      </c>
      <c r="D115" s="15">
        <v>1800.0</v>
      </c>
      <c r="E115" s="15">
        <f t="shared" si="16"/>
        <v>7200</v>
      </c>
      <c r="F115" s="16"/>
      <c r="G115" s="24"/>
      <c r="H115" s="24"/>
      <c r="I115" s="16">
        <v>1100.0</v>
      </c>
      <c r="J115" s="16">
        <f t="shared" si="17"/>
        <v>4400</v>
      </c>
      <c r="K115" s="16">
        <f t="shared" si="18"/>
        <v>2800</v>
      </c>
      <c r="L115" s="31" t="s">
        <v>2</v>
      </c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1.0</v>
      </c>
      <c r="B116" s="12" t="s">
        <v>5</v>
      </c>
      <c r="C116" s="14" t="s">
        <v>73</v>
      </c>
      <c r="D116" s="15">
        <v>1800.0</v>
      </c>
      <c r="E116" s="15">
        <f t="shared" si="16"/>
        <v>1800</v>
      </c>
      <c r="F116" s="16"/>
      <c r="G116" s="24"/>
      <c r="H116" s="24"/>
      <c r="I116" s="15">
        <v>1000.0</v>
      </c>
      <c r="J116" s="16">
        <f t="shared" si="17"/>
        <v>1000</v>
      </c>
      <c r="K116" s="16">
        <f t="shared" si="18"/>
        <v>800</v>
      </c>
      <c r="L116" s="31" t="s">
        <v>2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>
        <v>3.0</v>
      </c>
      <c r="B117" s="12" t="s">
        <v>28</v>
      </c>
      <c r="C117" s="14" t="s">
        <v>74</v>
      </c>
      <c r="D117" s="15">
        <v>1000.0</v>
      </c>
      <c r="E117" s="15">
        <f t="shared" si="16"/>
        <v>3000</v>
      </c>
      <c r="F117" s="16"/>
      <c r="G117" s="24"/>
      <c r="H117" s="24"/>
      <c r="I117" s="15">
        <v>700.0</v>
      </c>
      <c r="J117" s="16">
        <f t="shared" si="17"/>
        <v>2100</v>
      </c>
      <c r="K117" s="16">
        <f t="shared" si="18"/>
        <v>900</v>
      </c>
      <c r="L117" s="31" t="s">
        <v>2</v>
      </c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>
        <v>18.0</v>
      </c>
      <c r="B118" s="12" t="s">
        <v>75</v>
      </c>
      <c r="C118" s="14" t="s">
        <v>12</v>
      </c>
      <c r="D118" s="15">
        <v>5000.0</v>
      </c>
      <c r="E118" s="15">
        <f t="shared" si="16"/>
        <v>90000</v>
      </c>
      <c r="F118" s="16"/>
      <c r="G118" s="24"/>
      <c r="H118" s="24"/>
      <c r="I118" s="15">
        <f>45000/12</f>
        <v>3750</v>
      </c>
      <c r="J118" s="16">
        <f t="shared" si="17"/>
        <v>67500</v>
      </c>
      <c r="K118" s="16">
        <f t="shared" si="18"/>
        <v>22500</v>
      </c>
      <c r="L118" s="31" t="s">
        <v>2</v>
      </c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3">
        <v>1.0</v>
      </c>
      <c r="B119" s="12" t="s">
        <v>42</v>
      </c>
      <c r="C119" s="14" t="s">
        <v>66</v>
      </c>
      <c r="D119" s="15">
        <v>14000.0</v>
      </c>
      <c r="E119" s="15">
        <f t="shared" si="16"/>
        <v>14000</v>
      </c>
      <c r="F119" s="16"/>
      <c r="G119" s="24"/>
      <c r="H119" s="24"/>
      <c r="I119" s="16">
        <v>10000.0</v>
      </c>
      <c r="J119" s="16">
        <f t="shared" si="17"/>
        <v>10000</v>
      </c>
      <c r="K119" s="16">
        <f t="shared" si="18"/>
        <v>4000</v>
      </c>
      <c r="L119" s="31" t="s">
        <v>2</v>
      </c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>
        <v>1.0</v>
      </c>
      <c r="B120" s="12" t="s">
        <v>42</v>
      </c>
      <c r="C120" s="14" t="s">
        <v>76</v>
      </c>
      <c r="D120" s="15">
        <v>13000.0</v>
      </c>
      <c r="E120" s="15">
        <f t="shared" si="16"/>
        <v>13000</v>
      </c>
      <c r="F120" s="16"/>
      <c r="G120" s="24"/>
      <c r="H120" s="16" t="s">
        <v>2</v>
      </c>
      <c r="I120" s="16">
        <v>9000.0</v>
      </c>
      <c r="J120" s="16">
        <f t="shared" si="17"/>
        <v>9000</v>
      </c>
      <c r="K120" s="16">
        <f t="shared" si="18"/>
        <v>4000</v>
      </c>
      <c r="L120" s="31" t="s">
        <v>2</v>
      </c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>
        <v>1.5</v>
      </c>
      <c r="B121" s="12" t="s">
        <v>11</v>
      </c>
      <c r="C121" s="14" t="s">
        <v>25</v>
      </c>
      <c r="D121" s="15">
        <v>16000.0</v>
      </c>
      <c r="E121" s="15">
        <f t="shared" si="16"/>
        <v>24000</v>
      </c>
      <c r="F121" s="16"/>
      <c r="G121" s="24"/>
      <c r="H121" s="24"/>
      <c r="I121" s="16">
        <v>10000.0</v>
      </c>
      <c r="J121" s="16">
        <f t="shared" si="17"/>
        <v>15000</v>
      </c>
      <c r="K121" s="16">
        <f t="shared" si="18"/>
        <v>9000</v>
      </c>
      <c r="L121" s="31" t="s">
        <v>2</v>
      </c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3">
        <v>4.0</v>
      </c>
      <c r="B122" s="12" t="s">
        <v>17</v>
      </c>
      <c r="C122" s="14" t="s">
        <v>35</v>
      </c>
      <c r="D122" s="15">
        <v>2800.0</v>
      </c>
      <c r="E122" s="15">
        <f t="shared" si="16"/>
        <v>11200</v>
      </c>
      <c r="F122" s="16"/>
      <c r="G122" s="24"/>
      <c r="H122" s="24"/>
      <c r="I122" s="16">
        <f>30000/15</f>
        <v>2000</v>
      </c>
      <c r="J122" s="16">
        <f t="shared" si="17"/>
        <v>8000</v>
      </c>
      <c r="K122" s="16">
        <f t="shared" si="18"/>
        <v>3200</v>
      </c>
      <c r="L122" s="31" t="s">
        <v>2</v>
      </c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>
        <v>6.0</v>
      </c>
      <c r="B123" s="12" t="s">
        <v>28</v>
      </c>
      <c r="C123" s="14" t="s">
        <v>77</v>
      </c>
      <c r="D123" s="15">
        <v>1400.0</v>
      </c>
      <c r="E123" s="15">
        <f t="shared" si="16"/>
        <v>8400</v>
      </c>
      <c r="F123" s="16"/>
      <c r="G123" s="24"/>
      <c r="H123" s="24"/>
      <c r="I123" s="15">
        <v>1000.0</v>
      </c>
      <c r="J123" s="16">
        <f t="shared" si="17"/>
        <v>6000</v>
      </c>
      <c r="K123" s="16">
        <f t="shared" si="18"/>
        <v>2400</v>
      </c>
      <c r="L123" s="31" t="s">
        <v>2</v>
      </c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>
        <v>1.0</v>
      </c>
      <c r="B124" s="12" t="s">
        <v>5</v>
      </c>
      <c r="C124" s="14" t="s">
        <v>49</v>
      </c>
      <c r="D124" s="15">
        <v>1500.0</v>
      </c>
      <c r="E124" s="15">
        <f t="shared" si="16"/>
        <v>1500</v>
      </c>
      <c r="F124" s="16"/>
      <c r="G124" s="24"/>
      <c r="H124" s="24"/>
      <c r="I124" s="15">
        <v>1000.0</v>
      </c>
      <c r="J124" s="16">
        <f t="shared" si="17"/>
        <v>1000</v>
      </c>
      <c r="K124" s="16">
        <f t="shared" si="18"/>
        <v>500</v>
      </c>
      <c r="L124" s="31" t="s">
        <v>2</v>
      </c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>
        <v>1.0</v>
      </c>
      <c r="B125" s="12" t="s">
        <v>28</v>
      </c>
      <c r="C125" s="14" t="s">
        <v>78</v>
      </c>
      <c r="D125" s="15">
        <v>4000.0</v>
      </c>
      <c r="E125" s="15">
        <f t="shared" si="16"/>
        <v>4000</v>
      </c>
      <c r="F125" s="16"/>
      <c r="G125" s="24"/>
      <c r="H125" s="24"/>
      <c r="I125" s="15">
        <v>3000.0</v>
      </c>
      <c r="J125" s="16">
        <f t="shared" si="17"/>
        <v>3000</v>
      </c>
      <c r="K125" s="16">
        <f t="shared" si="18"/>
        <v>1000</v>
      </c>
      <c r="L125" s="31" t="s">
        <v>2</v>
      </c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3">
        <v>3.0</v>
      </c>
      <c r="B126" s="12" t="s">
        <v>5</v>
      </c>
      <c r="C126" s="14" t="s">
        <v>69</v>
      </c>
      <c r="D126" s="15">
        <v>1200.0</v>
      </c>
      <c r="E126" s="15">
        <f t="shared" si="16"/>
        <v>3600</v>
      </c>
      <c r="F126" s="16"/>
      <c r="G126" s="24"/>
      <c r="H126" s="24"/>
      <c r="I126" s="16">
        <v>600.0</v>
      </c>
      <c r="J126" s="16">
        <f t="shared" si="17"/>
        <v>1800</v>
      </c>
      <c r="K126" s="16">
        <f t="shared" si="18"/>
        <v>1800</v>
      </c>
      <c r="L126" s="31" t="s">
        <v>2</v>
      </c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13">
        <v>0.75</v>
      </c>
      <c r="B127" s="12" t="s">
        <v>17</v>
      </c>
      <c r="C127" s="14" t="s">
        <v>23</v>
      </c>
      <c r="D127" s="15">
        <v>2800.0</v>
      </c>
      <c r="E127" s="15">
        <f t="shared" si="16"/>
        <v>2100</v>
      </c>
      <c r="F127" s="16"/>
      <c r="G127" s="24"/>
      <c r="H127" s="16" t="s">
        <v>2</v>
      </c>
      <c r="I127" s="16">
        <v>1875.0</v>
      </c>
      <c r="J127" s="16">
        <f t="shared" si="17"/>
        <v>1406.25</v>
      </c>
      <c r="K127" s="16">
        <f t="shared" si="18"/>
        <v>693.75</v>
      </c>
      <c r="L127" s="31" t="s">
        <v>2</v>
      </c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3">
        <v>2.0</v>
      </c>
      <c r="B128" s="12" t="s">
        <v>17</v>
      </c>
      <c r="C128" s="14" t="s">
        <v>79</v>
      </c>
      <c r="D128" s="15">
        <v>4000.0</v>
      </c>
      <c r="E128" s="15">
        <f t="shared" si="16"/>
        <v>8000</v>
      </c>
      <c r="F128" s="16"/>
      <c r="G128" s="24"/>
      <c r="H128" s="24"/>
      <c r="I128" s="16">
        <v>3000.0</v>
      </c>
      <c r="J128" s="16">
        <f t="shared" si="17"/>
        <v>6000</v>
      </c>
      <c r="K128" s="16">
        <f t="shared" si="18"/>
        <v>2000</v>
      </c>
      <c r="L128" s="31" t="s">
        <v>2</v>
      </c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3"/>
      <c r="B129" s="12"/>
      <c r="C129" s="14"/>
      <c r="D129" s="15"/>
      <c r="E129" s="16"/>
      <c r="F129" s="16"/>
      <c r="G129" s="24"/>
      <c r="H129" s="24"/>
      <c r="I129" s="16"/>
      <c r="J129" s="16"/>
      <c r="K129" s="16"/>
      <c r="L129" s="30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13"/>
      <c r="B130" s="12"/>
      <c r="C130" s="14"/>
      <c r="D130" s="15"/>
      <c r="E130" s="16">
        <f>SUM(E111:E128)</f>
        <v>433800</v>
      </c>
      <c r="F130" s="16"/>
      <c r="G130" s="24"/>
      <c r="H130" s="24"/>
      <c r="I130" s="16"/>
      <c r="J130" s="16"/>
      <c r="K130" s="16">
        <f>SUM(K111:K128)</f>
        <v>90593.75</v>
      </c>
      <c r="L130" s="30">
        <f>K130/E130</f>
        <v>0.208837598</v>
      </c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33"/>
      <c r="B131" s="34"/>
      <c r="C131" s="2"/>
      <c r="D131" s="3"/>
      <c r="E131" s="3"/>
      <c r="F131" s="3"/>
      <c r="G131" s="2"/>
      <c r="H131" s="2"/>
      <c r="I131" s="2"/>
      <c r="J131" s="2"/>
      <c r="K131" s="3"/>
      <c r="L131" s="4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33"/>
      <c r="B132" s="34"/>
      <c r="C132" s="2"/>
      <c r="D132" s="3"/>
      <c r="E132" s="3"/>
      <c r="F132" s="3"/>
      <c r="G132" s="2"/>
      <c r="H132" s="2"/>
      <c r="I132" s="2"/>
      <c r="J132" s="2"/>
      <c r="K132" s="3"/>
      <c r="L132" s="4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33"/>
      <c r="B133" s="34"/>
      <c r="C133" s="2"/>
      <c r="D133" s="3"/>
      <c r="E133" s="3"/>
      <c r="F133" s="3"/>
      <c r="G133" s="2"/>
      <c r="H133" s="2"/>
      <c r="I133" s="2"/>
      <c r="J133" s="2"/>
      <c r="K133" s="3"/>
      <c r="L133" s="4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23" t="s">
        <v>80</v>
      </c>
      <c r="B134" s="23"/>
      <c r="C134" s="23"/>
      <c r="D134" s="25" t="s">
        <v>48</v>
      </c>
      <c r="E134" s="7">
        <v>46027.0</v>
      </c>
      <c r="G134" s="24"/>
      <c r="H134" s="24"/>
      <c r="I134" s="16"/>
      <c r="J134" s="16"/>
      <c r="K134" s="16"/>
      <c r="L134" s="29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B135" s="24"/>
      <c r="C135" s="26"/>
      <c r="D135" s="24"/>
      <c r="E135" s="24"/>
      <c r="F135" s="24"/>
      <c r="G135" s="24"/>
      <c r="H135" s="24"/>
      <c r="I135" s="16"/>
      <c r="J135" s="16"/>
      <c r="K135" s="16"/>
      <c r="L135" s="29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5" t="s">
        <v>4</v>
      </c>
      <c r="B136" s="10" t="s">
        <v>5</v>
      </c>
      <c r="C136" s="11" t="s">
        <v>6</v>
      </c>
      <c r="D136" s="12" t="s">
        <v>7</v>
      </c>
      <c r="E136" s="10" t="s">
        <v>8</v>
      </c>
      <c r="F136" s="12"/>
      <c r="G136" s="24"/>
      <c r="H136" s="24"/>
      <c r="I136" s="12" t="s">
        <v>7</v>
      </c>
      <c r="J136" s="12" t="s">
        <v>8</v>
      </c>
      <c r="K136" s="12" t="s">
        <v>10</v>
      </c>
      <c r="L136" s="29"/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>
        <v>1.0</v>
      </c>
      <c r="B137" s="12" t="s">
        <v>11</v>
      </c>
      <c r="C137" s="14" t="s">
        <v>60</v>
      </c>
      <c r="D137" s="15">
        <v>15000.0</v>
      </c>
      <c r="E137" s="15">
        <f t="shared" ref="E137:E151" si="19">A137*D137</f>
        <v>15000</v>
      </c>
      <c r="F137" s="16"/>
      <c r="G137" s="24"/>
      <c r="H137" s="24"/>
      <c r="I137" s="15">
        <v>12000.0</v>
      </c>
      <c r="J137" s="16">
        <f t="shared" ref="J137:J151" si="20">I137*A137</f>
        <v>12000</v>
      </c>
      <c r="K137" s="16">
        <f t="shared" ref="K137:K151" si="21">E137-J137</f>
        <v>3000</v>
      </c>
      <c r="L137" s="30"/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>
        <v>1.0</v>
      </c>
      <c r="B138" s="12" t="s">
        <v>11</v>
      </c>
      <c r="C138" s="14" t="s">
        <v>62</v>
      </c>
      <c r="D138" s="15">
        <v>18000.0</v>
      </c>
      <c r="E138" s="15">
        <f t="shared" si="19"/>
        <v>18000</v>
      </c>
      <c r="F138" s="16"/>
      <c r="G138" s="24"/>
      <c r="H138" s="24"/>
      <c r="I138" s="16">
        <v>11000.0</v>
      </c>
      <c r="J138" s="16">
        <f t="shared" si="20"/>
        <v>11000</v>
      </c>
      <c r="K138" s="16">
        <f t="shared" si="21"/>
        <v>7000</v>
      </c>
      <c r="L138" s="30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>
        <v>0.25</v>
      </c>
      <c r="B139" s="12" t="s">
        <v>17</v>
      </c>
      <c r="C139" s="14" t="s">
        <v>36</v>
      </c>
      <c r="D139" s="15">
        <v>3500.0</v>
      </c>
      <c r="E139" s="15">
        <f t="shared" si="19"/>
        <v>875</v>
      </c>
      <c r="F139" s="16"/>
      <c r="G139" s="24"/>
      <c r="H139" s="24"/>
      <c r="I139" s="15">
        <v>0.0</v>
      </c>
      <c r="J139" s="16">
        <f t="shared" si="20"/>
        <v>0</v>
      </c>
      <c r="K139" s="16">
        <f t="shared" si="21"/>
        <v>875</v>
      </c>
      <c r="L139" s="30"/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>
        <v>2.0</v>
      </c>
      <c r="B140" s="12" t="s">
        <v>28</v>
      </c>
      <c r="C140" s="14" t="s">
        <v>33</v>
      </c>
      <c r="D140" s="15">
        <v>1800.0</v>
      </c>
      <c r="E140" s="15">
        <f t="shared" si="19"/>
        <v>3600</v>
      </c>
      <c r="F140" s="16"/>
      <c r="G140" s="24"/>
      <c r="H140" s="24"/>
      <c r="I140" s="15">
        <v>1000.0</v>
      </c>
      <c r="J140" s="16">
        <f t="shared" si="20"/>
        <v>2000</v>
      </c>
      <c r="K140" s="16">
        <f t="shared" si="21"/>
        <v>1600</v>
      </c>
      <c r="L140" s="30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13">
        <v>1.0</v>
      </c>
      <c r="B141" s="12" t="s">
        <v>17</v>
      </c>
      <c r="C141" s="14" t="s">
        <v>59</v>
      </c>
      <c r="D141" s="15">
        <v>4000.0</v>
      </c>
      <c r="E141" s="15">
        <f t="shared" si="19"/>
        <v>4000</v>
      </c>
      <c r="F141" s="16"/>
      <c r="G141" s="24"/>
      <c r="H141" s="24"/>
      <c r="I141" s="16">
        <v>0.0</v>
      </c>
      <c r="J141" s="16">
        <f t="shared" si="20"/>
        <v>0</v>
      </c>
      <c r="K141" s="16">
        <f t="shared" si="21"/>
        <v>4000</v>
      </c>
      <c r="L141" s="31" t="s">
        <v>2</v>
      </c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3">
        <v>2.0</v>
      </c>
      <c r="B142" s="12" t="s">
        <v>28</v>
      </c>
      <c r="C142" s="14" t="s">
        <v>67</v>
      </c>
      <c r="D142" s="15">
        <v>1800.0</v>
      </c>
      <c r="E142" s="15">
        <f t="shared" si="19"/>
        <v>3600</v>
      </c>
      <c r="F142" s="16"/>
      <c r="G142" s="24"/>
      <c r="H142" s="24"/>
      <c r="I142" s="15">
        <f>14000/12</f>
        <v>1166.666667</v>
      </c>
      <c r="J142" s="16">
        <f t="shared" si="20"/>
        <v>2333.333333</v>
      </c>
      <c r="K142" s="16">
        <f t="shared" si="21"/>
        <v>1266.666667</v>
      </c>
      <c r="L142" s="31" t="s">
        <v>2</v>
      </c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13">
        <v>1.0</v>
      </c>
      <c r="B143" s="12" t="s">
        <v>17</v>
      </c>
      <c r="C143" s="14" t="s">
        <v>22</v>
      </c>
      <c r="D143" s="15">
        <v>3200.0</v>
      </c>
      <c r="E143" s="15">
        <f t="shared" si="19"/>
        <v>3200</v>
      </c>
      <c r="F143" s="16"/>
      <c r="G143" s="24"/>
      <c r="H143" s="24"/>
      <c r="I143" s="16">
        <f>40000/14</f>
        <v>2857.142857</v>
      </c>
      <c r="J143" s="16">
        <f t="shared" si="20"/>
        <v>2857.142857</v>
      </c>
      <c r="K143" s="16">
        <f t="shared" si="21"/>
        <v>342.8571429</v>
      </c>
      <c r="L143" s="31" t="s">
        <v>2</v>
      </c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13">
        <v>3.0</v>
      </c>
      <c r="B144" s="12" t="s">
        <v>5</v>
      </c>
      <c r="C144" s="14" t="s">
        <v>38</v>
      </c>
      <c r="D144" s="15">
        <v>1400.0</v>
      </c>
      <c r="E144" s="15">
        <f t="shared" si="19"/>
        <v>4200</v>
      </c>
      <c r="F144" s="16"/>
      <c r="G144" s="24"/>
      <c r="H144" s="24"/>
      <c r="I144" s="15">
        <v>781.0</v>
      </c>
      <c r="J144" s="16">
        <f t="shared" si="20"/>
        <v>2343</v>
      </c>
      <c r="K144" s="16">
        <f t="shared" si="21"/>
        <v>1857</v>
      </c>
      <c r="L144" s="31" t="s">
        <v>2</v>
      </c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13">
        <v>0.5</v>
      </c>
      <c r="B145" s="12" t="s">
        <v>11</v>
      </c>
      <c r="C145" s="14" t="s">
        <v>35</v>
      </c>
      <c r="D145" s="15">
        <v>36000.0</v>
      </c>
      <c r="E145" s="15">
        <f t="shared" si="19"/>
        <v>18000</v>
      </c>
      <c r="F145" s="16"/>
      <c r="G145" s="24"/>
      <c r="H145" s="24"/>
      <c r="I145" s="16">
        <v>30000.0</v>
      </c>
      <c r="J145" s="16">
        <f t="shared" si="20"/>
        <v>15000</v>
      </c>
      <c r="K145" s="16">
        <f t="shared" si="21"/>
        <v>3000</v>
      </c>
      <c r="L145" s="31" t="s">
        <v>2</v>
      </c>
      <c r="M145" s="2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3">
        <v>1.0</v>
      </c>
      <c r="B146" s="12" t="s">
        <v>17</v>
      </c>
      <c r="C146" s="14" t="s">
        <v>81</v>
      </c>
      <c r="D146" s="15">
        <v>6500.0</v>
      </c>
      <c r="E146" s="15">
        <f t="shared" si="19"/>
        <v>6500</v>
      </c>
      <c r="F146" s="16"/>
      <c r="G146" s="24"/>
      <c r="H146" s="24"/>
      <c r="I146" s="15">
        <v>5000.0</v>
      </c>
      <c r="J146" s="16">
        <f t="shared" si="20"/>
        <v>5000</v>
      </c>
      <c r="K146" s="16">
        <f t="shared" si="21"/>
        <v>1500</v>
      </c>
      <c r="L146" s="31" t="s">
        <v>2</v>
      </c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13">
        <v>2.0</v>
      </c>
      <c r="B147" s="12" t="s">
        <v>17</v>
      </c>
      <c r="C147" s="14" t="s">
        <v>19</v>
      </c>
      <c r="D147" s="15">
        <v>3000.0</v>
      </c>
      <c r="E147" s="15">
        <f t="shared" si="19"/>
        <v>6000</v>
      </c>
      <c r="F147" s="16"/>
      <c r="G147" s="24"/>
      <c r="H147" s="24"/>
      <c r="I147" s="15">
        <v>0.0</v>
      </c>
      <c r="J147" s="16">
        <f t="shared" si="20"/>
        <v>0</v>
      </c>
      <c r="K147" s="16">
        <f t="shared" si="21"/>
        <v>6000</v>
      </c>
      <c r="L147" s="31" t="s">
        <v>2</v>
      </c>
      <c r="M147" s="2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13">
        <v>1.0</v>
      </c>
      <c r="B148" s="12" t="s">
        <v>17</v>
      </c>
      <c r="C148" s="14" t="s">
        <v>72</v>
      </c>
      <c r="D148" s="15">
        <v>3500.0</v>
      </c>
      <c r="E148" s="15">
        <f t="shared" si="19"/>
        <v>3500</v>
      </c>
      <c r="F148" s="16"/>
      <c r="G148" s="24"/>
      <c r="H148" s="24"/>
      <c r="I148" s="16">
        <f>48000/18</f>
        <v>2666.666667</v>
      </c>
      <c r="J148" s="16">
        <f t="shared" si="20"/>
        <v>2666.666667</v>
      </c>
      <c r="K148" s="16">
        <f t="shared" si="21"/>
        <v>833.3333333</v>
      </c>
      <c r="L148" s="31" t="s">
        <v>2</v>
      </c>
      <c r="M148" s="2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13">
        <v>0.7</v>
      </c>
      <c r="B149" s="12" t="s">
        <v>17</v>
      </c>
      <c r="C149" s="14" t="s">
        <v>15</v>
      </c>
      <c r="D149" s="15">
        <v>4000.0</v>
      </c>
      <c r="E149" s="15">
        <f t="shared" si="19"/>
        <v>2800</v>
      </c>
      <c r="F149" s="16"/>
      <c r="G149" s="24"/>
      <c r="H149" s="24"/>
      <c r="I149" s="15">
        <v>0.0</v>
      </c>
      <c r="J149" s="16">
        <f t="shared" si="20"/>
        <v>0</v>
      </c>
      <c r="K149" s="16">
        <f t="shared" si="21"/>
        <v>2800</v>
      </c>
      <c r="L149" s="31" t="s">
        <v>2</v>
      </c>
      <c r="M149" s="2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13">
        <v>1.0</v>
      </c>
      <c r="B150" s="12" t="s">
        <v>17</v>
      </c>
      <c r="C150" s="14" t="s">
        <v>20</v>
      </c>
      <c r="D150" s="15">
        <v>1500.0</v>
      </c>
      <c r="E150" s="15">
        <f t="shared" si="19"/>
        <v>1500</v>
      </c>
      <c r="F150" s="16"/>
      <c r="G150" s="24"/>
      <c r="H150" s="24"/>
      <c r="I150" s="16">
        <v>0.0</v>
      </c>
      <c r="J150" s="16">
        <f t="shared" si="20"/>
        <v>0</v>
      </c>
      <c r="K150" s="16">
        <f t="shared" si="21"/>
        <v>1500</v>
      </c>
      <c r="L150" s="31" t="s">
        <v>2</v>
      </c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13">
        <v>0.25</v>
      </c>
      <c r="B151" s="12" t="s">
        <v>17</v>
      </c>
      <c r="C151" s="14" t="s">
        <v>82</v>
      </c>
      <c r="D151" s="15">
        <v>7000.0</v>
      </c>
      <c r="E151" s="15">
        <f t="shared" si="19"/>
        <v>1750</v>
      </c>
      <c r="F151" s="16"/>
      <c r="G151" s="24"/>
      <c r="H151" s="24"/>
      <c r="I151" s="15">
        <v>0.0</v>
      </c>
      <c r="J151" s="16">
        <f t="shared" si="20"/>
        <v>0</v>
      </c>
      <c r="K151" s="16">
        <f t="shared" si="21"/>
        <v>1750</v>
      </c>
      <c r="L151" s="31" t="s">
        <v>2</v>
      </c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13"/>
      <c r="B152" s="12"/>
      <c r="C152" s="14"/>
      <c r="D152" s="15"/>
      <c r="E152" s="16"/>
      <c r="F152" s="16"/>
      <c r="G152" s="24"/>
      <c r="H152" s="24"/>
      <c r="I152" s="16"/>
      <c r="J152" s="16"/>
      <c r="K152" s="16"/>
      <c r="L152" s="30"/>
      <c r="M152" s="2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13"/>
      <c r="B153" s="12"/>
      <c r="C153" s="14"/>
      <c r="D153" s="15"/>
      <c r="E153" s="16">
        <f>SUM(E137:E151)</f>
        <v>92525</v>
      </c>
      <c r="F153" s="16"/>
      <c r="G153" s="24"/>
      <c r="H153" s="24"/>
      <c r="I153" s="16"/>
      <c r="J153" s="16"/>
      <c r="K153" s="16">
        <f>SUM(K137:K151)</f>
        <v>37324.85714</v>
      </c>
      <c r="L153" s="30">
        <f>K153/E153</f>
        <v>0.4034029413</v>
      </c>
      <c r="M153" s="2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33"/>
      <c r="B154" s="34"/>
      <c r="C154" s="2"/>
      <c r="D154" s="3"/>
      <c r="E154" s="3"/>
      <c r="F154" s="3"/>
      <c r="G154" s="2"/>
      <c r="H154" s="2"/>
      <c r="I154" s="2"/>
      <c r="J154" s="2"/>
      <c r="K154" s="3"/>
      <c r="L154" s="4"/>
      <c r="M154" s="2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1"/>
      <c r="P155" s="21"/>
      <c r="Q155" s="21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33"/>
      <c r="B156" s="34"/>
      <c r="C156" s="2"/>
      <c r="D156" s="3"/>
      <c r="E156" s="3"/>
      <c r="F156" s="3"/>
      <c r="G156" s="2"/>
      <c r="H156" s="2"/>
      <c r="I156" s="2"/>
      <c r="J156" s="2"/>
      <c r="K156" s="3"/>
      <c r="L156" s="4"/>
      <c r="M156" s="2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23" t="s">
        <v>83</v>
      </c>
      <c r="B157" s="23"/>
      <c r="C157" s="23"/>
      <c r="D157" s="25" t="s">
        <v>48</v>
      </c>
      <c r="E157" s="7">
        <v>46027.0</v>
      </c>
      <c r="F157" s="28"/>
      <c r="G157" s="24"/>
      <c r="H157" s="24"/>
      <c r="I157" s="16"/>
      <c r="J157" s="16"/>
      <c r="K157" s="16"/>
      <c r="L157" s="29"/>
      <c r="M157" s="2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B158" s="24"/>
      <c r="C158" s="26"/>
      <c r="D158" s="24"/>
      <c r="E158" s="24"/>
      <c r="F158" s="24"/>
      <c r="G158" s="24"/>
      <c r="H158" s="24"/>
      <c r="I158" s="16"/>
      <c r="J158" s="16"/>
      <c r="K158" s="16"/>
      <c r="L158" s="29"/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5" t="s">
        <v>4</v>
      </c>
      <c r="B159" s="10" t="s">
        <v>5</v>
      </c>
      <c r="C159" s="11" t="s">
        <v>6</v>
      </c>
      <c r="D159" s="12" t="s">
        <v>7</v>
      </c>
      <c r="E159" s="10" t="s">
        <v>8</v>
      </c>
      <c r="F159" s="12"/>
      <c r="G159" s="24"/>
      <c r="H159" s="24"/>
      <c r="I159" s="12" t="s">
        <v>7</v>
      </c>
      <c r="J159" s="12" t="s">
        <v>8</v>
      </c>
      <c r="K159" s="12" t="s">
        <v>10</v>
      </c>
      <c r="L159" s="29"/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13">
        <v>1.0</v>
      </c>
      <c r="B160" s="12" t="s">
        <v>11</v>
      </c>
      <c r="C160" s="14" t="s">
        <v>36</v>
      </c>
      <c r="D160" s="15">
        <v>32000.0</v>
      </c>
      <c r="E160" s="15">
        <f t="shared" ref="E160:E177" si="22">A160*D160</f>
        <v>32000</v>
      </c>
      <c r="F160" s="16"/>
      <c r="G160" s="24"/>
      <c r="H160" s="24"/>
      <c r="I160" s="16">
        <v>26000.0</v>
      </c>
      <c r="J160" s="16">
        <f t="shared" ref="J160:J177" si="23">I160*A160</f>
        <v>26000</v>
      </c>
      <c r="K160" s="16">
        <f t="shared" ref="K160:K177" si="24">E160-J160</f>
        <v>6000</v>
      </c>
      <c r="L160" s="31" t="s">
        <v>2</v>
      </c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13">
        <v>1.0</v>
      </c>
      <c r="B161" s="12" t="s">
        <v>11</v>
      </c>
      <c r="C161" s="14" t="s">
        <v>59</v>
      </c>
      <c r="D161" s="15">
        <v>15000.0</v>
      </c>
      <c r="E161" s="15">
        <f t="shared" si="22"/>
        <v>15000</v>
      </c>
      <c r="F161" s="16"/>
      <c r="G161" s="24"/>
      <c r="H161" s="24"/>
      <c r="I161" s="15">
        <v>13000.0</v>
      </c>
      <c r="J161" s="16">
        <f t="shared" si="23"/>
        <v>13000</v>
      </c>
      <c r="K161" s="16">
        <f t="shared" si="24"/>
        <v>2000</v>
      </c>
      <c r="L161" s="31" t="s">
        <v>2</v>
      </c>
      <c r="M161" s="2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13">
        <v>1.0</v>
      </c>
      <c r="B162" s="12" t="s">
        <v>11</v>
      </c>
      <c r="C162" s="14" t="s">
        <v>52</v>
      </c>
      <c r="D162" s="15">
        <v>12000.0</v>
      </c>
      <c r="E162" s="15">
        <f t="shared" si="22"/>
        <v>12000</v>
      </c>
      <c r="F162" s="16"/>
      <c r="G162" s="24"/>
      <c r="H162" s="24"/>
      <c r="I162" s="15">
        <v>7000.0</v>
      </c>
      <c r="J162" s="16">
        <f t="shared" si="23"/>
        <v>7000</v>
      </c>
      <c r="K162" s="16">
        <f t="shared" si="24"/>
        <v>5000</v>
      </c>
      <c r="L162" s="31" t="s">
        <v>2</v>
      </c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13">
        <v>1.0</v>
      </c>
      <c r="B163" s="12" t="s">
        <v>11</v>
      </c>
      <c r="C163" s="14" t="s">
        <v>60</v>
      </c>
      <c r="D163" s="15">
        <v>15000.0</v>
      </c>
      <c r="E163" s="15">
        <f t="shared" si="22"/>
        <v>15000</v>
      </c>
      <c r="F163" s="16"/>
      <c r="G163" s="24"/>
      <c r="H163" s="24"/>
      <c r="I163" s="15">
        <v>12000.0</v>
      </c>
      <c r="J163" s="16">
        <f t="shared" si="23"/>
        <v>12000</v>
      </c>
      <c r="K163" s="16">
        <f t="shared" si="24"/>
        <v>3000</v>
      </c>
      <c r="L163" s="31" t="s">
        <v>2</v>
      </c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13">
        <v>1.0</v>
      </c>
      <c r="B164" s="12" t="s">
        <v>28</v>
      </c>
      <c r="C164" s="14" t="s">
        <v>51</v>
      </c>
      <c r="D164" s="15">
        <v>3000.0</v>
      </c>
      <c r="E164" s="15">
        <f t="shared" si="22"/>
        <v>3000</v>
      </c>
      <c r="F164" s="16"/>
      <c r="G164" s="24"/>
      <c r="H164" s="24"/>
      <c r="I164" s="16">
        <v>2000.0</v>
      </c>
      <c r="J164" s="16">
        <f t="shared" si="23"/>
        <v>2000</v>
      </c>
      <c r="K164" s="16">
        <f t="shared" si="24"/>
        <v>1000</v>
      </c>
      <c r="L164" s="31" t="s">
        <v>2</v>
      </c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13">
        <v>1.0</v>
      </c>
      <c r="B165" s="12" t="s">
        <v>28</v>
      </c>
      <c r="C165" s="14" t="s">
        <v>78</v>
      </c>
      <c r="D165" s="15">
        <v>4000.0</v>
      </c>
      <c r="E165" s="15">
        <f t="shared" si="22"/>
        <v>4000</v>
      </c>
      <c r="F165" s="16"/>
      <c r="G165" s="24"/>
      <c r="H165" s="24"/>
      <c r="I165" s="15">
        <v>3000.0</v>
      </c>
      <c r="J165" s="16">
        <f t="shared" si="23"/>
        <v>3000</v>
      </c>
      <c r="K165" s="16">
        <f t="shared" si="24"/>
        <v>1000</v>
      </c>
      <c r="L165" s="31" t="s">
        <v>2</v>
      </c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13">
        <v>1.0</v>
      </c>
      <c r="B166" s="12" t="s">
        <v>28</v>
      </c>
      <c r="C166" s="14" t="s">
        <v>53</v>
      </c>
      <c r="D166" s="15">
        <v>4000.0</v>
      </c>
      <c r="E166" s="15">
        <f t="shared" si="22"/>
        <v>4000</v>
      </c>
      <c r="F166" s="16"/>
      <c r="G166" s="24"/>
      <c r="H166" s="24"/>
      <c r="I166" s="16">
        <v>2000.0</v>
      </c>
      <c r="J166" s="16">
        <f t="shared" si="23"/>
        <v>2000</v>
      </c>
      <c r="K166" s="16">
        <f t="shared" si="24"/>
        <v>2000</v>
      </c>
      <c r="L166" s="31" t="s">
        <v>2</v>
      </c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13">
        <v>5.0</v>
      </c>
      <c r="B167" s="12" t="s">
        <v>5</v>
      </c>
      <c r="C167" s="14" t="s">
        <v>69</v>
      </c>
      <c r="D167" s="15">
        <v>1200.0</v>
      </c>
      <c r="E167" s="15">
        <f t="shared" si="22"/>
        <v>6000</v>
      </c>
      <c r="F167" s="16"/>
      <c r="G167" s="24"/>
      <c r="H167" s="24"/>
      <c r="I167" s="16">
        <v>600.0</v>
      </c>
      <c r="J167" s="16">
        <f t="shared" si="23"/>
        <v>3000</v>
      </c>
      <c r="K167" s="16">
        <f t="shared" si="24"/>
        <v>3000</v>
      </c>
      <c r="L167" s="31" t="s">
        <v>2</v>
      </c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13">
        <v>0.5</v>
      </c>
      <c r="B168" s="12" t="s">
        <v>11</v>
      </c>
      <c r="C168" s="14" t="s">
        <v>12</v>
      </c>
      <c r="D168" s="15">
        <v>55000.0</v>
      </c>
      <c r="E168" s="15">
        <f t="shared" si="22"/>
        <v>27500</v>
      </c>
      <c r="F168" s="16"/>
      <c r="G168" s="24"/>
      <c r="H168" s="24"/>
      <c r="I168" s="15">
        <v>45000.0</v>
      </c>
      <c r="J168" s="16">
        <f t="shared" si="23"/>
        <v>22500</v>
      </c>
      <c r="K168" s="16">
        <f t="shared" si="24"/>
        <v>5000</v>
      </c>
      <c r="L168" s="31" t="s">
        <v>2</v>
      </c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13">
        <v>1.0</v>
      </c>
      <c r="B169" s="12" t="s">
        <v>17</v>
      </c>
      <c r="C169" s="14" t="s">
        <v>68</v>
      </c>
      <c r="D169" s="15">
        <v>1600.0</v>
      </c>
      <c r="E169" s="15">
        <f t="shared" si="22"/>
        <v>1600</v>
      </c>
      <c r="F169" s="16"/>
      <c r="G169" s="24"/>
      <c r="H169" s="24"/>
      <c r="I169" s="15">
        <f>12000/9</f>
        <v>1333.333333</v>
      </c>
      <c r="J169" s="16">
        <f t="shared" si="23"/>
        <v>1333.333333</v>
      </c>
      <c r="K169" s="16">
        <f t="shared" si="24"/>
        <v>266.6666667</v>
      </c>
      <c r="L169" s="31" t="s">
        <v>2</v>
      </c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13">
        <v>1.0</v>
      </c>
      <c r="B170" s="12" t="s">
        <v>17</v>
      </c>
      <c r="C170" s="14" t="s">
        <v>62</v>
      </c>
      <c r="D170" s="15">
        <v>1800.0</v>
      </c>
      <c r="E170" s="15">
        <f t="shared" si="22"/>
        <v>1800</v>
      </c>
      <c r="F170" s="16"/>
      <c r="G170" s="24"/>
      <c r="H170" s="24"/>
      <c r="I170" s="15">
        <v>1100.0</v>
      </c>
      <c r="J170" s="16">
        <f t="shared" si="23"/>
        <v>1100</v>
      </c>
      <c r="K170" s="16">
        <f t="shared" si="24"/>
        <v>700</v>
      </c>
      <c r="L170" s="31" t="s">
        <v>2</v>
      </c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13">
        <v>1.0</v>
      </c>
      <c r="B171" s="12" t="s">
        <v>42</v>
      </c>
      <c r="C171" s="14" t="s">
        <v>66</v>
      </c>
      <c r="D171" s="15">
        <v>14000.0</v>
      </c>
      <c r="E171" s="15">
        <f t="shared" si="22"/>
        <v>14000</v>
      </c>
      <c r="F171" s="16"/>
      <c r="G171" s="24"/>
      <c r="H171" s="24"/>
      <c r="I171" s="15">
        <v>10000.0</v>
      </c>
      <c r="J171" s="16">
        <f t="shared" si="23"/>
        <v>10000</v>
      </c>
      <c r="K171" s="16">
        <f t="shared" si="24"/>
        <v>4000</v>
      </c>
      <c r="L171" s="31" t="s">
        <v>2</v>
      </c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13">
        <v>1.0</v>
      </c>
      <c r="B172" s="12" t="s">
        <v>28</v>
      </c>
      <c r="C172" s="14" t="s">
        <v>33</v>
      </c>
      <c r="D172" s="15">
        <v>1800.0</v>
      </c>
      <c r="E172" s="15">
        <f t="shared" si="22"/>
        <v>1800</v>
      </c>
      <c r="F172" s="16"/>
      <c r="G172" s="24"/>
      <c r="H172" s="24"/>
      <c r="I172" s="15">
        <v>1000.0</v>
      </c>
      <c r="J172" s="16">
        <f t="shared" si="23"/>
        <v>1000</v>
      </c>
      <c r="K172" s="16">
        <f t="shared" si="24"/>
        <v>800</v>
      </c>
      <c r="L172" s="31" t="s">
        <v>2</v>
      </c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13">
        <v>1.0</v>
      </c>
      <c r="B173" s="12" t="s">
        <v>11</v>
      </c>
      <c r="C173" s="14" t="s">
        <v>23</v>
      </c>
      <c r="D173" s="15">
        <v>22000.0</v>
      </c>
      <c r="E173" s="15">
        <f t="shared" si="22"/>
        <v>22000</v>
      </c>
      <c r="F173" s="16"/>
      <c r="G173" s="24"/>
      <c r="H173" s="24"/>
      <c r="I173" s="16">
        <v>15000.0</v>
      </c>
      <c r="J173" s="16">
        <f t="shared" si="23"/>
        <v>15000</v>
      </c>
      <c r="K173" s="16">
        <f t="shared" si="24"/>
        <v>7000</v>
      </c>
      <c r="L173" s="31" t="s">
        <v>2</v>
      </c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13">
        <v>3.0</v>
      </c>
      <c r="B174" s="12" t="s">
        <v>42</v>
      </c>
      <c r="C174" s="14" t="s">
        <v>70</v>
      </c>
      <c r="D174" s="15">
        <v>16000.0</v>
      </c>
      <c r="E174" s="15">
        <f t="shared" si="22"/>
        <v>48000</v>
      </c>
      <c r="F174" s="16"/>
      <c r="G174" s="24"/>
      <c r="H174" s="24"/>
      <c r="I174" s="15">
        <v>13000.0</v>
      </c>
      <c r="J174" s="16">
        <f t="shared" si="23"/>
        <v>39000</v>
      </c>
      <c r="K174" s="16">
        <f t="shared" si="24"/>
        <v>9000</v>
      </c>
      <c r="L174" s="31" t="s">
        <v>2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13">
        <v>0.5</v>
      </c>
      <c r="B175" s="12" t="s">
        <v>11</v>
      </c>
      <c r="C175" s="14" t="s">
        <v>20</v>
      </c>
      <c r="D175" s="15">
        <v>16000.0</v>
      </c>
      <c r="E175" s="15">
        <f t="shared" si="22"/>
        <v>8000</v>
      </c>
      <c r="F175" s="16"/>
      <c r="G175" s="24"/>
      <c r="H175" s="24"/>
      <c r="I175" s="16">
        <v>13000.0</v>
      </c>
      <c r="J175" s="16">
        <f t="shared" si="23"/>
        <v>6500</v>
      </c>
      <c r="K175" s="16">
        <f t="shared" si="24"/>
        <v>1500</v>
      </c>
      <c r="L175" s="31" t="s">
        <v>2</v>
      </c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13">
        <v>0.5</v>
      </c>
      <c r="B176" s="12" t="s">
        <v>11</v>
      </c>
      <c r="C176" s="14" t="s">
        <v>22</v>
      </c>
      <c r="D176" s="15">
        <v>48000.0</v>
      </c>
      <c r="E176" s="15">
        <f t="shared" si="22"/>
        <v>24000</v>
      </c>
      <c r="F176" s="16"/>
      <c r="G176" s="24"/>
      <c r="H176" s="24"/>
      <c r="I176" s="16">
        <v>40000.0</v>
      </c>
      <c r="J176" s="16">
        <f t="shared" si="23"/>
        <v>20000</v>
      </c>
      <c r="K176" s="16">
        <f t="shared" si="24"/>
        <v>4000</v>
      </c>
      <c r="L176" s="31" t="s">
        <v>2</v>
      </c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13">
        <v>1.0</v>
      </c>
      <c r="B177" s="12" t="s">
        <v>17</v>
      </c>
      <c r="C177" s="14" t="s">
        <v>19</v>
      </c>
      <c r="D177" s="15">
        <v>3000.0</v>
      </c>
      <c r="E177" s="15">
        <f t="shared" si="22"/>
        <v>3000</v>
      </c>
      <c r="F177" s="16"/>
      <c r="G177" s="24"/>
      <c r="H177" s="24"/>
      <c r="I177" s="15">
        <v>0.0</v>
      </c>
      <c r="J177" s="16">
        <f t="shared" si="23"/>
        <v>0</v>
      </c>
      <c r="K177" s="16">
        <f t="shared" si="24"/>
        <v>3000</v>
      </c>
      <c r="L177" s="31" t="s">
        <v>2</v>
      </c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13"/>
      <c r="B178" s="12"/>
      <c r="C178" s="14"/>
      <c r="D178" s="15"/>
      <c r="E178" s="16"/>
      <c r="F178" s="16"/>
      <c r="H178" s="24"/>
      <c r="I178" s="16"/>
      <c r="J178" s="16"/>
      <c r="K178" s="16"/>
      <c r="L178" s="30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13"/>
      <c r="B179" s="12"/>
      <c r="C179" s="14"/>
      <c r="D179" s="15"/>
      <c r="E179" s="16">
        <f>SUM(E160:E178)</f>
        <v>242700</v>
      </c>
      <c r="F179" s="16"/>
      <c r="G179" s="24"/>
      <c r="H179" s="24"/>
      <c r="I179" s="16"/>
      <c r="J179" s="16"/>
      <c r="K179" s="16">
        <f>SUM(K160:K177)</f>
        <v>58266.66667</v>
      </c>
      <c r="L179" s="30">
        <f>K179/E179</f>
        <v>0.2400769125</v>
      </c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13"/>
      <c r="B180" s="12"/>
      <c r="C180" s="14"/>
      <c r="D180" s="15"/>
      <c r="E180" s="3"/>
      <c r="F180" s="3"/>
      <c r="G180" s="2"/>
      <c r="H180" s="2"/>
      <c r="I180" s="2"/>
      <c r="J180" s="2"/>
      <c r="K180" s="3"/>
      <c r="L180" s="4"/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13"/>
      <c r="B181" s="12"/>
      <c r="C181" s="14"/>
      <c r="D181" s="15"/>
      <c r="E181" s="3"/>
      <c r="F181" s="3"/>
      <c r="G181" s="2"/>
      <c r="H181" s="2"/>
      <c r="I181" s="2"/>
      <c r="J181" s="2"/>
      <c r="K181" s="3"/>
      <c r="L181" s="4"/>
      <c r="M181" s="2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23"/>
      <c r="B182" s="23"/>
      <c r="C182" s="23"/>
      <c r="D182" s="25"/>
      <c r="E182" s="7"/>
      <c r="F182" s="28"/>
      <c r="G182" s="24"/>
      <c r="H182" s="24"/>
      <c r="I182" s="16"/>
      <c r="J182" s="16"/>
      <c r="K182" s="16"/>
      <c r="L182" s="29"/>
      <c r="M182" s="2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23" t="s">
        <v>84</v>
      </c>
      <c r="B183" s="23"/>
      <c r="C183" s="23"/>
      <c r="D183" s="25" t="s">
        <v>48</v>
      </c>
      <c r="E183" s="7">
        <v>46027.0</v>
      </c>
      <c r="F183" s="28"/>
      <c r="G183" s="24"/>
      <c r="H183" s="24"/>
      <c r="I183" s="16"/>
      <c r="J183" s="16"/>
      <c r="K183" s="16"/>
      <c r="L183" s="29"/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B184" s="24"/>
      <c r="C184" s="26"/>
      <c r="D184" s="24"/>
      <c r="E184" s="24"/>
      <c r="F184" s="24"/>
      <c r="G184" s="24"/>
      <c r="H184" s="24"/>
      <c r="I184" s="16"/>
      <c r="J184" s="16"/>
      <c r="K184" s="16"/>
      <c r="L184" s="29"/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5" t="s">
        <v>4</v>
      </c>
      <c r="B185" s="10" t="s">
        <v>5</v>
      </c>
      <c r="C185" s="11" t="s">
        <v>6</v>
      </c>
      <c r="D185" s="12" t="s">
        <v>7</v>
      </c>
      <c r="E185" s="10" t="s">
        <v>8</v>
      </c>
      <c r="F185" s="12"/>
      <c r="G185" s="24"/>
      <c r="H185" s="24"/>
      <c r="I185" s="12" t="s">
        <v>7</v>
      </c>
      <c r="J185" s="12" t="s">
        <v>8</v>
      </c>
      <c r="K185" s="12" t="s">
        <v>10</v>
      </c>
      <c r="L185" s="29"/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13">
        <v>1.0</v>
      </c>
      <c r="B186" s="12" t="s">
        <v>42</v>
      </c>
      <c r="C186" s="14" t="s">
        <v>70</v>
      </c>
      <c r="D186" s="15">
        <v>16000.0</v>
      </c>
      <c r="E186" s="15">
        <f t="shared" ref="E186:E196" si="25">A186*D186</f>
        <v>16000</v>
      </c>
      <c r="F186" s="16"/>
      <c r="G186" s="24"/>
      <c r="H186" s="24"/>
      <c r="I186" s="16">
        <v>13000.0</v>
      </c>
      <c r="J186" s="16">
        <f t="shared" ref="J186:J196" si="26">I186*A186</f>
        <v>13000</v>
      </c>
      <c r="K186" s="16">
        <f t="shared" ref="K186:K196" si="27">E186-J186</f>
        <v>3000</v>
      </c>
      <c r="L186" s="31" t="s">
        <v>2</v>
      </c>
      <c r="M186" s="2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13">
        <v>1.0</v>
      </c>
      <c r="B187" s="12" t="s">
        <v>42</v>
      </c>
      <c r="C187" s="14" t="s">
        <v>66</v>
      </c>
      <c r="D187" s="15">
        <v>14000.0</v>
      </c>
      <c r="E187" s="15">
        <f t="shared" si="25"/>
        <v>14000</v>
      </c>
      <c r="F187" s="16"/>
      <c r="G187" s="24"/>
      <c r="H187" s="24"/>
      <c r="I187" s="15">
        <v>10000.0</v>
      </c>
      <c r="J187" s="16">
        <f t="shared" si="26"/>
        <v>10000</v>
      </c>
      <c r="K187" s="16">
        <f t="shared" si="27"/>
        <v>4000</v>
      </c>
      <c r="L187" s="31" t="s">
        <v>2</v>
      </c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13">
        <v>0.45</v>
      </c>
      <c r="B188" s="12" t="s">
        <v>17</v>
      </c>
      <c r="C188" s="14" t="s">
        <v>85</v>
      </c>
      <c r="D188" s="15">
        <v>4000.0</v>
      </c>
      <c r="E188" s="15">
        <f t="shared" si="25"/>
        <v>1800</v>
      </c>
      <c r="F188" s="16"/>
      <c r="G188" s="24"/>
      <c r="H188" s="24"/>
      <c r="I188" s="15">
        <f>14000/4</f>
        <v>3500</v>
      </c>
      <c r="J188" s="16">
        <f t="shared" si="26"/>
        <v>1575</v>
      </c>
      <c r="K188" s="16">
        <f t="shared" si="27"/>
        <v>225</v>
      </c>
      <c r="L188" s="31" t="s">
        <v>2</v>
      </c>
      <c r="M188" s="2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13">
        <v>4.2</v>
      </c>
      <c r="B189" s="12" t="s">
        <v>17</v>
      </c>
      <c r="C189" s="14" t="s">
        <v>35</v>
      </c>
      <c r="D189" s="15">
        <v>2800.0</v>
      </c>
      <c r="E189" s="15">
        <f t="shared" si="25"/>
        <v>11760</v>
      </c>
      <c r="F189" s="16"/>
      <c r="G189" s="24"/>
      <c r="H189" s="24"/>
      <c r="I189" s="15">
        <v>2000.0</v>
      </c>
      <c r="J189" s="16">
        <f t="shared" si="26"/>
        <v>8400</v>
      </c>
      <c r="K189" s="16">
        <f t="shared" si="27"/>
        <v>3360</v>
      </c>
      <c r="L189" s="31" t="s">
        <v>2</v>
      </c>
      <c r="M189" s="2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13">
        <v>3.0</v>
      </c>
      <c r="B190" s="12" t="s">
        <v>28</v>
      </c>
      <c r="C190" s="14" t="s">
        <v>60</v>
      </c>
      <c r="D190" s="15">
        <v>800.0</v>
      </c>
      <c r="E190" s="15">
        <f t="shared" si="25"/>
        <v>2400</v>
      </c>
      <c r="F190" s="16"/>
      <c r="G190" s="24"/>
      <c r="H190" s="24"/>
      <c r="I190" s="16">
        <v>0.0</v>
      </c>
      <c r="J190" s="16">
        <f t="shared" si="26"/>
        <v>0</v>
      </c>
      <c r="K190" s="16">
        <f t="shared" si="27"/>
        <v>2400</v>
      </c>
      <c r="L190" s="31" t="s">
        <v>2</v>
      </c>
      <c r="M190" s="2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13">
        <v>3.5</v>
      </c>
      <c r="B191" s="12" t="s">
        <v>17</v>
      </c>
      <c r="C191" s="14" t="s">
        <v>25</v>
      </c>
      <c r="D191" s="15">
        <v>1200.0</v>
      </c>
      <c r="E191" s="15">
        <f t="shared" si="25"/>
        <v>4200</v>
      </c>
      <c r="F191" s="16"/>
      <c r="G191" s="24"/>
      <c r="H191" s="24"/>
      <c r="I191" s="15">
        <f>10000/15</f>
        <v>666.6666667</v>
      </c>
      <c r="J191" s="16">
        <f t="shared" si="26"/>
        <v>2333.333333</v>
      </c>
      <c r="K191" s="16">
        <f t="shared" si="27"/>
        <v>1866.666667</v>
      </c>
      <c r="L191" s="31" t="s">
        <v>2</v>
      </c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13">
        <v>3.0</v>
      </c>
      <c r="B192" s="12" t="s">
        <v>17</v>
      </c>
      <c r="C192" s="14" t="s">
        <v>86</v>
      </c>
      <c r="D192" s="15">
        <v>1600.0</v>
      </c>
      <c r="E192" s="15">
        <f t="shared" si="25"/>
        <v>4800</v>
      </c>
      <c r="F192" s="16"/>
      <c r="G192" s="24"/>
      <c r="H192" s="24"/>
      <c r="I192" s="16">
        <v>1100.0</v>
      </c>
      <c r="J192" s="16">
        <f t="shared" si="26"/>
        <v>3300</v>
      </c>
      <c r="K192" s="16">
        <f t="shared" si="27"/>
        <v>1500</v>
      </c>
      <c r="L192" s="31" t="s">
        <v>2</v>
      </c>
      <c r="M192" s="2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13">
        <v>1.0</v>
      </c>
      <c r="B193" s="12" t="s">
        <v>5</v>
      </c>
      <c r="C193" s="14" t="s">
        <v>34</v>
      </c>
      <c r="D193" s="15">
        <v>2000.0</v>
      </c>
      <c r="E193" s="15">
        <f t="shared" si="25"/>
        <v>2000</v>
      </c>
      <c r="F193" s="16"/>
      <c r="G193" s="24"/>
      <c r="H193" s="24"/>
      <c r="I193" s="16">
        <v>0.0</v>
      </c>
      <c r="J193" s="16">
        <f t="shared" si="26"/>
        <v>0</v>
      </c>
      <c r="K193" s="16">
        <f t="shared" si="27"/>
        <v>2000</v>
      </c>
      <c r="L193" s="31" t="s">
        <v>2</v>
      </c>
      <c r="M193" s="2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13">
        <v>2.0</v>
      </c>
      <c r="B194" s="12" t="s">
        <v>17</v>
      </c>
      <c r="C194" s="14" t="s">
        <v>19</v>
      </c>
      <c r="D194" s="15">
        <v>3000.0</v>
      </c>
      <c r="E194" s="15">
        <f t="shared" si="25"/>
        <v>6000</v>
      </c>
      <c r="F194" s="16"/>
      <c r="G194" s="24"/>
      <c r="H194" s="24"/>
      <c r="I194" s="15">
        <v>0.0</v>
      </c>
      <c r="J194" s="16">
        <f t="shared" si="26"/>
        <v>0</v>
      </c>
      <c r="K194" s="16">
        <f t="shared" si="27"/>
        <v>6000</v>
      </c>
      <c r="L194" s="31" t="s">
        <v>2</v>
      </c>
      <c r="M194" s="2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13">
        <v>3.0</v>
      </c>
      <c r="B195" s="12" t="s">
        <v>17</v>
      </c>
      <c r="C195" s="14" t="s">
        <v>22</v>
      </c>
      <c r="D195" s="15">
        <v>3200.0</v>
      </c>
      <c r="E195" s="15">
        <f t="shared" si="25"/>
        <v>9600</v>
      </c>
      <c r="F195" s="16"/>
      <c r="G195" s="24"/>
      <c r="H195" s="24"/>
      <c r="I195" s="15">
        <f>40000/15</f>
        <v>2666.666667</v>
      </c>
      <c r="J195" s="16">
        <f t="shared" si="26"/>
        <v>8000</v>
      </c>
      <c r="K195" s="16">
        <f t="shared" si="27"/>
        <v>1600</v>
      </c>
      <c r="L195" s="31" t="s">
        <v>2</v>
      </c>
      <c r="M195" s="2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13">
        <v>1.0</v>
      </c>
      <c r="B196" s="12" t="s">
        <v>87</v>
      </c>
      <c r="C196" s="14" t="s">
        <v>77</v>
      </c>
      <c r="D196" s="15">
        <v>14000.0</v>
      </c>
      <c r="E196" s="15">
        <f t="shared" si="25"/>
        <v>14000</v>
      </c>
      <c r="F196" s="16"/>
      <c r="G196" s="24"/>
      <c r="H196" s="24"/>
      <c r="I196" s="15">
        <v>10000.0</v>
      </c>
      <c r="J196" s="16">
        <f t="shared" si="26"/>
        <v>10000</v>
      </c>
      <c r="K196" s="16">
        <f t="shared" si="27"/>
        <v>4000</v>
      </c>
      <c r="L196" s="31" t="s">
        <v>2</v>
      </c>
      <c r="M196" s="2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13"/>
      <c r="B197" s="12"/>
      <c r="C197" s="14"/>
      <c r="D197" s="15"/>
      <c r="E197" s="16"/>
      <c r="F197" s="16"/>
      <c r="H197" s="24"/>
      <c r="I197" s="16"/>
      <c r="J197" s="16"/>
      <c r="K197" s="16"/>
      <c r="L197" s="30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>
      <c r="A198" s="13"/>
      <c r="B198" s="12"/>
      <c r="C198" s="14"/>
      <c r="D198" s="15"/>
      <c r="E198" s="16">
        <f>SUM(E186:E197)</f>
        <v>86560</v>
      </c>
      <c r="F198" s="16"/>
      <c r="G198" s="24"/>
      <c r="H198" s="24"/>
      <c r="I198" s="16"/>
      <c r="J198" s="16"/>
      <c r="K198" s="16">
        <f>SUM(K186:K196)</f>
        <v>29951.66667</v>
      </c>
      <c r="L198" s="30">
        <f>K198/E198</f>
        <v>0.3460220271</v>
      </c>
      <c r="M198" s="2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>
      <c r="A199" s="13"/>
      <c r="B199" s="12"/>
      <c r="C199" s="14"/>
      <c r="D199" s="15"/>
      <c r="E199" s="3"/>
      <c r="F199" s="3"/>
      <c r="G199" s="2"/>
      <c r="H199" s="2"/>
      <c r="I199" s="2"/>
      <c r="J199" s="2"/>
      <c r="K199" s="3"/>
      <c r="L199" s="4"/>
      <c r="M199" s="2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13"/>
      <c r="B200" s="12"/>
      <c r="C200" s="14"/>
      <c r="D200" s="15"/>
      <c r="E200" s="3"/>
      <c r="F200" s="3"/>
      <c r="G200" s="2"/>
      <c r="H200" s="2"/>
      <c r="I200" s="2"/>
      <c r="J200" s="2"/>
      <c r="K200" s="3"/>
      <c r="L200" s="4"/>
      <c r="M200" s="2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A201" s="13"/>
      <c r="B201" s="12"/>
      <c r="C201" s="14"/>
      <c r="D201" s="15"/>
      <c r="E201" s="3"/>
      <c r="F201" s="3"/>
      <c r="G201" s="2"/>
      <c r="H201" s="2"/>
      <c r="I201" s="2"/>
      <c r="J201" s="2"/>
      <c r="K201" s="3"/>
      <c r="L201" s="4"/>
      <c r="M201" s="2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13"/>
      <c r="B202" s="12"/>
      <c r="C202" s="14"/>
      <c r="D202" s="15"/>
      <c r="E202" s="3"/>
      <c r="F202" s="3"/>
      <c r="G202" s="2"/>
      <c r="H202" s="2"/>
      <c r="I202" s="2"/>
      <c r="J202" s="2"/>
      <c r="K202" s="3"/>
      <c r="L202" s="4"/>
      <c r="M202" s="2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13"/>
      <c r="B203" s="12"/>
      <c r="C203" s="14"/>
      <c r="D203" s="15"/>
      <c r="E203" s="3"/>
      <c r="F203" s="3"/>
      <c r="G203" s="2"/>
      <c r="H203" s="2"/>
      <c r="I203" s="2"/>
      <c r="J203" s="2"/>
      <c r="K203" s="3"/>
      <c r="L203" s="4"/>
      <c r="M203" s="2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33" t="s">
        <v>88</v>
      </c>
      <c r="B204" s="34">
        <f>E198+E179+E153+E130+E104+E69+E58+F40</f>
        <v>3576642.5</v>
      </c>
      <c r="C204" s="2"/>
      <c r="D204" s="3"/>
      <c r="E204" s="3"/>
      <c r="F204" s="3"/>
      <c r="G204" s="2"/>
      <c r="H204" s="2"/>
      <c r="I204" s="2"/>
      <c r="J204" s="2"/>
      <c r="K204" s="3"/>
      <c r="L204" s="4"/>
      <c r="M204" s="2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1"/>
      <c r="B205" s="2"/>
      <c r="C205" s="2"/>
      <c r="D205" s="3"/>
      <c r="E205" s="3"/>
      <c r="F205" s="3"/>
      <c r="G205" s="2"/>
      <c r="H205" s="2"/>
      <c r="I205" s="2"/>
      <c r="J205" s="2"/>
      <c r="K205" s="3"/>
      <c r="L205" s="4"/>
      <c r="M205" s="2"/>
      <c r="N205" s="2"/>
      <c r="O205" s="2"/>
      <c r="P205" s="2"/>
      <c r="Q205" s="3"/>
      <c r="R205" s="9"/>
      <c r="S205" s="3"/>
      <c r="T205" s="3"/>
      <c r="U205" s="1"/>
      <c r="V205" s="3"/>
      <c r="W205" s="3"/>
      <c r="X205" s="3"/>
      <c r="Y205" s="3"/>
      <c r="Z205" s="3"/>
    </row>
    <row r="206">
      <c r="A206" s="33" t="s">
        <v>89</v>
      </c>
      <c r="B206" s="34">
        <f>K198+K179+K153+K130+K104+K69+K58+K40</f>
        <v>1334538.488</v>
      </c>
      <c r="C206" s="2"/>
      <c r="D206" s="3"/>
      <c r="E206" s="3"/>
      <c r="F206" s="3"/>
      <c r="G206" s="2"/>
      <c r="H206" s="2"/>
      <c r="I206" s="2"/>
      <c r="J206" s="2"/>
      <c r="K206" s="3"/>
      <c r="L206" s="4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1"/>
      <c r="B207" s="2"/>
      <c r="C207" s="2"/>
      <c r="D207" s="3"/>
      <c r="E207" s="3"/>
      <c r="F207" s="3"/>
      <c r="G207" s="2"/>
      <c r="H207" s="2"/>
      <c r="I207" s="2"/>
      <c r="J207" s="2"/>
      <c r="K207" s="3"/>
      <c r="L207" s="4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33" t="s">
        <v>90</v>
      </c>
      <c r="B208" s="35">
        <f>B206/B204</f>
        <v>0.3731260499</v>
      </c>
      <c r="C208" s="2"/>
      <c r="D208" s="3"/>
      <c r="E208" s="3"/>
      <c r="F208" s="3"/>
      <c r="G208" s="2"/>
      <c r="H208" s="2"/>
      <c r="I208" s="2"/>
      <c r="J208" s="2"/>
      <c r="K208" s="3"/>
      <c r="L208" s="4"/>
      <c r="M208" s="2"/>
      <c r="N208" s="2"/>
      <c r="O208" s="2"/>
      <c r="P208" s="2"/>
      <c r="Q208" s="2"/>
      <c r="R208" s="2"/>
      <c r="S208" s="3"/>
      <c r="T208" s="3"/>
      <c r="U208" s="1"/>
      <c r="V208" s="3"/>
      <c r="W208" s="3"/>
      <c r="X208" s="2"/>
      <c r="Y208" s="2"/>
      <c r="Z208" s="2"/>
    </row>
    <row r="209">
      <c r="A209" s="1"/>
      <c r="B209" s="2"/>
      <c r="C209" s="2"/>
      <c r="D209" s="3"/>
      <c r="E209" s="3"/>
      <c r="F209" s="3"/>
      <c r="G209" s="2"/>
      <c r="H209" s="2"/>
      <c r="I209" s="2"/>
      <c r="J209" s="2"/>
      <c r="K209" s="3"/>
      <c r="L209" s="4"/>
      <c r="M209" s="2"/>
      <c r="N209" s="2"/>
      <c r="O209" s="2"/>
      <c r="P209" s="2"/>
      <c r="Q209" s="3"/>
      <c r="R209" s="9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36" t="s">
        <v>91</v>
      </c>
      <c r="C210" s="37">
        <v>100.0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9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1"/>
      <c r="B212" s="2"/>
      <c r="C212" s="2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1"/>
      <c r="B213" s="1"/>
      <c r="C213" s="2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X214" s="3"/>
      <c r="Y214" s="3"/>
      <c r="Z214" s="3"/>
    </row>
    <row r="215" ht="15.75" customHeight="1">
      <c r="A215" s="39"/>
      <c r="B215" s="40" t="s">
        <v>92</v>
      </c>
      <c r="C215" s="41" t="s">
        <v>93</v>
      </c>
      <c r="D215" s="42" t="s">
        <v>94</v>
      </c>
      <c r="E215" s="42" t="s">
        <v>95</v>
      </c>
      <c r="F215" s="42" t="s">
        <v>96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9"/>
      <c r="X215" s="3"/>
      <c r="Y215" s="3"/>
      <c r="Z215" s="3"/>
    </row>
    <row r="216" ht="15.75" customHeight="1">
      <c r="A216" s="43"/>
      <c r="B216" s="44">
        <v>2528350.0</v>
      </c>
      <c r="C216" s="45">
        <v>308459.29</v>
      </c>
      <c r="D216" s="45">
        <f>2277828.28-500000-1000000+491000</f>
        <v>1268828.28</v>
      </c>
      <c r="E216" s="45"/>
      <c r="F216" s="45">
        <f>8500000+1101582.8</f>
        <v>9601582.8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1"/>
      <c r="B217" s="46"/>
      <c r="C217" s="46"/>
      <c r="D217" s="46"/>
      <c r="E217" s="4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40" t="s">
        <v>97</v>
      </c>
      <c r="B218" s="47"/>
      <c r="C218" s="47"/>
      <c r="D218" s="47"/>
      <c r="E218" s="47"/>
      <c r="F218" s="4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13" t="s">
        <v>98</v>
      </c>
      <c r="B219" s="49">
        <v>319800.0</v>
      </c>
      <c r="C219" s="49">
        <v>0.0</v>
      </c>
      <c r="D219" s="49">
        <v>0.0</v>
      </c>
      <c r="E219" s="49">
        <v>0.0</v>
      </c>
      <c r="F219" s="49">
        <v>0.0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13" t="s">
        <v>99</v>
      </c>
      <c r="B220" s="49">
        <v>0.0</v>
      </c>
      <c r="C220" s="49">
        <v>3625.2</v>
      </c>
      <c r="D220" s="49">
        <v>0.0</v>
      </c>
      <c r="E220" s="49">
        <v>0.0</v>
      </c>
      <c r="F220" s="49">
        <v>0.0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13" t="s">
        <v>100</v>
      </c>
      <c r="B221" s="49">
        <v>0.0</v>
      </c>
      <c r="C221" s="49">
        <v>0.0</v>
      </c>
      <c r="D221" s="49">
        <v>1101582.8</v>
      </c>
      <c r="E221" s="49">
        <v>0.0</v>
      </c>
      <c r="F221" s="49">
        <v>0.0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13" t="s">
        <v>101</v>
      </c>
      <c r="B222" s="49">
        <v>0.0</v>
      </c>
      <c r="C222" s="49">
        <v>0.0</v>
      </c>
      <c r="D222" s="49">
        <v>0.0</v>
      </c>
      <c r="E222" s="49">
        <v>0.0</v>
      </c>
      <c r="F222" s="49">
        <v>0.0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13" t="s">
        <v>102</v>
      </c>
      <c r="B223" s="49">
        <v>0.0</v>
      </c>
      <c r="C223" s="49">
        <v>0.0</v>
      </c>
      <c r="D223" s="49">
        <v>0.0</v>
      </c>
      <c r="E223" s="49">
        <v>0.0</v>
      </c>
      <c r="F223" s="49">
        <v>0.0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13" t="s">
        <v>103</v>
      </c>
      <c r="B224" s="49">
        <v>0.0</v>
      </c>
      <c r="C224" s="50">
        <f>C219*0.6%+C222*0.6%</f>
        <v>0</v>
      </c>
      <c r="D224" s="49">
        <f>SUM(D219:D221)*0.6%</f>
        <v>6609.4968</v>
      </c>
      <c r="E224" s="49">
        <v>0.0</v>
      </c>
      <c r="F224" s="49">
        <v>0.0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1"/>
      <c r="B225" s="46"/>
      <c r="C225" s="46"/>
      <c r="D225" s="46"/>
      <c r="E225" s="4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51" t="s">
        <v>8</v>
      </c>
      <c r="B226" s="52">
        <f>SUM(B216:B224)</f>
        <v>2848150</v>
      </c>
      <c r="C226" s="52">
        <f>C216+C219+C222+C223-C224+C220</f>
        <v>312084.49</v>
      </c>
      <c r="D226" s="53">
        <f>D216+D219+D222+D223-D224+D221</f>
        <v>2363801.583</v>
      </c>
      <c r="E226" s="52">
        <f>E216+E219+E222+E223-E224</f>
        <v>0</v>
      </c>
      <c r="F226" s="54">
        <f>F216+F219+F222+F223-F224-D221</f>
        <v>8500000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1"/>
      <c r="B227" s="1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40" t="s">
        <v>104</v>
      </c>
      <c r="B228" s="47"/>
      <c r="C228" s="47"/>
      <c r="D228" s="47"/>
      <c r="E228" s="47"/>
      <c r="F228" s="4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13" t="s">
        <v>105</v>
      </c>
      <c r="B229" s="55">
        <v>10000.0</v>
      </c>
      <c r="C229" s="55">
        <v>0.0</v>
      </c>
      <c r="D229" s="55">
        <v>0.0</v>
      </c>
      <c r="E229" s="55">
        <v>0.0</v>
      </c>
      <c r="F229" s="2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13" t="s">
        <v>106</v>
      </c>
      <c r="B230" s="49">
        <v>0.0</v>
      </c>
      <c r="C230" s="49">
        <v>0.0</v>
      </c>
      <c r="D230" s="49">
        <v>0.0</v>
      </c>
      <c r="E230" s="49">
        <v>0.0</v>
      </c>
      <c r="F230" s="2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13" t="s">
        <v>107</v>
      </c>
      <c r="B231" s="55">
        <v>0.0</v>
      </c>
      <c r="C231" s="55">
        <v>0.0</v>
      </c>
      <c r="D231" s="49">
        <v>500000.0</v>
      </c>
      <c r="E231" s="55">
        <v>0.0</v>
      </c>
      <c r="F231" s="2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13" t="s">
        <v>108</v>
      </c>
      <c r="B232" s="55">
        <v>0.0</v>
      </c>
      <c r="C232" s="55">
        <v>0.0</v>
      </c>
      <c r="D232" s="55">
        <v>0.0</v>
      </c>
      <c r="E232" s="55">
        <v>0.0</v>
      </c>
      <c r="F232" s="2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13" t="s">
        <v>109</v>
      </c>
      <c r="B233" s="55">
        <v>0.0</v>
      </c>
      <c r="C233" s="55">
        <v>395000.0</v>
      </c>
      <c r="D233" s="55">
        <v>0.0</v>
      </c>
      <c r="E233" s="55">
        <v>0.0</v>
      </c>
      <c r="F233" s="2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13" t="s">
        <v>110</v>
      </c>
      <c r="B234" s="55">
        <v>40000.0</v>
      </c>
      <c r="C234" s="55">
        <v>0.0</v>
      </c>
      <c r="D234" s="55">
        <v>0.0</v>
      </c>
      <c r="E234" s="55">
        <v>0.0</v>
      </c>
      <c r="F234" s="26"/>
      <c r="G234" s="2"/>
      <c r="H234" s="56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13" t="s">
        <v>111</v>
      </c>
      <c r="B235" s="49">
        <v>0.0</v>
      </c>
      <c r="C235" s="49">
        <v>0.0</v>
      </c>
      <c r="D235" s="49">
        <v>0.0</v>
      </c>
      <c r="E235" s="49">
        <v>0.0</v>
      </c>
      <c r="F235" s="2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13" t="s">
        <v>112</v>
      </c>
      <c r="B236" s="49">
        <v>0.0</v>
      </c>
      <c r="C236" s="49">
        <v>0.0</v>
      </c>
      <c r="D236" s="49">
        <v>0.0</v>
      </c>
      <c r="E236" s="49">
        <v>0.0</v>
      </c>
      <c r="F236" s="26"/>
      <c r="G236" s="2"/>
      <c r="H236" s="56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13" t="s">
        <v>113</v>
      </c>
      <c r="B237" s="49">
        <v>0.0</v>
      </c>
      <c r="C237" s="49">
        <v>0.0</v>
      </c>
      <c r="D237" s="49">
        <v>0.0</v>
      </c>
      <c r="E237" s="49">
        <v>0.0</v>
      </c>
      <c r="F237" s="26"/>
      <c r="G237" s="2"/>
      <c r="H237" s="56"/>
      <c r="I237" s="2"/>
      <c r="J237" s="2"/>
      <c r="K237" s="2"/>
      <c r="L237" s="2"/>
      <c r="M237" s="2"/>
      <c r="N237" s="2"/>
      <c r="O237" s="2"/>
      <c r="P237" s="2"/>
      <c r="Q237" s="3"/>
      <c r="R237" s="9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13" t="s">
        <v>114</v>
      </c>
      <c r="B238" s="55">
        <v>0.0</v>
      </c>
      <c r="C238" s="55">
        <v>0.0</v>
      </c>
      <c r="D238" s="55">
        <v>0.0</v>
      </c>
      <c r="E238" s="55">
        <v>0.0</v>
      </c>
      <c r="F238" s="26"/>
      <c r="G238" s="2"/>
      <c r="H238" s="56"/>
      <c r="I238" s="2"/>
      <c r="J238" s="2"/>
      <c r="K238" s="2"/>
      <c r="L238" s="2"/>
      <c r="M238" s="2"/>
      <c r="N238" s="2"/>
      <c r="O238" s="2"/>
      <c r="P238" s="2"/>
      <c r="Q238" s="3"/>
      <c r="R238" s="9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13" t="s">
        <v>115</v>
      </c>
      <c r="B239" s="55">
        <v>0.0</v>
      </c>
      <c r="C239" s="55">
        <v>50000.0</v>
      </c>
      <c r="D239" s="55">
        <v>0.0</v>
      </c>
      <c r="E239" s="55">
        <v>0.0</v>
      </c>
      <c r="F239" s="26"/>
      <c r="G239" s="2"/>
      <c r="H239" s="56"/>
      <c r="I239" s="2"/>
      <c r="J239" s="2"/>
      <c r="K239" s="2"/>
      <c r="L239" s="2"/>
      <c r="M239" s="2"/>
      <c r="N239" s="2"/>
      <c r="O239" s="2"/>
      <c r="P239" s="2"/>
      <c r="Q239" s="3"/>
      <c r="R239" s="9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13" t="s">
        <v>116</v>
      </c>
      <c r="B240" s="50">
        <v>0.0</v>
      </c>
      <c r="C240" s="50">
        <v>50000.0</v>
      </c>
      <c r="D240" s="49">
        <v>0.0</v>
      </c>
      <c r="E240" s="49">
        <v>0.0</v>
      </c>
      <c r="F240" s="2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13" t="s">
        <v>117</v>
      </c>
      <c r="B241" s="50">
        <v>0.0</v>
      </c>
      <c r="C241" s="50">
        <v>0.0</v>
      </c>
      <c r="D241" s="49">
        <v>0.0</v>
      </c>
      <c r="E241" s="49">
        <v>0.0</v>
      </c>
      <c r="F241" s="26"/>
      <c r="G241" s="2"/>
      <c r="H241" s="56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13" t="s">
        <v>118</v>
      </c>
      <c r="B242" s="50">
        <v>0.0</v>
      </c>
      <c r="C242" s="50">
        <v>0.0</v>
      </c>
      <c r="D242" s="49">
        <v>0.0</v>
      </c>
      <c r="E242" s="49">
        <v>0.0</v>
      </c>
      <c r="F242" s="2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13" t="s">
        <v>119</v>
      </c>
      <c r="B243" s="50">
        <v>0.0</v>
      </c>
      <c r="C243" s="50">
        <v>0.0</v>
      </c>
      <c r="D243" s="49">
        <v>0.0</v>
      </c>
      <c r="E243" s="49">
        <v>0.0</v>
      </c>
      <c r="F243" s="2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9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13" t="s">
        <v>120</v>
      </c>
      <c r="B244" s="50">
        <v>0.0</v>
      </c>
      <c r="C244" s="50">
        <v>0.0</v>
      </c>
      <c r="D244" s="49">
        <v>0.0</v>
      </c>
      <c r="E244" s="49">
        <v>0.0</v>
      </c>
      <c r="F244" s="2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13" t="s">
        <v>121</v>
      </c>
      <c r="B245" s="50">
        <v>0.0</v>
      </c>
      <c r="C245" s="50">
        <v>0.0</v>
      </c>
      <c r="D245" s="49">
        <v>0.0</v>
      </c>
      <c r="E245" s="49">
        <v>0.0</v>
      </c>
      <c r="F245" s="2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13" t="s">
        <v>122</v>
      </c>
      <c r="B246" s="49">
        <v>20000.0</v>
      </c>
      <c r="C246" s="49">
        <v>0.0</v>
      </c>
      <c r="D246" s="49">
        <v>0.0</v>
      </c>
      <c r="E246" s="49">
        <v>0.0</v>
      </c>
      <c r="F246" s="2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13" t="s">
        <v>123</v>
      </c>
      <c r="B247" s="49">
        <v>0.0</v>
      </c>
      <c r="C247" s="49">
        <v>0.0</v>
      </c>
      <c r="D247" s="49">
        <v>12167.06</v>
      </c>
      <c r="E247" s="49">
        <v>0.0</v>
      </c>
      <c r="F247" s="2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13" t="s">
        <v>124</v>
      </c>
      <c r="B248" s="49">
        <v>0.0</v>
      </c>
      <c r="C248" s="49">
        <v>0.0</v>
      </c>
      <c r="D248" s="49">
        <v>0.0</v>
      </c>
      <c r="E248" s="49">
        <v>0.0</v>
      </c>
      <c r="F248" s="2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13" t="s">
        <v>125</v>
      </c>
      <c r="B249" s="50">
        <v>0.0</v>
      </c>
      <c r="C249" s="50">
        <v>0.0</v>
      </c>
      <c r="D249" s="49">
        <f>SUM(D219:D221)*2%</f>
        <v>22031.656</v>
      </c>
      <c r="E249" s="49">
        <v>0.0</v>
      </c>
      <c r="F249" s="2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13" t="s">
        <v>126</v>
      </c>
      <c r="B250" s="49">
        <v>0.0</v>
      </c>
      <c r="C250" s="49">
        <v>0.0</v>
      </c>
      <c r="D250" s="49">
        <v>0.0</v>
      </c>
      <c r="E250" s="49">
        <v>0.0</v>
      </c>
      <c r="F250" s="2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13" t="s">
        <v>127</v>
      </c>
      <c r="B251" s="49">
        <v>0.0</v>
      </c>
      <c r="C251" s="49">
        <v>0.0</v>
      </c>
      <c r="D251" s="49">
        <v>0.0</v>
      </c>
      <c r="E251" s="49">
        <v>0.0</v>
      </c>
      <c r="F251" s="2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13" t="s">
        <v>128</v>
      </c>
      <c r="B252" s="49">
        <v>0.0</v>
      </c>
      <c r="C252" s="49">
        <v>0.0</v>
      </c>
      <c r="D252" s="49">
        <v>0.0</v>
      </c>
      <c r="E252" s="49">
        <v>0.0</v>
      </c>
      <c r="F252" s="2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13" t="s">
        <v>129</v>
      </c>
      <c r="B253" s="49">
        <v>0.0</v>
      </c>
      <c r="C253" s="49">
        <v>0.0</v>
      </c>
      <c r="D253" s="49">
        <v>0.0</v>
      </c>
      <c r="E253" s="49">
        <v>0.0</v>
      </c>
      <c r="F253" s="2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57"/>
      <c r="B254" s="49"/>
      <c r="C254" s="49"/>
      <c r="D254" s="49"/>
      <c r="E254" s="49"/>
      <c r="F254" s="2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13" t="s">
        <v>130</v>
      </c>
      <c r="B255" s="50">
        <v>0.0</v>
      </c>
      <c r="C255" s="50">
        <f>SUM(C229:C252)*0.6%</f>
        <v>2970</v>
      </c>
      <c r="D255" s="50">
        <f>SUM(D229:D252)*0.6%+(D256*0.6%)</f>
        <v>5737.192296</v>
      </c>
      <c r="E255" s="50">
        <f>(E233*0.6%)+(E234*0.6%)+(E235*0.6%)+(E238*0.6%)+(E239*0.6%)</f>
        <v>0</v>
      </c>
      <c r="F255" s="2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13" t="s">
        <v>131</v>
      </c>
      <c r="B256" s="50">
        <v>0.0</v>
      </c>
      <c r="C256" s="50">
        <f t="shared" ref="C256:D256" si="28">272000+150000</f>
        <v>422000</v>
      </c>
      <c r="D256" s="50">
        <f t="shared" si="28"/>
        <v>422000</v>
      </c>
      <c r="E256" s="50">
        <f>SUM(E230:E254)*0.6%+(E257*0.6%)</f>
        <v>0</v>
      </c>
      <c r="F256" s="5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57"/>
      <c r="B257" s="57"/>
      <c r="C257" s="26"/>
      <c r="D257" s="2"/>
      <c r="E257" s="26"/>
      <c r="F257" s="2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59" t="s">
        <v>132</v>
      </c>
      <c r="B258" s="60">
        <f>SUM(B229:B257)</f>
        <v>70000</v>
      </c>
      <c r="C258" s="60">
        <f>SUM(C229:C255)</f>
        <v>497970</v>
      </c>
      <c r="D258" s="60">
        <f>SUM(D229:D256)</f>
        <v>961935.9083</v>
      </c>
      <c r="E258" s="60">
        <f>E240+E244+E255-E256</f>
        <v>0</v>
      </c>
      <c r="F258" s="61" t="str">
        <f>F233</f>
        <v/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57"/>
      <c r="B259" s="57"/>
      <c r="C259" s="26"/>
      <c r="D259" s="26"/>
      <c r="E259" s="26"/>
      <c r="F259" s="2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59" t="s">
        <v>133</v>
      </c>
      <c r="B260" s="62">
        <f>B226-B258</f>
        <v>2778150</v>
      </c>
      <c r="C260" s="63">
        <f>C226-C258+C256</f>
        <v>236114.49</v>
      </c>
      <c r="D260" s="63">
        <f t="shared" ref="D260:F260" si="29">D226-D258</f>
        <v>1401865.675</v>
      </c>
      <c r="E260" s="64">
        <f t="shared" si="29"/>
        <v>0</v>
      </c>
      <c r="F260" s="64">
        <f t="shared" si="29"/>
        <v>8500000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65" t="s">
        <v>134</v>
      </c>
      <c r="B262" s="66">
        <v>249800.0</v>
      </c>
      <c r="C262" s="46"/>
      <c r="D262" s="46"/>
      <c r="E262" s="46"/>
      <c r="F262" s="4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65" t="s">
        <v>135</v>
      </c>
      <c r="B263" s="66">
        <v>2528350.0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46" t="s">
        <v>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46">
        <f>SUM(B262:B263)</f>
        <v>2778150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9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9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1"/>
      <c r="V269" s="3"/>
      <c r="W269" s="9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1"/>
      <c r="V270" s="3"/>
      <c r="W270" s="9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1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1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1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9"/>
      <c r="S294" s="3"/>
      <c r="T294" s="3"/>
      <c r="U294" s="1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9"/>
      <c r="S295" s="3"/>
      <c r="T295" s="3"/>
      <c r="U295" s="1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1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1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1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1"/>
      <c r="V304" s="3"/>
      <c r="W304" s="9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1"/>
      <c r="V305" s="3"/>
      <c r="W305" s="9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1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9"/>
      <c r="S308" s="3"/>
      <c r="T308" s="3"/>
      <c r="U308" s="1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1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9"/>
      <c r="S312" s="3"/>
      <c r="T312" s="3"/>
      <c r="U312" s="1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9"/>
      <c r="S313" s="3"/>
      <c r="T313" s="3"/>
      <c r="U313" s="1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1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1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1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1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1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1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1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1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1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9"/>
      <c r="S323" s="3"/>
      <c r="T323" s="3"/>
      <c r="U323" s="1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1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1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1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1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1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9"/>
      <c r="S329" s="3"/>
      <c r="T329" s="3"/>
      <c r="U329" s="1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9"/>
      <c r="S330" s="3"/>
      <c r="T330" s="3"/>
      <c r="U330" s="1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1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1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9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9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3"/>
      <c r="T339" s="3"/>
      <c r="U339" s="9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9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9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9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9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9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9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9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9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9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3"/>
      <c r="T381" s="3"/>
      <c r="U381" s="9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9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9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9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46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46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46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46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46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46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46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46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46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46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46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46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46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46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46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46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46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46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46"/>
      <c r="R426" s="46"/>
      <c r="S426" s="3"/>
      <c r="T426" s="3"/>
      <c r="U426" s="9"/>
      <c r="V426" s="3"/>
      <c r="W426" s="3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9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9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46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46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46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46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46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46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46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9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9"/>
      <c r="T472" s="3"/>
      <c r="U472" s="2"/>
      <c r="V472" s="3"/>
      <c r="W472" s="3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9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9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2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2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9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9"/>
      <c r="T489" s="3"/>
      <c r="U489" s="2"/>
      <c r="V489" s="3"/>
      <c r="W489" s="3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9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9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2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9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2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9"/>
      <c r="T500" s="3"/>
      <c r="U500" s="2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9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2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2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2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/>
      <c r="R508" s="2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2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2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2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/>
      <c r="R512" s="2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9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/>
      <c r="R514" s="2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3"/>
      <c r="R515" s="2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3"/>
      <c r="T516" s="3"/>
      <c r="U516" s="9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3"/>
      <c r="R517" s="2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"/>
      <c r="R518" s="9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3"/>
      <c r="R519" s="2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/>
      <c r="R520" s="2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/>
      <c r="R521" s="2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/>
      <c r="R522" s="2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3"/>
      <c r="R523" s="2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3"/>
      <c r="R524" s="2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/>
      <c r="R525" s="2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/>
      <c r="R526" s="2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/>
      <c r="R527" s="9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/>
      <c r="R528" s="2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3"/>
      <c r="R529" s="2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3"/>
      <c r="T530" s="9"/>
      <c r="U530" s="2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3"/>
      <c r="R531" s="2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/>
      <c r="R532" s="9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/>
      <c r="R533" s="2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/>
      <c r="R534" s="2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3"/>
      <c r="R535" s="2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/>
      <c r="R536" s="2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/>
      <c r="R537" s="2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/>
      <c r="R538" s="2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/>
      <c r="R539" s="9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/>
      <c r="R540" s="9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/>
      <c r="R541" s="9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3"/>
      <c r="T542" s="9"/>
      <c r="U542" s="2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/>
      <c r="R543" s="2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/>
      <c r="R544" s="9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/>
      <c r="R545" s="2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/>
      <c r="R546" s="2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/>
      <c r="R547" s="2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  <c r="R548" s="2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3"/>
      <c r="R549" s="2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/>
      <c r="R550" s="9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3"/>
      <c r="R551" s="2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/>
      <c r="R552" s="2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/>
      <c r="R553" s="2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/>
      <c r="R555" s="2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67"/>
      <c r="R557" s="2"/>
      <c r="S557" s="2"/>
      <c r="T557" s="3"/>
      <c r="U557" s="2"/>
      <c r="V557" s="2"/>
      <c r="W557" s="2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3"/>
      <c r="T558" s="3"/>
      <c r="U558" s="3"/>
      <c r="V558" s="2"/>
      <c r="W558" s="2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8"/>
      <c r="R560" s="38"/>
      <c r="S560" s="38"/>
      <c r="T560" s="38"/>
      <c r="U560" s="38"/>
      <c r="V560" s="38"/>
      <c r="W560" s="38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3"/>
      <c r="T561" s="3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"/>
      <c r="R562" s="2"/>
      <c r="S562" s="3"/>
      <c r="T562" s="3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68"/>
      <c r="R564" s="69"/>
      <c r="S564" s="70"/>
      <c r="T564" s="70"/>
      <c r="U564" s="70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1"/>
      <c r="R565" s="71"/>
      <c r="S565" s="71"/>
      <c r="T565" s="71"/>
      <c r="U565" s="71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46"/>
      <c r="R566" s="46"/>
      <c r="S566" s="46"/>
      <c r="T566" s="46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46"/>
      <c r="R568" s="46"/>
      <c r="S568" s="46"/>
      <c r="T568" s="46"/>
      <c r="U568" s="46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46"/>
      <c r="R569" s="46"/>
      <c r="S569" s="46"/>
      <c r="T569" s="46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46"/>
      <c r="R570" s="46"/>
      <c r="S570" s="46"/>
      <c r="T570" s="46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46"/>
      <c r="R571" s="46"/>
      <c r="S571" s="46"/>
      <c r="T571" s="46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46"/>
      <c r="R572" s="46"/>
      <c r="S572" s="46"/>
      <c r="T572" s="46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2"/>
      <c r="R573" s="72"/>
      <c r="S573" s="72"/>
      <c r="T573" s="72"/>
      <c r="U573" s="73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"/>
      <c r="R574" s="2"/>
      <c r="S574" s="3"/>
      <c r="T574" s="3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56"/>
      <c r="R576" s="56"/>
      <c r="S576" s="56"/>
      <c r="T576" s="56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56"/>
      <c r="R577" s="56"/>
      <c r="S577" s="56"/>
      <c r="T577" s="56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56"/>
      <c r="R578" s="56"/>
      <c r="S578" s="56"/>
      <c r="T578" s="56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56"/>
      <c r="R579" s="56"/>
      <c r="S579" s="56"/>
      <c r="T579" s="56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56"/>
      <c r="R580" s="56"/>
      <c r="S580" s="56"/>
      <c r="T580" s="56"/>
      <c r="U580" s="2"/>
      <c r="V580" s="2"/>
      <c r="W580" s="56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56"/>
      <c r="R581" s="56"/>
      <c r="S581" s="56"/>
      <c r="T581" s="56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56"/>
      <c r="R582" s="56"/>
      <c r="S582" s="56"/>
      <c r="T582" s="56"/>
      <c r="U582" s="2"/>
      <c r="V582" s="2"/>
      <c r="W582" s="56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56"/>
      <c r="R583" s="56"/>
      <c r="S583" s="56"/>
      <c r="T583" s="56"/>
      <c r="U583" s="2"/>
      <c r="V583" s="2"/>
      <c r="W583" s="56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46"/>
      <c r="R584" s="46"/>
      <c r="S584" s="46"/>
      <c r="T584" s="46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46"/>
      <c r="R585" s="46"/>
      <c r="S585" s="46"/>
      <c r="T585" s="46"/>
      <c r="U585" s="2"/>
      <c r="V585" s="2"/>
      <c r="W585" s="56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46"/>
      <c r="R586" s="46"/>
      <c r="S586" s="46"/>
      <c r="T586" s="46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46"/>
      <c r="R587" s="46"/>
      <c r="S587" s="46"/>
      <c r="T587" s="46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46"/>
      <c r="R588" s="46"/>
      <c r="S588" s="46"/>
      <c r="T588" s="46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46"/>
      <c r="R589" s="46"/>
      <c r="S589" s="46"/>
      <c r="T589" s="46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46"/>
      <c r="R590" s="46"/>
      <c r="S590" s="46"/>
      <c r="T590" s="46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6"/>
      <c r="R591" s="46"/>
      <c r="S591" s="46"/>
      <c r="T591" s="46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46"/>
      <c r="R592" s="46"/>
      <c r="S592" s="46"/>
      <c r="T592" s="46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"/>
      <c r="R593" s="46"/>
      <c r="S593" s="46"/>
      <c r="T593" s="46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2"/>
      <c r="R595" s="72"/>
      <c r="S595" s="72"/>
      <c r="T595" s="72"/>
      <c r="U595" s="73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1"/>
      <c r="R597" s="72"/>
      <c r="S597" s="72"/>
      <c r="T597" s="74"/>
      <c r="U597" s="74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46"/>
      <c r="R599" s="46"/>
      <c r="S599" s="46"/>
      <c r="T599" s="46"/>
      <c r="U599" s="46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46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</sheetData>
  <mergeCells count="9">
    <mergeCell ref="U268:W268"/>
    <mergeCell ref="U303:W303"/>
    <mergeCell ref="I3:K3"/>
    <mergeCell ref="I43:K43"/>
    <mergeCell ref="A210:B210"/>
    <mergeCell ref="U214:W214"/>
    <mergeCell ref="A215:A216"/>
    <mergeCell ref="A218:F218"/>
    <mergeCell ref="A228:F228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136</v>
      </c>
      <c r="F3" s="7">
        <v>46028.0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5.0</v>
      </c>
      <c r="B6" s="12" t="s">
        <v>28</v>
      </c>
      <c r="C6" s="14" t="s">
        <v>74</v>
      </c>
      <c r="D6" s="15">
        <v>1000.0</v>
      </c>
      <c r="E6" s="15">
        <f t="shared" ref="E6:E16" si="1">A6*D6</f>
        <v>5000</v>
      </c>
      <c r="F6" s="15">
        <f t="shared" ref="F6:F16" si="2">E6*1.105</f>
        <v>5525</v>
      </c>
      <c r="G6" s="3"/>
      <c r="H6" s="3" t="s">
        <v>2</v>
      </c>
      <c r="I6" s="16">
        <f>3500/6</f>
        <v>583.3333333</v>
      </c>
      <c r="J6" s="15">
        <f t="shared" ref="J6:J16" si="3">I6*A6</f>
        <v>2916.666667</v>
      </c>
      <c r="K6" s="15">
        <f t="shared" ref="K6:K16" si="4">F6-J6</f>
        <v>2608.333333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10.0</v>
      </c>
      <c r="B7" s="12" t="s">
        <v>28</v>
      </c>
      <c r="C7" s="14" t="s">
        <v>137</v>
      </c>
      <c r="D7" s="15">
        <v>3000.0</v>
      </c>
      <c r="E7" s="15">
        <f t="shared" si="1"/>
        <v>30000</v>
      </c>
      <c r="F7" s="15">
        <f t="shared" si="2"/>
        <v>33150</v>
      </c>
      <c r="G7" s="3"/>
      <c r="H7" s="3" t="s">
        <v>2</v>
      </c>
      <c r="I7" s="15">
        <v>1000.0</v>
      </c>
      <c r="J7" s="15">
        <f t="shared" si="3"/>
        <v>10000</v>
      </c>
      <c r="K7" s="15">
        <f t="shared" si="4"/>
        <v>23150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10.0</v>
      </c>
      <c r="B8" s="12" t="s">
        <v>28</v>
      </c>
      <c r="C8" s="14" t="s">
        <v>138</v>
      </c>
      <c r="D8" s="15">
        <v>3000.0</v>
      </c>
      <c r="E8" s="15">
        <f t="shared" si="1"/>
        <v>30000</v>
      </c>
      <c r="F8" s="15">
        <f t="shared" si="2"/>
        <v>33150</v>
      </c>
      <c r="G8" s="3"/>
      <c r="H8" s="3" t="s">
        <v>2</v>
      </c>
      <c r="I8" s="15">
        <v>2000.0</v>
      </c>
      <c r="J8" s="15">
        <f t="shared" si="3"/>
        <v>20000</v>
      </c>
      <c r="K8" s="15">
        <f t="shared" si="4"/>
        <v>13150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2.0</v>
      </c>
      <c r="B9" s="12" t="s">
        <v>13</v>
      </c>
      <c r="C9" s="14" t="s">
        <v>14</v>
      </c>
      <c r="D9" s="15">
        <v>77000.0</v>
      </c>
      <c r="E9" s="15">
        <f t="shared" si="1"/>
        <v>154000</v>
      </c>
      <c r="F9" s="15">
        <f t="shared" si="2"/>
        <v>170170</v>
      </c>
      <c r="G9" s="3"/>
      <c r="H9" s="3"/>
      <c r="I9" s="15">
        <v>38000.0</v>
      </c>
      <c r="J9" s="15">
        <f t="shared" si="3"/>
        <v>76000</v>
      </c>
      <c r="K9" s="15">
        <f t="shared" si="4"/>
        <v>94170</v>
      </c>
      <c r="L9" s="4"/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1.0</v>
      </c>
      <c r="B10" s="12" t="s">
        <v>32</v>
      </c>
      <c r="C10" s="14" t="s">
        <v>21</v>
      </c>
      <c r="D10" s="15">
        <v>45000.0</v>
      </c>
      <c r="E10" s="15">
        <f t="shared" si="1"/>
        <v>45000</v>
      </c>
      <c r="F10" s="15">
        <f t="shared" si="2"/>
        <v>49725</v>
      </c>
      <c r="G10" s="3"/>
      <c r="H10" s="3" t="s">
        <v>2</v>
      </c>
      <c r="I10" s="16">
        <v>38000.0</v>
      </c>
      <c r="J10" s="15">
        <f t="shared" si="3"/>
        <v>38000</v>
      </c>
      <c r="K10" s="15">
        <f t="shared" si="4"/>
        <v>11725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1.0</v>
      </c>
      <c r="B11" s="12" t="s">
        <v>32</v>
      </c>
      <c r="C11" s="14" t="s">
        <v>20</v>
      </c>
      <c r="D11" s="15">
        <v>23000.0</v>
      </c>
      <c r="E11" s="15">
        <f t="shared" si="1"/>
        <v>23000</v>
      </c>
      <c r="F11" s="15">
        <f t="shared" si="2"/>
        <v>25415</v>
      </c>
      <c r="G11" s="3"/>
      <c r="H11" s="3" t="s">
        <v>2</v>
      </c>
      <c r="I11" s="15">
        <v>18000.0</v>
      </c>
      <c r="J11" s="15">
        <f t="shared" si="3"/>
        <v>18000</v>
      </c>
      <c r="K11" s="15">
        <f t="shared" si="4"/>
        <v>7415</v>
      </c>
      <c r="L11" s="4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13</v>
      </c>
      <c r="C12" s="14" t="s">
        <v>19</v>
      </c>
      <c r="D12" s="15">
        <v>46000.0</v>
      </c>
      <c r="E12" s="15">
        <f t="shared" si="1"/>
        <v>92000</v>
      </c>
      <c r="F12" s="15">
        <f t="shared" si="2"/>
        <v>101660</v>
      </c>
      <c r="G12" s="3"/>
      <c r="H12" s="3" t="s">
        <v>2</v>
      </c>
      <c r="I12" s="15">
        <v>36000.0</v>
      </c>
      <c r="J12" s="15">
        <f t="shared" si="3"/>
        <v>72000</v>
      </c>
      <c r="K12" s="15">
        <f t="shared" si="4"/>
        <v>29660</v>
      </c>
      <c r="L12" s="4"/>
      <c r="M12" s="20"/>
      <c r="N12" s="18"/>
      <c r="O12" s="19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1.0</v>
      </c>
      <c r="B13" s="12" t="s">
        <v>32</v>
      </c>
      <c r="C13" s="14" t="s">
        <v>35</v>
      </c>
      <c r="D13" s="15">
        <v>32000.0</v>
      </c>
      <c r="E13" s="15">
        <f t="shared" si="1"/>
        <v>32000</v>
      </c>
      <c r="F13" s="15">
        <f t="shared" si="2"/>
        <v>35360</v>
      </c>
      <c r="G13" s="3"/>
      <c r="H13" s="3" t="s">
        <v>2</v>
      </c>
      <c r="I13" s="15">
        <v>28000.0</v>
      </c>
      <c r="J13" s="15">
        <f t="shared" si="3"/>
        <v>28000</v>
      </c>
      <c r="K13" s="15">
        <f t="shared" si="4"/>
        <v>7360</v>
      </c>
      <c r="L13" s="4"/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13</v>
      </c>
      <c r="C14" s="14" t="s">
        <v>14</v>
      </c>
      <c r="D14" s="15">
        <v>77000.0</v>
      </c>
      <c r="E14" s="15">
        <f t="shared" si="1"/>
        <v>77000</v>
      </c>
      <c r="F14" s="15">
        <f t="shared" si="2"/>
        <v>85085</v>
      </c>
      <c r="G14" s="6" t="s">
        <v>42</v>
      </c>
      <c r="H14" s="3" t="s">
        <v>2</v>
      </c>
      <c r="I14" s="15">
        <v>0.0</v>
      </c>
      <c r="J14" s="15">
        <f t="shared" si="3"/>
        <v>0</v>
      </c>
      <c r="K14" s="15">
        <f t="shared" si="4"/>
        <v>85085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13</v>
      </c>
      <c r="C15" s="14" t="s">
        <v>19</v>
      </c>
      <c r="D15" s="15">
        <v>46000.0</v>
      </c>
      <c r="E15" s="15">
        <f t="shared" si="1"/>
        <v>46000</v>
      </c>
      <c r="F15" s="15">
        <f t="shared" si="2"/>
        <v>50830</v>
      </c>
      <c r="G15" s="6" t="s">
        <v>42</v>
      </c>
      <c r="H15" s="3"/>
      <c r="I15" s="15">
        <v>0.0</v>
      </c>
      <c r="J15" s="15">
        <f t="shared" si="3"/>
        <v>0</v>
      </c>
      <c r="K15" s="15">
        <f t="shared" si="4"/>
        <v>50830</v>
      </c>
      <c r="L15" s="4"/>
      <c r="M15" s="20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32</v>
      </c>
      <c r="C16" s="14" t="s">
        <v>35</v>
      </c>
      <c r="D16" s="15">
        <v>32000.0</v>
      </c>
      <c r="E16" s="15">
        <f t="shared" si="1"/>
        <v>32000</v>
      </c>
      <c r="F16" s="15">
        <f t="shared" si="2"/>
        <v>35360</v>
      </c>
      <c r="G16" s="6" t="s">
        <v>46</v>
      </c>
      <c r="H16" s="3" t="s">
        <v>2</v>
      </c>
      <c r="I16" s="16">
        <v>0.0</v>
      </c>
      <c r="J16" s="15">
        <f t="shared" si="3"/>
        <v>0</v>
      </c>
      <c r="K16" s="15">
        <f t="shared" si="4"/>
        <v>35360</v>
      </c>
      <c r="L16" s="4"/>
      <c r="M16" s="17"/>
      <c r="N16" s="18"/>
      <c r="O16" s="19"/>
      <c r="P16" s="18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/>
      <c r="B17" s="12"/>
      <c r="C17" s="14"/>
      <c r="D17" s="15"/>
      <c r="E17" s="3"/>
      <c r="F17" s="3"/>
      <c r="G17" s="3"/>
      <c r="H17" s="3"/>
      <c r="I17" s="3"/>
      <c r="J17" s="3"/>
      <c r="K17" s="3"/>
      <c r="L17" s="4"/>
      <c r="N17" s="21"/>
      <c r="P17" s="21"/>
      <c r="Q17" s="21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/>
      <c r="B18" s="12"/>
      <c r="C18" s="14"/>
      <c r="D18" s="15"/>
      <c r="E18" s="15">
        <f t="shared" ref="E18:F18" si="5">SUM(E6:E16)</f>
        <v>566000</v>
      </c>
      <c r="F18" s="15">
        <f t="shared" si="5"/>
        <v>625430</v>
      </c>
      <c r="G18" s="3"/>
      <c r="H18" s="3"/>
      <c r="I18" s="3"/>
      <c r="J18" s="3"/>
      <c r="K18" s="15">
        <f>SUM(K6:K16)</f>
        <v>360513.3333</v>
      </c>
      <c r="L18" s="22">
        <f>K18/F18</f>
        <v>0.5764247531</v>
      </c>
      <c r="M18" s="2"/>
      <c r="N18" s="21"/>
      <c r="P18" s="21"/>
      <c r="Q18" s="21"/>
      <c r="R18" s="2"/>
      <c r="S18" s="3"/>
      <c r="T18" s="3"/>
      <c r="U18" s="1"/>
      <c r="V18" s="3"/>
      <c r="W18" s="3"/>
      <c r="X18" s="3"/>
      <c r="Y18" s="3"/>
      <c r="Z18" s="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"/>
      <c r="B20" s="2"/>
      <c r="C20" s="2"/>
      <c r="D20" s="3"/>
      <c r="E20" s="3"/>
      <c r="F20" s="3"/>
      <c r="G20" s="2"/>
      <c r="H20" s="2"/>
      <c r="I20" s="2"/>
      <c r="J20" s="2"/>
      <c r="K20" s="3"/>
      <c r="L20" s="4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"/>
      <c r="B21" s="2"/>
      <c r="C21" s="2"/>
      <c r="D21" s="3"/>
      <c r="E21" s="3"/>
      <c r="F21" s="3"/>
      <c r="G21" s="2"/>
      <c r="H21" s="2"/>
      <c r="I21" s="2"/>
      <c r="J21" s="2"/>
      <c r="K21" s="3"/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23" t="s">
        <v>139</v>
      </c>
      <c r="B22" s="23"/>
      <c r="C22" s="23"/>
      <c r="D22" s="25" t="s">
        <v>140</v>
      </c>
      <c r="E22" s="7">
        <v>46028.0</v>
      </c>
      <c r="F22" s="28"/>
      <c r="G22" s="24"/>
      <c r="H22" s="24"/>
      <c r="I22" s="16"/>
      <c r="J22" s="16"/>
      <c r="K22" s="16"/>
      <c r="L22" s="29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B23" s="24"/>
      <c r="C23" s="26"/>
      <c r="D23" s="24"/>
      <c r="E23" s="24"/>
      <c r="F23" s="24"/>
      <c r="G23" s="24"/>
      <c r="H23" s="24"/>
      <c r="I23" s="16"/>
      <c r="J23" s="16"/>
      <c r="K23" s="16"/>
      <c r="L23" s="29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5" t="s">
        <v>4</v>
      </c>
      <c r="B24" s="10" t="s">
        <v>5</v>
      </c>
      <c r="C24" s="11" t="s">
        <v>6</v>
      </c>
      <c r="D24" s="12" t="s">
        <v>7</v>
      </c>
      <c r="E24" s="10" t="s">
        <v>8</v>
      </c>
      <c r="F24" s="12"/>
      <c r="G24" s="24"/>
      <c r="H24" s="24"/>
      <c r="I24" s="12" t="s">
        <v>7</v>
      </c>
      <c r="J24" s="12" t="s">
        <v>8</v>
      </c>
      <c r="K24" s="12" t="s">
        <v>10</v>
      </c>
      <c r="L24" s="29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1.0</v>
      </c>
      <c r="B25" s="12" t="s">
        <v>17</v>
      </c>
      <c r="C25" s="14" t="s">
        <v>33</v>
      </c>
      <c r="D25" s="15">
        <v>1800.0</v>
      </c>
      <c r="E25" s="15">
        <f t="shared" ref="E25:E39" si="6">A25*D25</f>
        <v>1800</v>
      </c>
      <c r="F25" s="16"/>
      <c r="G25" s="24"/>
      <c r="H25" s="24"/>
      <c r="I25" s="16">
        <v>1000.0</v>
      </c>
      <c r="J25" s="16">
        <f t="shared" ref="J25:J39" si="7">I25*A25</f>
        <v>1000</v>
      </c>
      <c r="K25" s="16">
        <f t="shared" ref="K25:K39" si="8">E25-J25</f>
        <v>800</v>
      </c>
      <c r="L25" s="31" t="s">
        <v>2</v>
      </c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1.0</v>
      </c>
      <c r="B26" s="12" t="s">
        <v>32</v>
      </c>
      <c r="C26" s="14" t="s">
        <v>141</v>
      </c>
      <c r="D26" s="15">
        <v>54000.0</v>
      </c>
      <c r="E26" s="15">
        <f t="shared" si="6"/>
        <v>54000</v>
      </c>
      <c r="F26" s="16"/>
      <c r="G26" s="32" t="s">
        <v>2</v>
      </c>
      <c r="H26" s="24"/>
      <c r="I26" s="15">
        <v>45000.0</v>
      </c>
      <c r="J26" s="16">
        <f t="shared" si="7"/>
        <v>45000</v>
      </c>
      <c r="K26" s="16">
        <f t="shared" si="8"/>
        <v>9000</v>
      </c>
      <c r="L26" s="31" t="s">
        <v>2</v>
      </c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5</v>
      </c>
      <c r="C27" s="14" t="s">
        <v>142</v>
      </c>
      <c r="D27" s="15">
        <v>2000.0</v>
      </c>
      <c r="E27" s="15">
        <f t="shared" si="6"/>
        <v>2000</v>
      </c>
      <c r="F27" s="16"/>
      <c r="G27" s="24"/>
      <c r="H27" s="24"/>
      <c r="I27" s="15">
        <v>1000.0</v>
      </c>
      <c r="J27" s="16">
        <f t="shared" si="7"/>
        <v>1000</v>
      </c>
      <c r="K27" s="16">
        <f t="shared" si="8"/>
        <v>1000</v>
      </c>
      <c r="L27" s="31" t="s">
        <v>2</v>
      </c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10.0</v>
      </c>
      <c r="B28" s="12" t="s">
        <v>5</v>
      </c>
      <c r="C28" s="14" t="s">
        <v>38</v>
      </c>
      <c r="D28" s="15">
        <v>1400.0</v>
      </c>
      <c r="E28" s="15">
        <f t="shared" si="6"/>
        <v>14000</v>
      </c>
      <c r="F28" s="16"/>
      <c r="G28" s="24"/>
      <c r="H28" s="24"/>
      <c r="I28" s="15">
        <v>781.0</v>
      </c>
      <c r="J28" s="16">
        <f t="shared" si="7"/>
        <v>7810</v>
      </c>
      <c r="K28" s="16">
        <f t="shared" si="8"/>
        <v>6190</v>
      </c>
      <c r="L28" s="31" t="s">
        <v>2</v>
      </c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28</v>
      </c>
      <c r="C29" s="14" t="s">
        <v>143</v>
      </c>
      <c r="D29" s="15">
        <v>3000.0</v>
      </c>
      <c r="E29" s="15">
        <f t="shared" si="6"/>
        <v>3000</v>
      </c>
      <c r="F29" s="16"/>
      <c r="G29" s="32" t="s">
        <v>2</v>
      </c>
      <c r="H29" s="24"/>
      <c r="I29" s="15">
        <v>2000.0</v>
      </c>
      <c r="J29" s="16">
        <f t="shared" si="7"/>
        <v>2000</v>
      </c>
      <c r="K29" s="16">
        <f t="shared" si="8"/>
        <v>1000</v>
      </c>
      <c r="L29" s="31" t="s">
        <v>2</v>
      </c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0.5</v>
      </c>
      <c r="B30" s="12" t="s">
        <v>17</v>
      </c>
      <c r="C30" s="14" t="s">
        <v>37</v>
      </c>
      <c r="D30" s="15">
        <v>5000.0</v>
      </c>
      <c r="E30" s="15">
        <f t="shared" si="6"/>
        <v>2500</v>
      </c>
      <c r="F30" s="16"/>
      <c r="G30" s="24"/>
      <c r="H30" s="24"/>
      <c r="I30" s="15">
        <v>4000.0</v>
      </c>
      <c r="J30" s="16">
        <f t="shared" si="7"/>
        <v>2000</v>
      </c>
      <c r="K30" s="16">
        <f t="shared" si="8"/>
        <v>500</v>
      </c>
      <c r="L30" s="31" t="s">
        <v>2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1.0</v>
      </c>
      <c r="B31" s="12" t="s">
        <v>17</v>
      </c>
      <c r="C31" s="14" t="s">
        <v>144</v>
      </c>
      <c r="D31" s="15">
        <v>4000.0</v>
      </c>
      <c r="E31" s="15">
        <f t="shared" si="6"/>
        <v>4000</v>
      </c>
      <c r="F31" s="16"/>
      <c r="G31" s="24"/>
      <c r="H31" s="24"/>
      <c r="I31" s="15">
        <v>3000.0</v>
      </c>
      <c r="J31" s="16">
        <f t="shared" si="7"/>
        <v>3000</v>
      </c>
      <c r="K31" s="16">
        <f t="shared" si="8"/>
        <v>1000</v>
      </c>
      <c r="L31" s="31" t="s">
        <v>2</v>
      </c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32</v>
      </c>
      <c r="C32" s="14" t="s">
        <v>20</v>
      </c>
      <c r="D32" s="15">
        <v>20000.0</v>
      </c>
      <c r="E32" s="15">
        <f t="shared" si="6"/>
        <v>20000</v>
      </c>
      <c r="F32" s="16"/>
      <c r="G32" s="24"/>
      <c r="H32" s="24"/>
      <c r="I32" s="16">
        <v>18000.0</v>
      </c>
      <c r="J32" s="16">
        <f t="shared" si="7"/>
        <v>18000</v>
      </c>
      <c r="K32" s="16">
        <f t="shared" si="8"/>
        <v>2000</v>
      </c>
      <c r="L32" s="31" t="s">
        <v>2</v>
      </c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42</v>
      </c>
      <c r="C33" s="14" t="s">
        <v>70</v>
      </c>
      <c r="D33" s="15">
        <v>16000.0</v>
      </c>
      <c r="E33" s="15">
        <f t="shared" si="6"/>
        <v>16000</v>
      </c>
      <c r="F33" s="16"/>
      <c r="G33" s="24"/>
      <c r="H33" s="24"/>
      <c r="I33" s="15">
        <v>13000.0</v>
      </c>
      <c r="J33" s="16">
        <f t="shared" si="7"/>
        <v>13000</v>
      </c>
      <c r="K33" s="16">
        <f t="shared" si="8"/>
        <v>3000</v>
      </c>
      <c r="L33" s="31" t="s">
        <v>2</v>
      </c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28</v>
      </c>
      <c r="C34" s="14" t="s">
        <v>53</v>
      </c>
      <c r="D34" s="15">
        <v>3500.0</v>
      </c>
      <c r="E34" s="15">
        <f t="shared" si="6"/>
        <v>3500</v>
      </c>
      <c r="F34" s="16"/>
      <c r="G34" s="24"/>
      <c r="H34" s="24"/>
      <c r="I34" s="16">
        <v>2000.0</v>
      </c>
      <c r="J34" s="16">
        <f t="shared" si="7"/>
        <v>2000</v>
      </c>
      <c r="K34" s="16">
        <f t="shared" si="8"/>
        <v>1500</v>
      </c>
      <c r="L34" s="31" t="s">
        <v>2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1.0</v>
      </c>
      <c r="B35" s="12" t="s">
        <v>17</v>
      </c>
      <c r="C35" s="14" t="s">
        <v>145</v>
      </c>
      <c r="D35" s="15">
        <v>3500.0</v>
      </c>
      <c r="E35" s="15">
        <f t="shared" si="6"/>
        <v>3500</v>
      </c>
      <c r="F35" s="16"/>
      <c r="G35" s="24"/>
      <c r="H35" s="24"/>
      <c r="I35" s="16">
        <v>3000.0</v>
      </c>
      <c r="J35" s="16">
        <f t="shared" si="7"/>
        <v>3000</v>
      </c>
      <c r="K35" s="16">
        <f t="shared" si="8"/>
        <v>500</v>
      </c>
      <c r="L35" s="31" t="s">
        <v>2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6.0</v>
      </c>
      <c r="B36" s="12" t="s">
        <v>146</v>
      </c>
      <c r="C36" s="14" t="s">
        <v>147</v>
      </c>
      <c r="D36" s="15">
        <v>800.0</v>
      </c>
      <c r="E36" s="15">
        <f t="shared" si="6"/>
        <v>4800</v>
      </c>
      <c r="F36" s="16"/>
      <c r="G36" s="24"/>
      <c r="H36" s="24"/>
      <c r="I36" s="16">
        <f>5000/12</f>
        <v>416.6666667</v>
      </c>
      <c r="J36" s="16">
        <f t="shared" si="7"/>
        <v>2500</v>
      </c>
      <c r="K36" s="16">
        <f t="shared" si="8"/>
        <v>2300</v>
      </c>
      <c r="L36" s="31" t="s">
        <v>2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28</v>
      </c>
      <c r="C37" s="14" t="s">
        <v>78</v>
      </c>
      <c r="D37" s="15">
        <v>4000.0</v>
      </c>
      <c r="E37" s="15">
        <f t="shared" si="6"/>
        <v>4000</v>
      </c>
      <c r="F37" s="16"/>
      <c r="G37" s="24"/>
      <c r="H37" s="24"/>
      <c r="I37" s="15">
        <v>3000.0</v>
      </c>
      <c r="J37" s="16">
        <f t="shared" si="7"/>
        <v>3000</v>
      </c>
      <c r="K37" s="16">
        <f t="shared" si="8"/>
        <v>1000</v>
      </c>
      <c r="L37" s="31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4.0</v>
      </c>
      <c r="B38" s="12" t="s">
        <v>148</v>
      </c>
      <c r="C38" s="14" t="s">
        <v>149</v>
      </c>
      <c r="D38" s="15">
        <v>2000.0</v>
      </c>
      <c r="E38" s="15">
        <f t="shared" si="6"/>
        <v>8000</v>
      </c>
      <c r="F38" s="16"/>
      <c r="G38" s="24"/>
      <c r="H38" s="24"/>
      <c r="I38" s="15">
        <v>1333.0</v>
      </c>
      <c r="J38" s="16">
        <f t="shared" si="7"/>
        <v>5332</v>
      </c>
      <c r="K38" s="16">
        <f t="shared" si="8"/>
        <v>2668</v>
      </c>
      <c r="L38" s="31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3.0</v>
      </c>
      <c r="B39" s="12" t="s">
        <v>146</v>
      </c>
      <c r="C39" s="14" t="s">
        <v>74</v>
      </c>
      <c r="D39" s="15">
        <v>1000.0</v>
      </c>
      <c r="E39" s="15">
        <f t="shared" si="6"/>
        <v>3000</v>
      </c>
      <c r="F39" s="16"/>
      <c r="G39" s="24"/>
      <c r="H39" s="24"/>
      <c r="I39" s="16">
        <f>3500/6</f>
        <v>583.3333333</v>
      </c>
      <c r="J39" s="16">
        <f t="shared" si="7"/>
        <v>1750</v>
      </c>
      <c r="K39" s="16">
        <f t="shared" si="8"/>
        <v>1250</v>
      </c>
      <c r="L39" s="31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/>
      <c r="B40" s="12"/>
      <c r="C40" s="14"/>
      <c r="D40" s="15"/>
      <c r="E40" s="16"/>
      <c r="F40" s="16"/>
      <c r="H40" s="24"/>
      <c r="I40" s="16"/>
      <c r="J40" s="16"/>
      <c r="K40" s="16"/>
      <c r="L40" s="30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/>
      <c r="B41" s="12"/>
      <c r="C41" s="14"/>
      <c r="D41" s="15"/>
      <c r="E41" s="16">
        <f>SUM(E25:E39)</f>
        <v>144100</v>
      </c>
      <c r="F41" s="16"/>
      <c r="G41" s="24"/>
      <c r="H41" s="24"/>
      <c r="I41" s="16"/>
      <c r="J41" s="16"/>
      <c r="K41" s="16">
        <f>SUM(K25:K39)</f>
        <v>33708</v>
      </c>
      <c r="L41" s="30">
        <f>K41/E41</f>
        <v>0.2339208883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/>
      <c r="B42" s="12"/>
      <c r="C42" s="14"/>
      <c r="D42" s="15"/>
      <c r="E42" s="3"/>
      <c r="F42" s="3"/>
      <c r="G42" s="2"/>
      <c r="H42" s="2"/>
      <c r="I42" s="2"/>
      <c r="J42" s="2"/>
      <c r="K42" s="3"/>
      <c r="L42" s="4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33"/>
      <c r="B43" s="34"/>
      <c r="C43" s="2"/>
      <c r="D43" s="3"/>
      <c r="E43" s="3"/>
      <c r="F43" s="3"/>
      <c r="G43" s="2"/>
      <c r="H43" s="2"/>
      <c r="I43" s="2"/>
      <c r="J43" s="2"/>
      <c r="K43" s="3"/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/>
      <c r="B44" s="12"/>
      <c r="C44" s="14"/>
      <c r="D44" s="15"/>
      <c r="E44" s="3"/>
      <c r="F44" s="3"/>
      <c r="G44" s="2"/>
      <c r="H44" s="2"/>
      <c r="I44" s="2"/>
      <c r="J44" s="2"/>
      <c r="K44" s="3"/>
      <c r="L44" s="4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/>
      <c r="B45" s="12"/>
      <c r="C45" s="14"/>
      <c r="D45" s="15"/>
      <c r="E45" s="3"/>
      <c r="F45" s="3"/>
      <c r="G45" s="2"/>
      <c r="H45" s="2"/>
      <c r="I45" s="2"/>
      <c r="J45" s="2"/>
      <c r="K45" s="3"/>
      <c r="L45" s="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/>
      <c r="B46" s="12"/>
      <c r="C46" s="14"/>
      <c r="D46" s="15"/>
      <c r="E46" s="3"/>
      <c r="F46" s="3"/>
      <c r="G46" s="2"/>
      <c r="H46" s="2"/>
      <c r="I46" s="2"/>
      <c r="J46" s="2"/>
      <c r="K46" s="3"/>
      <c r="L46" s="4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33" t="s">
        <v>88</v>
      </c>
      <c r="B47" s="34">
        <f>E41+F18</f>
        <v>769530</v>
      </c>
      <c r="C47" s="2"/>
      <c r="D47" s="3"/>
      <c r="E47" s="3"/>
      <c r="F47" s="3"/>
      <c r="G47" s="2"/>
      <c r="H47" s="2"/>
      <c r="I47" s="2"/>
      <c r="J47" s="2"/>
      <c r="K47" s="3"/>
      <c r="L47" s="4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"/>
      <c r="B48" s="2"/>
      <c r="C48" s="2"/>
      <c r="D48" s="3"/>
      <c r="E48" s="3"/>
      <c r="F48" s="3"/>
      <c r="G48" s="2"/>
      <c r="H48" s="2"/>
      <c r="I48" s="2"/>
      <c r="J48" s="2"/>
      <c r="K48" s="3"/>
      <c r="L48" s="4"/>
      <c r="M48" s="2"/>
      <c r="N48" s="2"/>
      <c r="O48" s="2"/>
      <c r="P48" s="2"/>
      <c r="Q48" s="3"/>
      <c r="R48" s="9"/>
      <c r="S48" s="3"/>
      <c r="T48" s="3"/>
      <c r="U48" s="1"/>
      <c r="V48" s="3"/>
      <c r="W48" s="3"/>
      <c r="X48" s="3"/>
      <c r="Y48" s="3"/>
      <c r="Z48" s="3"/>
    </row>
    <row r="49">
      <c r="A49" s="33" t="s">
        <v>89</v>
      </c>
      <c r="B49" s="34">
        <f>K41+K18</f>
        <v>394221.3333</v>
      </c>
      <c r="C49" s="2"/>
      <c r="D49" s="3"/>
      <c r="E49" s="3"/>
      <c r="F49" s="3"/>
      <c r="G49" s="2"/>
      <c r="H49" s="2"/>
      <c r="I49" s="2"/>
      <c r="J49" s="2"/>
      <c r="K49" s="3"/>
      <c r="L49" s="4"/>
      <c r="M49" s="2"/>
      <c r="N49" s="2"/>
      <c r="O49" s="2"/>
      <c r="P49" s="2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"/>
      <c r="B50" s="2"/>
      <c r="C50" s="2"/>
      <c r="D50" s="3"/>
      <c r="E50" s="3"/>
      <c r="F50" s="3"/>
      <c r="G50" s="2"/>
      <c r="H50" s="2"/>
      <c r="I50" s="2"/>
      <c r="J50" s="2"/>
      <c r="K50" s="3"/>
      <c r="L50" s="4"/>
      <c r="M50" s="2"/>
      <c r="N50" s="2"/>
      <c r="O50" s="2"/>
      <c r="P50" s="2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33" t="s">
        <v>90</v>
      </c>
      <c r="B51" s="35">
        <f>B49/B47</f>
        <v>0.5122884531</v>
      </c>
      <c r="C51" s="2"/>
      <c r="D51" s="3"/>
      <c r="E51" s="3"/>
      <c r="F51" s="3"/>
      <c r="G51" s="2"/>
      <c r="H51" s="2"/>
      <c r="I51" s="2"/>
      <c r="J51" s="2"/>
      <c r="K51" s="3"/>
      <c r="L51" s="4"/>
      <c r="M51" s="2"/>
      <c r="N51" s="2"/>
      <c r="O51" s="2"/>
      <c r="P51" s="2"/>
      <c r="Q51" s="2"/>
      <c r="R51" s="2"/>
      <c r="S51" s="3"/>
      <c r="T51" s="3"/>
      <c r="U51" s="1"/>
      <c r="V51" s="3"/>
      <c r="W51" s="3"/>
      <c r="X51" s="2"/>
      <c r="Y51" s="2"/>
      <c r="Z51" s="2"/>
    </row>
    <row r="52">
      <c r="A52" s="1"/>
      <c r="B52" s="2"/>
      <c r="C52" s="2"/>
      <c r="D52" s="3"/>
      <c r="E52" s="3"/>
      <c r="F52" s="3"/>
      <c r="G52" s="2"/>
      <c r="H52" s="2"/>
      <c r="I52" s="2"/>
      <c r="J52" s="2"/>
      <c r="K52" s="3"/>
      <c r="L52" s="4"/>
      <c r="M52" s="2"/>
      <c r="N52" s="2"/>
      <c r="O52" s="2"/>
      <c r="P52" s="2"/>
      <c r="Q52" s="3"/>
      <c r="R52" s="9"/>
      <c r="S52" s="3"/>
      <c r="T52" s="3"/>
      <c r="U52" s="1"/>
      <c r="V52" s="3"/>
      <c r="W52" s="3"/>
      <c r="X52" s="3"/>
      <c r="Y52" s="3"/>
      <c r="Z52" s="3"/>
    </row>
    <row r="53" ht="15.75" customHeight="1">
      <c r="A53" s="36" t="s">
        <v>91</v>
      </c>
      <c r="C53" s="37">
        <v>18.0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3"/>
      <c r="R53" s="9"/>
      <c r="S53" s="3"/>
      <c r="T53" s="3"/>
      <c r="U53" s="1"/>
      <c r="V53" s="3"/>
      <c r="W53" s="3"/>
      <c r="X53" s="3"/>
      <c r="Y53" s="3"/>
      <c r="Z53" s="3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2"/>
      <c r="M54" s="2"/>
      <c r="N54" s="2"/>
      <c r="O54" s="2"/>
      <c r="P54" s="2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 ht="15.75" customHeight="1">
      <c r="A55" s="1"/>
      <c r="B55" s="2"/>
      <c r="C55" s="2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 ht="15.75" customHeight="1">
      <c r="A56" s="1"/>
      <c r="B56" s="1"/>
      <c r="C56" s="2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2"/>
      <c r="S57" s="3"/>
      <c r="T57" s="3"/>
      <c r="U57" s="1"/>
      <c r="X57" s="3"/>
      <c r="Y57" s="3"/>
      <c r="Z57" s="3"/>
    </row>
    <row r="58" ht="15.75" customHeight="1">
      <c r="A58" s="39"/>
      <c r="B58" s="40" t="s">
        <v>92</v>
      </c>
      <c r="C58" s="41" t="s">
        <v>93</v>
      </c>
      <c r="D58" s="42" t="s">
        <v>94</v>
      </c>
      <c r="E58" s="42" t="s">
        <v>95</v>
      </c>
      <c r="F58" s="75" t="s">
        <v>96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  <c r="R58" s="2"/>
      <c r="S58" s="3"/>
      <c r="T58" s="3"/>
      <c r="U58" s="1"/>
      <c r="V58" s="3"/>
      <c r="W58" s="9"/>
      <c r="X58" s="3"/>
      <c r="Y58" s="3"/>
      <c r="Z58" s="3"/>
    </row>
    <row r="59" ht="15.75" customHeight="1">
      <c r="A59" s="43"/>
      <c r="B59" s="44">
        <f>'05-01-2026 '!B260</f>
        <v>2778150</v>
      </c>
      <c r="C59" s="45">
        <f>'05-01-2026 '!C260</f>
        <v>236114.49</v>
      </c>
      <c r="D59" s="45">
        <f>'05-01-2026 '!D260</f>
        <v>1401865.675</v>
      </c>
      <c r="E59" s="45"/>
      <c r="F59" s="76">
        <f>'05-01-2026 '!F260</f>
        <v>8500000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 ht="15.75" customHeight="1">
      <c r="A60" s="1"/>
      <c r="B60" s="46"/>
      <c r="C60" s="46"/>
      <c r="D60" s="46"/>
      <c r="E60" s="4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 ht="15.75" customHeight="1">
      <c r="A61" s="40" t="s">
        <v>97</v>
      </c>
      <c r="B61" s="47"/>
      <c r="C61" s="47"/>
      <c r="D61" s="47"/>
      <c r="E61" s="47"/>
      <c r="F61" s="48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 ht="15.75" customHeight="1">
      <c r="A62" s="13" t="s">
        <v>98</v>
      </c>
      <c r="B62" s="49">
        <v>0.0</v>
      </c>
      <c r="C62" s="49">
        <v>0.0</v>
      </c>
      <c r="D62" s="49">
        <v>0.0</v>
      </c>
      <c r="E62" s="49">
        <v>0.0</v>
      </c>
      <c r="F62" s="49">
        <v>0.0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 ht="15.75" customHeight="1">
      <c r="A63" s="13" t="s">
        <v>99</v>
      </c>
      <c r="B63" s="49">
        <v>0.0</v>
      </c>
      <c r="C63" s="49">
        <v>0.06</v>
      </c>
      <c r="D63" s="49">
        <v>0.0</v>
      </c>
      <c r="E63" s="49">
        <v>0.0</v>
      </c>
      <c r="F63" s="49">
        <v>0.0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 ht="15.75" customHeight="1">
      <c r="A64" s="13" t="s">
        <v>100</v>
      </c>
      <c r="B64" s="49">
        <v>0.0</v>
      </c>
      <c r="C64" s="49">
        <v>0.0</v>
      </c>
      <c r="D64" s="49">
        <v>0.0</v>
      </c>
      <c r="E64" s="49">
        <v>0.0</v>
      </c>
      <c r="F64" s="49">
        <v>0.0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 ht="15.75" customHeight="1">
      <c r="A65" s="13" t="s">
        <v>101</v>
      </c>
      <c r="B65" s="49">
        <v>0.0</v>
      </c>
      <c r="C65" s="49">
        <v>0.0</v>
      </c>
      <c r="D65" s="49">
        <v>0.0</v>
      </c>
      <c r="E65" s="49">
        <v>0.0</v>
      </c>
      <c r="F65" s="49">
        <v>0.0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 ht="15.75" customHeight="1">
      <c r="A66" s="13" t="s">
        <v>102</v>
      </c>
      <c r="B66" s="49">
        <v>0.0</v>
      </c>
      <c r="C66" s="49">
        <v>0.0</v>
      </c>
      <c r="D66" s="49">
        <v>0.0</v>
      </c>
      <c r="E66" s="49">
        <v>0.0</v>
      </c>
      <c r="F66" s="49">
        <v>0.0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 ht="15.75" customHeight="1">
      <c r="A67" s="13" t="s">
        <v>103</v>
      </c>
      <c r="B67" s="49">
        <v>0.0</v>
      </c>
      <c r="C67" s="50">
        <f>C62*0.6%+C65*0.6%</f>
        <v>0</v>
      </c>
      <c r="D67" s="49">
        <f>SUM(D62:D64)*0.6%</f>
        <v>0</v>
      </c>
      <c r="E67" s="49">
        <v>0.0</v>
      </c>
      <c r="F67" s="49">
        <v>0.0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 ht="15.75" customHeight="1">
      <c r="A68" s="1"/>
      <c r="B68" s="46"/>
      <c r="C68" s="46"/>
      <c r="D68" s="46"/>
      <c r="E68" s="4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 ht="15.75" customHeight="1">
      <c r="A69" s="51" t="s">
        <v>8</v>
      </c>
      <c r="B69" s="52">
        <f>SUM(B59:B67)</f>
        <v>2778150</v>
      </c>
      <c r="C69" s="52">
        <f>C59+C62+C65+C66-C67+C63</f>
        <v>236114.55</v>
      </c>
      <c r="D69" s="53">
        <f>D59+D62+D65+D66-D67+D64</f>
        <v>1401865.675</v>
      </c>
      <c r="E69" s="52">
        <f>E59+E62+E65+E66-E67</f>
        <v>0</v>
      </c>
      <c r="F69" s="54">
        <f>F59+F62+F65+F66-F67-D64</f>
        <v>8500000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1"/>
      <c r="B70" s="1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40" t="s">
        <v>104</v>
      </c>
      <c r="B71" s="47"/>
      <c r="C71" s="47"/>
      <c r="D71" s="47"/>
      <c r="E71" s="47"/>
      <c r="F71" s="48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13" t="s">
        <v>105</v>
      </c>
      <c r="B72" s="55">
        <v>1000.0</v>
      </c>
      <c r="C72" s="55">
        <v>0.0</v>
      </c>
      <c r="D72" s="55">
        <v>0.0</v>
      </c>
      <c r="E72" s="55">
        <v>0.0</v>
      </c>
      <c r="F72" s="26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 ht="15.75" customHeight="1">
      <c r="A73" s="13" t="s">
        <v>106</v>
      </c>
      <c r="B73" s="49">
        <v>0.0</v>
      </c>
      <c r="C73" s="49">
        <v>0.0</v>
      </c>
      <c r="D73" s="49">
        <v>0.0</v>
      </c>
      <c r="E73" s="49">
        <v>0.0</v>
      </c>
      <c r="F73" s="26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 ht="15.75" customHeight="1">
      <c r="A74" s="13" t="s">
        <v>107</v>
      </c>
      <c r="B74" s="55">
        <v>0.0</v>
      </c>
      <c r="C74" s="55">
        <v>0.0</v>
      </c>
      <c r="D74" s="49">
        <v>400000.0</v>
      </c>
      <c r="E74" s="55">
        <v>0.0</v>
      </c>
      <c r="F74" s="26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 ht="15.75" customHeight="1">
      <c r="A75" s="13" t="s">
        <v>108</v>
      </c>
      <c r="B75" s="55">
        <v>16400.0</v>
      </c>
      <c r="C75" s="55">
        <v>0.0</v>
      </c>
      <c r="D75" s="55">
        <v>0.0</v>
      </c>
      <c r="E75" s="55">
        <v>0.0</v>
      </c>
      <c r="F75" s="26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 ht="15.75" customHeight="1">
      <c r="A76" s="13" t="s">
        <v>109</v>
      </c>
      <c r="B76" s="55">
        <f>100000+33000+13000+7000</f>
        <v>153000</v>
      </c>
      <c r="C76" s="55">
        <v>127000.0</v>
      </c>
      <c r="D76" s="55">
        <v>0.0</v>
      </c>
      <c r="E76" s="55">
        <v>0.0</v>
      </c>
      <c r="F76" s="26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 ht="15.75" customHeight="1">
      <c r="A77" s="13" t="s">
        <v>110</v>
      </c>
      <c r="B77" s="55">
        <v>0.0</v>
      </c>
      <c r="C77" s="55">
        <v>0.0</v>
      </c>
      <c r="D77" s="55">
        <v>0.0</v>
      </c>
      <c r="E77" s="55">
        <v>0.0</v>
      </c>
      <c r="F77" s="26"/>
      <c r="G77" s="2"/>
      <c r="H77" s="56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 ht="15.75" customHeight="1">
      <c r="A78" s="13" t="s">
        <v>111</v>
      </c>
      <c r="B78" s="49">
        <v>0.0</v>
      </c>
      <c r="C78" s="49">
        <v>0.0</v>
      </c>
      <c r="D78" s="49">
        <v>0.0</v>
      </c>
      <c r="E78" s="49">
        <v>0.0</v>
      </c>
      <c r="F78" s="26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 ht="15.75" customHeight="1">
      <c r="A79" s="13" t="s">
        <v>112</v>
      </c>
      <c r="B79" s="49">
        <v>0.0</v>
      </c>
      <c r="C79" s="49">
        <v>0.0</v>
      </c>
      <c r="D79" s="49">
        <v>0.0</v>
      </c>
      <c r="E79" s="49">
        <v>0.0</v>
      </c>
      <c r="F79" s="26"/>
      <c r="G79" s="2"/>
      <c r="H79" s="56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 ht="15.75" customHeight="1">
      <c r="A80" s="13" t="s">
        <v>113</v>
      </c>
      <c r="B80" s="49">
        <v>0.0</v>
      </c>
      <c r="C80" s="49">
        <v>0.0</v>
      </c>
      <c r="D80" s="49">
        <v>0.0</v>
      </c>
      <c r="E80" s="49">
        <v>0.0</v>
      </c>
      <c r="F80" s="26"/>
      <c r="G80" s="2"/>
      <c r="H80" s="56"/>
      <c r="I80" s="2"/>
      <c r="J80" s="2"/>
      <c r="K80" s="2"/>
      <c r="L80" s="2"/>
      <c r="M80" s="2"/>
      <c r="N80" s="2"/>
      <c r="O80" s="2"/>
      <c r="P80" s="2"/>
      <c r="Q80" s="3"/>
      <c r="R80" s="9"/>
      <c r="S80" s="3"/>
      <c r="T80" s="3"/>
      <c r="U80" s="1"/>
      <c r="V80" s="3"/>
      <c r="W80" s="3"/>
      <c r="X80" s="3"/>
      <c r="Y80" s="3"/>
      <c r="Z80" s="3"/>
    </row>
    <row r="81" ht="15.75" customHeight="1">
      <c r="A81" s="13" t="s">
        <v>114</v>
      </c>
      <c r="B81" s="55">
        <v>0.0</v>
      </c>
      <c r="C81" s="55">
        <v>0.0</v>
      </c>
      <c r="D81" s="55">
        <v>0.0</v>
      </c>
      <c r="E81" s="55">
        <v>0.0</v>
      </c>
      <c r="F81" s="26"/>
      <c r="G81" s="2"/>
      <c r="H81" s="56"/>
      <c r="I81" s="2"/>
      <c r="J81" s="2"/>
      <c r="K81" s="2"/>
      <c r="L81" s="2"/>
      <c r="M81" s="2"/>
      <c r="N81" s="2"/>
      <c r="O81" s="2"/>
      <c r="P81" s="2"/>
      <c r="Q81" s="3"/>
      <c r="R81" s="9"/>
      <c r="S81" s="3"/>
      <c r="T81" s="3"/>
      <c r="U81" s="1"/>
      <c r="V81" s="3"/>
      <c r="W81" s="3"/>
      <c r="X81" s="3"/>
      <c r="Y81" s="3"/>
      <c r="Z81" s="3"/>
    </row>
    <row r="82" ht="15.75" customHeight="1">
      <c r="A82" s="13" t="s">
        <v>115</v>
      </c>
      <c r="B82" s="55">
        <v>0.0</v>
      </c>
      <c r="C82" s="55">
        <v>0.0</v>
      </c>
      <c r="D82" s="55">
        <v>0.0</v>
      </c>
      <c r="E82" s="55">
        <v>0.0</v>
      </c>
      <c r="F82" s="26"/>
      <c r="G82" s="2"/>
      <c r="H82" s="56"/>
      <c r="I82" s="2"/>
      <c r="J82" s="2"/>
      <c r="K82" s="2"/>
      <c r="L82" s="2"/>
      <c r="M82" s="2"/>
      <c r="N82" s="2"/>
      <c r="O82" s="2"/>
      <c r="P82" s="2"/>
      <c r="Q82" s="3"/>
      <c r="R82" s="9"/>
      <c r="S82" s="3"/>
      <c r="T82" s="3"/>
      <c r="U82" s="1"/>
      <c r="V82" s="3"/>
      <c r="W82" s="3"/>
      <c r="X82" s="3"/>
      <c r="Y82" s="3"/>
      <c r="Z82" s="3"/>
    </row>
    <row r="83" ht="15.75" customHeight="1">
      <c r="A83" s="13" t="s">
        <v>116</v>
      </c>
      <c r="B83" s="50">
        <v>0.0</v>
      </c>
      <c r="C83" s="50">
        <v>0.0</v>
      </c>
      <c r="D83" s="49">
        <v>0.0</v>
      </c>
      <c r="E83" s="49">
        <v>0.0</v>
      </c>
      <c r="F83" s="26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13" t="s">
        <v>117</v>
      </c>
      <c r="B84" s="50">
        <v>0.0</v>
      </c>
      <c r="C84" s="50">
        <v>0.0</v>
      </c>
      <c r="D84" s="49">
        <v>0.0</v>
      </c>
      <c r="E84" s="49">
        <v>0.0</v>
      </c>
      <c r="F84" s="26"/>
      <c r="G84" s="2"/>
      <c r="H84" s="56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13" t="s">
        <v>118</v>
      </c>
      <c r="B85" s="50">
        <v>0.0</v>
      </c>
      <c r="C85" s="50">
        <v>0.0</v>
      </c>
      <c r="D85" s="49">
        <v>0.0</v>
      </c>
      <c r="E85" s="49">
        <v>0.0</v>
      </c>
      <c r="F85" s="26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 ht="15.75" customHeight="1">
      <c r="A86" s="13" t="s">
        <v>119</v>
      </c>
      <c r="B86" s="50">
        <v>0.0</v>
      </c>
      <c r="C86" s="50">
        <v>0.0</v>
      </c>
      <c r="D86" s="49">
        <v>0.0</v>
      </c>
      <c r="E86" s="49">
        <v>0.0</v>
      </c>
      <c r="F86" s="26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9"/>
      <c r="S86" s="3"/>
      <c r="T86" s="3"/>
      <c r="U86" s="1"/>
      <c r="V86" s="3"/>
      <c r="W86" s="3"/>
      <c r="X86" s="3"/>
      <c r="Y86" s="3"/>
      <c r="Z86" s="3"/>
    </row>
    <row r="87" ht="15.75" customHeight="1">
      <c r="A87" s="13" t="s">
        <v>120</v>
      </c>
      <c r="B87" s="50">
        <v>0.0</v>
      </c>
      <c r="C87" s="50">
        <v>0.0</v>
      </c>
      <c r="D87" s="49">
        <v>0.0</v>
      </c>
      <c r="E87" s="49">
        <v>0.0</v>
      </c>
      <c r="F87" s="26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9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13" t="s">
        <v>121</v>
      </c>
      <c r="B88" s="50">
        <v>0.0</v>
      </c>
      <c r="C88" s="50">
        <v>0.0</v>
      </c>
      <c r="D88" s="49">
        <v>0.0</v>
      </c>
      <c r="E88" s="49">
        <v>0.0</v>
      </c>
      <c r="F88" s="26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13" t="s">
        <v>150</v>
      </c>
      <c r="B89" s="49">
        <v>0.0</v>
      </c>
      <c r="C89" s="49">
        <v>0.0</v>
      </c>
      <c r="D89" s="49">
        <v>0.0</v>
      </c>
      <c r="E89" s="49">
        <v>0.0</v>
      </c>
      <c r="F89" s="26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13" t="s">
        <v>123</v>
      </c>
      <c r="B90" s="49">
        <v>0.0</v>
      </c>
      <c r="C90" s="49">
        <v>0.0</v>
      </c>
      <c r="D90" s="49">
        <v>0.0</v>
      </c>
      <c r="E90" s="49">
        <v>0.0</v>
      </c>
      <c r="F90" s="26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13" t="s">
        <v>124</v>
      </c>
      <c r="B91" s="49">
        <v>0.0</v>
      </c>
      <c r="C91" s="49">
        <v>0.0</v>
      </c>
      <c r="D91" s="49">
        <v>0.0</v>
      </c>
      <c r="E91" s="49">
        <v>0.0</v>
      </c>
      <c r="F91" s="26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13" t="s">
        <v>125</v>
      </c>
      <c r="B92" s="50">
        <v>0.0</v>
      </c>
      <c r="C92" s="50">
        <v>0.0</v>
      </c>
      <c r="D92" s="49">
        <f>SUM(D62:D64)*2%</f>
        <v>0</v>
      </c>
      <c r="E92" s="49">
        <v>0.0</v>
      </c>
      <c r="F92" s="26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13" t="s">
        <v>126</v>
      </c>
      <c r="B93" s="49">
        <v>0.0</v>
      </c>
      <c r="C93" s="49">
        <v>0.0</v>
      </c>
      <c r="D93" s="49">
        <v>0.0</v>
      </c>
      <c r="E93" s="49">
        <v>0.0</v>
      </c>
      <c r="F93" s="26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13" t="s">
        <v>127</v>
      </c>
      <c r="B94" s="49">
        <v>0.0</v>
      </c>
      <c r="C94" s="49">
        <v>0.0</v>
      </c>
      <c r="D94" s="49">
        <v>0.0</v>
      </c>
      <c r="E94" s="49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3" t="s">
        <v>128</v>
      </c>
      <c r="B95" s="49">
        <v>0.0</v>
      </c>
      <c r="C95" s="49">
        <v>0.0</v>
      </c>
      <c r="D95" s="49">
        <v>0.0</v>
      </c>
      <c r="E95" s="49">
        <v>0.0</v>
      </c>
      <c r="F95" s="26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13" t="s">
        <v>129</v>
      </c>
      <c r="B96" s="49">
        <v>0.0</v>
      </c>
      <c r="C96" s="49">
        <v>0.0</v>
      </c>
      <c r="D96" s="49">
        <v>0.0</v>
      </c>
      <c r="E96" s="49">
        <v>0.0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57"/>
      <c r="B97" s="49"/>
      <c r="C97" s="49"/>
      <c r="D97" s="49"/>
      <c r="E97" s="49"/>
      <c r="F97" s="26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13" t="s">
        <v>130</v>
      </c>
      <c r="B98" s="50">
        <v>0.0</v>
      </c>
      <c r="C98" s="50">
        <f>SUM(C72:C95)*0.6%</f>
        <v>762</v>
      </c>
      <c r="D98" s="50">
        <f>SUM(D72:D96)*0.6%</f>
        <v>2400</v>
      </c>
      <c r="E98" s="50">
        <f>(E76*0.6%)+(E77*0.6%)+(E78*0.6%)+(E81*0.6%)+(E82*0.6%)</f>
        <v>0</v>
      </c>
      <c r="F98" s="26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131</v>
      </c>
      <c r="B99" s="50">
        <v>0.0</v>
      </c>
      <c r="C99" s="50">
        <v>75000.0</v>
      </c>
      <c r="D99" s="50">
        <v>75000.0</v>
      </c>
      <c r="E99" s="50">
        <f>SUM(E73:E97)*0.6%+(E100*0.6%)</f>
        <v>0</v>
      </c>
      <c r="F99" s="58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57"/>
      <c r="B100" s="57"/>
      <c r="C100" s="26"/>
      <c r="D100" s="2"/>
      <c r="E100" s="26"/>
      <c r="F100" s="2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59" t="s">
        <v>132</v>
      </c>
      <c r="B101" s="60">
        <f>SUM(B72:B100)</f>
        <v>170400</v>
      </c>
      <c r="C101" s="60">
        <f t="shared" ref="C101:D101" si="9">SUM(C72:C98)</f>
        <v>127762</v>
      </c>
      <c r="D101" s="60">
        <f t="shared" si="9"/>
        <v>402400</v>
      </c>
      <c r="E101" s="60">
        <f>E83+E87+E98-E99</f>
        <v>0</v>
      </c>
      <c r="F101" s="61" t="str">
        <f>F76</f>
        <v/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57"/>
      <c r="B102" s="57"/>
      <c r="C102" s="26"/>
      <c r="D102" s="26"/>
      <c r="E102" s="26"/>
      <c r="F102" s="2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59" t="s">
        <v>133</v>
      </c>
      <c r="B103" s="62">
        <f>B69-B101</f>
        <v>2607750</v>
      </c>
      <c r="C103" s="63">
        <f>C69-C101-C99</f>
        <v>33352.55</v>
      </c>
      <c r="D103" s="63">
        <f>D69-D101+D99</f>
        <v>1074465.675</v>
      </c>
      <c r="E103" s="64">
        <f t="shared" ref="E103:F103" si="10">E69-E101</f>
        <v>0</v>
      </c>
      <c r="F103" s="77">
        <f t="shared" si="10"/>
        <v>8500000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65" t="s">
        <v>134</v>
      </c>
      <c r="B105" s="66">
        <f>249800-153000-1000-B75</f>
        <v>79400</v>
      </c>
      <c r="C105" s="46"/>
      <c r="D105" s="46"/>
      <c r="E105" s="46"/>
      <c r="F105" s="4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9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65" t="s">
        <v>135</v>
      </c>
      <c r="B106" s="66">
        <v>2528350.0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2"/>
      <c r="B107" s="46" t="s">
        <v>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2"/>
      <c r="B108" s="46">
        <f>SUM(B105:B106)</f>
        <v>2607750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9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9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9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9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9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9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9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9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9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9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9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9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9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9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9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9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"/>
      <c r="R180" s="2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"/>
      <c r="R181" s="2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3"/>
      <c r="T182" s="3"/>
      <c r="U182" s="9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9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9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9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9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9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9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9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3"/>
      <c r="T224" s="3"/>
      <c r="U224" s="9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9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9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46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46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46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46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46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46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46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46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46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46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46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46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46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46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46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46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9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46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46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46"/>
      <c r="R269" s="46"/>
      <c r="S269" s="3"/>
      <c r="T269" s="3"/>
      <c r="U269" s="9"/>
      <c r="V269" s="3"/>
      <c r="W269" s="3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46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46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46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46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46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46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46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9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9"/>
      <c r="T315" s="3"/>
      <c r="U315" s="2"/>
      <c r="V315" s="3"/>
      <c r="W315" s="3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9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9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9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9"/>
      <c r="T332" s="3"/>
      <c r="U332" s="2"/>
      <c r="V332" s="3"/>
      <c r="W332" s="3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9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9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9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9"/>
      <c r="T343" s="3"/>
      <c r="U343" s="2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9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9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3"/>
      <c r="T359" s="3"/>
      <c r="U359" s="9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9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9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3"/>
      <c r="T373" s="9"/>
      <c r="U373" s="2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9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9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9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9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3"/>
      <c r="T385" s="9"/>
      <c r="U385" s="2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9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9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67"/>
      <c r="R400" s="2"/>
      <c r="S400" s="2"/>
      <c r="T400" s="3"/>
      <c r="U400" s="2"/>
      <c r="V400" s="2"/>
      <c r="W400" s="2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3"/>
      <c r="T401" s="3"/>
      <c r="U401" s="3"/>
      <c r="V401" s="2"/>
      <c r="W401" s="2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8"/>
      <c r="R403" s="38"/>
      <c r="S403" s="38"/>
      <c r="T403" s="38"/>
      <c r="U403" s="38"/>
      <c r="V403" s="38"/>
      <c r="W403" s="38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3"/>
      <c r="T404" s="3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"/>
      <c r="R405" s="2"/>
      <c r="S405" s="3"/>
      <c r="T405" s="3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68"/>
      <c r="R407" s="69"/>
      <c r="S407" s="70"/>
      <c r="T407" s="70"/>
      <c r="U407" s="70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1"/>
      <c r="R408" s="71"/>
      <c r="S408" s="71"/>
      <c r="T408" s="71"/>
      <c r="U408" s="71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46"/>
      <c r="R409" s="46"/>
      <c r="S409" s="46"/>
      <c r="T409" s="46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46"/>
      <c r="R411" s="46"/>
      <c r="S411" s="46"/>
      <c r="T411" s="46"/>
      <c r="U411" s="46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46"/>
      <c r="R412" s="46"/>
      <c r="S412" s="46"/>
      <c r="T412" s="46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46"/>
      <c r="R413" s="46"/>
      <c r="S413" s="46"/>
      <c r="T413" s="46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46"/>
      <c r="R414" s="46"/>
      <c r="S414" s="46"/>
      <c r="T414" s="46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46"/>
      <c r="R415" s="46"/>
      <c r="S415" s="46"/>
      <c r="T415" s="46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2"/>
      <c r="R416" s="72"/>
      <c r="S416" s="72"/>
      <c r="T416" s="72"/>
      <c r="U416" s="73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"/>
      <c r="R417" s="2"/>
      <c r="S417" s="3"/>
      <c r="T417" s="3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56"/>
      <c r="R419" s="56"/>
      <c r="S419" s="56"/>
      <c r="T419" s="56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56"/>
      <c r="R420" s="56"/>
      <c r="S420" s="56"/>
      <c r="T420" s="56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56"/>
      <c r="R421" s="56"/>
      <c r="S421" s="56"/>
      <c r="T421" s="56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56"/>
      <c r="R422" s="56"/>
      <c r="S422" s="56"/>
      <c r="T422" s="56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56"/>
      <c r="R423" s="56"/>
      <c r="S423" s="56"/>
      <c r="T423" s="56"/>
      <c r="U423" s="2"/>
      <c r="V423" s="2"/>
      <c r="W423" s="56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56"/>
      <c r="R424" s="56"/>
      <c r="S424" s="56"/>
      <c r="T424" s="56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56"/>
      <c r="R425" s="56"/>
      <c r="S425" s="56"/>
      <c r="T425" s="56"/>
      <c r="U425" s="2"/>
      <c r="V425" s="2"/>
      <c r="W425" s="56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56"/>
      <c r="R426" s="56"/>
      <c r="S426" s="56"/>
      <c r="T426" s="56"/>
      <c r="U426" s="2"/>
      <c r="V426" s="2"/>
      <c r="W426" s="56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46"/>
      <c r="R427" s="46"/>
      <c r="S427" s="46"/>
      <c r="T427" s="46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46"/>
      <c r="R428" s="46"/>
      <c r="S428" s="46"/>
      <c r="T428" s="46"/>
      <c r="U428" s="2"/>
      <c r="V428" s="2"/>
      <c r="W428" s="56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46"/>
      <c r="R429" s="46"/>
      <c r="S429" s="46"/>
      <c r="T429" s="46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46"/>
      <c r="R430" s="46"/>
      <c r="S430" s="46"/>
      <c r="T430" s="46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6"/>
      <c r="R431" s="46"/>
      <c r="S431" s="46"/>
      <c r="T431" s="46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"/>
      <c r="R432" s="46"/>
      <c r="S432" s="46"/>
      <c r="T432" s="46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6"/>
      <c r="R433" s="46"/>
      <c r="S433" s="46"/>
      <c r="T433" s="46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"/>
      <c r="R434" s="46"/>
      <c r="S434" s="46"/>
      <c r="T434" s="46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6"/>
      <c r="R435" s="46"/>
      <c r="S435" s="46"/>
      <c r="T435" s="46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"/>
      <c r="R436" s="46"/>
      <c r="S436" s="46"/>
      <c r="T436" s="46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2"/>
      <c r="R438" s="72"/>
      <c r="S438" s="72"/>
      <c r="T438" s="72"/>
      <c r="U438" s="73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1"/>
      <c r="R440" s="72"/>
      <c r="S440" s="72"/>
      <c r="T440" s="74"/>
      <c r="U440" s="74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46"/>
      <c r="R442" s="46"/>
      <c r="S442" s="46"/>
      <c r="T442" s="46"/>
      <c r="U442" s="46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46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</sheetData>
  <mergeCells count="8">
    <mergeCell ref="I3:K3"/>
    <mergeCell ref="A53:B53"/>
    <mergeCell ref="U57:W57"/>
    <mergeCell ref="A58:A59"/>
    <mergeCell ref="A61:F61"/>
    <mergeCell ref="A71:F71"/>
    <mergeCell ref="U111:W111"/>
    <mergeCell ref="U146:W146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151</v>
      </c>
      <c r="F3" s="7">
        <v>46029.0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0.5</v>
      </c>
      <c r="B6" s="12" t="s">
        <v>32</v>
      </c>
      <c r="C6" s="14" t="s">
        <v>152</v>
      </c>
      <c r="D6" s="15">
        <v>52000.0</v>
      </c>
      <c r="E6" s="15">
        <f t="shared" ref="E6:E23" si="1">A6*D6</f>
        <v>26000</v>
      </c>
      <c r="F6" s="15">
        <f>E6*1.21</f>
        <v>31460</v>
      </c>
      <c r="G6" s="3"/>
      <c r="H6" s="3" t="s">
        <v>2</v>
      </c>
      <c r="I6" s="16">
        <v>40000.0</v>
      </c>
      <c r="J6" s="15">
        <f t="shared" ref="J6:J23" si="2">I6*A6</f>
        <v>20000</v>
      </c>
      <c r="K6" s="15">
        <f t="shared" ref="K6:K23" si="3">F6-J6</f>
        <v>11460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3.0</v>
      </c>
      <c r="B7" s="12" t="s">
        <v>32</v>
      </c>
      <c r="C7" s="14" t="s">
        <v>153</v>
      </c>
      <c r="D7" s="15">
        <v>45000.0</v>
      </c>
      <c r="E7" s="15">
        <f t="shared" si="1"/>
        <v>135000</v>
      </c>
      <c r="F7" s="15">
        <f t="shared" ref="F7:F21" si="4">E7*1.105</f>
        <v>149175</v>
      </c>
      <c r="G7" s="3"/>
      <c r="H7" s="3" t="s">
        <v>2</v>
      </c>
      <c r="I7" s="15">
        <v>39000.0</v>
      </c>
      <c r="J7" s="15">
        <f t="shared" si="2"/>
        <v>117000</v>
      </c>
      <c r="K7" s="15">
        <f t="shared" si="3"/>
        <v>32175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13</v>
      </c>
      <c r="C8" s="14" t="s">
        <v>19</v>
      </c>
      <c r="D8" s="15">
        <v>46000.0</v>
      </c>
      <c r="E8" s="15">
        <f t="shared" si="1"/>
        <v>92000</v>
      </c>
      <c r="F8" s="15">
        <f t="shared" si="4"/>
        <v>101660</v>
      </c>
      <c r="G8" s="3"/>
      <c r="H8" s="3" t="s">
        <v>2</v>
      </c>
      <c r="I8" s="15">
        <v>36000.0</v>
      </c>
      <c r="J8" s="15">
        <f t="shared" si="2"/>
        <v>72000</v>
      </c>
      <c r="K8" s="15">
        <f t="shared" si="3"/>
        <v>29660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3.0</v>
      </c>
      <c r="B9" s="12" t="s">
        <v>32</v>
      </c>
      <c r="C9" s="14" t="s">
        <v>20</v>
      </c>
      <c r="D9" s="15">
        <v>23000.0</v>
      </c>
      <c r="E9" s="15">
        <f t="shared" si="1"/>
        <v>69000</v>
      </c>
      <c r="F9" s="15">
        <f t="shared" si="4"/>
        <v>76245</v>
      </c>
      <c r="G9" s="3"/>
      <c r="H9" s="3"/>
      <c r="I9" s="15">
        <v>18000.0</v>
      </c>
      <c r="J9" s="15">
        <f t="shared" si="2"/>
        <v>54000</v>
      </c>
      <c r="K9" s="15">
        <f t="shared" si="3"/>
        <v>22245</v>
      </c>
      <c r="L9" s="4"/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3.0</v>
      </c>
      <c r="B10" s="12" t="s">
        <v>13</v>
      </c>
      <c r="C10" s="14" t="s">
        <v>14</v>
      </c>
      <c r="D10" s="15">
        <v>77000.0</v>
      </c>
      <c r="E10" s="15">
        <f t="shared" si="1"/>
        <v>231000</v>
      </c>
      <c r="F10" s="15">
        <f t="shared" si="4"/>
        <v>255255</v>
      </c>
      <c r="G10" s="3"/>
      <c r="H10" s="3" t="s">
        <v>2</v>
      </c>
      <c r="I10" s="16">
        <v>38000.0</v>
      </c>
      <c r="J10" s="15">
        <f t="shared" si="2"/>
        <v>114000</v>
      </c>
      <c r="K10" s="15">
        <f t="shared" si="3"/>
        <v>141255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4.0</v>
      </c>
      <c r="B11" s="12" t="s">
        <v>32</v>
      </c>
      <c r="C11" s="14" t="s">
        <v>154</v>
      </c>
      <c r="D11" s="15">
        <v>42000.0</v>
      </c>
      <c r="E11" s="15">
        <f t="shared" si="1"/>
        <v>168000</v>
      </c>
      <c r="F11" s="15">
        <f t="shared" si="4"/>
        <v>185640</v>
      </c>
      <c r="G11" s="3"/>
      <c r="H11" s="3" t="s">
        <v>2</v>
      </c>
      <c r="I11" s="15">
        <v>30000.0</v>
      </c>
      <c r="J11" s="15">
        <f t="shared" si="2"/>
        <v>120000</v>
      </c>
      <c r="K11" s="15">
        <f t="shared" si="3"/>
        <v>65640</v>
      </c>
      <c r="L11" s="4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13</v>
      </c>
      <c r="C12" s="14" t="s">
        <v>155</v>
      </c>
      <c r="D12" s="15">
        <v>30000.0</v>
      </c>
      <c r="E12" s="15">
        <f t="shared" si="1"/>
        <v>60000</v>
      </c>
      <c r="F12" s="15">
        <f t="shared" si="4"/>
        <v>66300</v>
      </c>
      <c r="G12" s="3"/>
      <c r="H12" s="3" t="s">
        <v>2</v>
      </c>
      <c r="I12" s="15">
        <v>22000.0</v>
      </c>
      <c r="J12" s="15">
        <f t="shared" si="2"/>
        <v>44000</v>
      </c>
      <c r="K12" s="15">
        <f t="shared" si="3"/>
        <v>22300</v>
      </c>
      <c r="L12" s="4"/>
      <c r="M12" s="20"/>
      <c r="N12" s="18"/>
      <c r="O12" s="19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20.0</v>
      </c>
      <c r="B13" s="12" t="s">
        <v>17</v>
      </c>
      <c r="C13" s="14" t="s">
        <v>156</v>
      </c>
      <c r="D13" s="15">
        <v>1500.0</v>
      </c>
      <c r="E13" s="15">
        <f t="shared" si="1"/>
        <v>30000</v>
      </c>
      <c r="F13" s="15">
        <f t="shared" si="4"/>
        <v>33150</v>
      </c>
      <c r="G13" s="3"/>
      <c r="H13" s="3" t="s">
        <v>2</v>
      </c>
      <c r="I13" s="15">
        <v>600.0</v>
      </c>
      <c r="J13" s="15">
        <f t="shared" si="2"/>
        <v>12000</v>
      </c>
      <c r="K13" s="15">
        <f t="shared" si="3"/>
        <v>21150</v>
      </c>
      <c r="L13" s="4"/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3.0</v>
      </c>
      <c r="B14" s="12" t="s">
        <v>32</v>
      </c>
      <c r="C14" s="14" t="s">
        <v>35</v>
      </c>
      <c r="D14" s="15">
        <v>32000.0</v>
      </c>
      <c r="E14" s="15">
        <f t="shared" si="1"/>
        <v>96000</v>
      </c>
      <c r="F14" s="15">
        <f t="shared" si="4"/>
        <v>106080</v>
      </c>
      <c r="G14" s="3"/>
      <c r="H14" s="3"/>
      <c r="I14" s="15">
        <v>20000.0</v>
      </c>
      <c r="J14" s="15">
        <f t="shared" si="2"/>
        <v>60000</v>
      </c>
      <c r="K14" s="15">
        <f t="shared" si="3"/>
        <v>46080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3.0</v>
      </c>
      <c r="B15" s="12" t="s">
        <v>32</v>
      </c>
      <c r="C15" s="14" t="s">
        <v>157</v>
      </c>
      <c r="D15" s="15">
        <v>35000.0</v>
      </c>
      <c r="E15" s="15">
        <f t="shared" si="1"/>
        <v>105000</v>
      </c>
      <c r="F15" s="15">
        <f t="shared" si="4"/>
        <v>116025</v>
      </c>
      <c r="G15" s="3"/>
      <c r="H15" s="3" t="s">
        <v>2</v>
      </c>
      <c r="I15" s="16">
        <v>18000.0</v>
      </c>
      <c r="J15" s="15">
        <f t="shared" si="2"/>
        <v>54000</v>
      </c>
      <c r="K15" s="15">
        <f t="shared" si="3"/>
        <v>62025</v>
      </c>
      <c r="L15" s="4"/>
      <c r="M15" s="17"/>
      <c r="N15" s="18"/>
      <c r="O15" s="19"/>
      <c r="P15" s="18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32</v>
      </c>
      <c r="C16" s="14" t="s">
        <v>20</v>
      </c>
      <c r="D16" s="15">
        <v>23000.0</v>
      </c>
      <c r="E16" s="15">
        <f t="shared" si="1"/>
        <v>23000</v>
      </c>
      <c r="F16" s="15">
        <f t="shared" si="4"/>
        <v>25415</v>
      </c>
      <c r="G16" s="6" t="s">
        <v>42</v>
      </c>
      <c r="H16" s="3" t="s">
        <v>2</v>
      </c>
      <c r="I16" s="15"/>
      <c r="J16" s="15">
        <f t="shared" si="2"/>
        <v>0</v>
      </c>
      <c r="K16" s="15">
        <f t="shared" si="3"/>
        <v>25415</v>
      </c>
      <c r="L16" s="4"/>
      <c r="M16" s="20"/>
      <c r="N16" s="18"/>
      <c r="O16" s="19"/>
      <c r="P16" s="21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13</v>
      </c>
      <c r="C17" s="14" t="s">
        <v>19</v>
      </c>
      <c r="D17" s="15">
        <v>46000.0</v>
      </c>
      <c r="E17" s="15">
        <f t="shared" si="1"/>
        <v>46000</v>
      </c>
      <c r="F17" s="15">
        <f t="shared" si="4"/>
        <v>50830</v>
      </c>
      <c r="G17" s="6" t="s">
        <v>42</v>
      </c>
      <c r="H17" s="3" t="s">
        <v>2</v>
      </c>
      <c r="I17" s="15"/>
      <c r="J17" s="15">
        <f t="shared" si="2"/>
        <v>0</v>
      </c>
      <c r="K17" s="15">
        <f t="shared" si="3"/>
        <v>50830</v>
      </c>
      <c r="L17" s="4"/>
      <c r="M17" s="20"/>
      <c r="N17" s="18"/>
      <c r="O17" s="19"/>
      <c r="P17" s="21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13</v>
      </c>
      <c r="C18" s="14" t="s">
        <v>14</v>
      </c>
      <c r="D18" s="15">
        <v>77000.0</v>
      </c>
      <c r="E18" s="15">
        <f t="shared" si="1"/>
        <v>77000</v>
      </c>
      <c r="F18" s="15">
        <f t="shared" si="4"/>
        <v>85085</v>
      </c>
      <c r="G18" s="6" t="s">
        <v>42</v>
      </c>
      <c r="H18" s="3" t="s">
        <v>2</v>
      </c>
      <c r="I18" s="15"/>
      <c r="J18" s="15">
        <f t="shared" si="2"/>
        <v>0</v>
      </c>
      <c r="K18" s="15">
        <f t="shared" si="3"/>
        <v>85085</v>
      </c>
      <c r="L18" s="4"/>
      <c r="M18" s="20"/>
      <c r="N18" s="18"/>
      <c r="O18" s="19"/>
      <c r="P18" s="21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1.0</v>
      </c>
      <c r="B19" s="12" t="s">
        <v>32</v>
      </c>
      <c r="C19" s="14" t="s">
        <v>153</v>
      </c>
      <c r="D19" s="15">
        <v>45000.0</v>
      </c>
      <c r="E19" s="15">
        <f t="shared" si="1"/>
        <v>45000</v>
      </c>
      <c r="F19" s="15">
        <f t="shared" si="4"/>
        <v>49725</v>
      </c>
      <c r="G19" s="6" t="s">
        <v>42</v>
      </c>
      <c r="H19" s="3" t="s">
        <v>2</v>
      </c>
      <c r="I19" s="15"/>
      <c r="J19" s="15">
        <f t="shared" si="2"/>
        <v>0</v>
      </c>
      <c r="K19" s="15">
        <f t="shared" si="3"/>
        <v>49725</v>
      </c>
      <c r="L19" s="4"/>
      <c r="M19" s="20"/>
      <c r="N19" s="18"/>
      <c r="O19" s="19"/>
      <c r="P19" s="21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1.0</v>
      </c>
      <c r="B20" s="12" t="s">
        <v>32</v>
      </c>
      <c r="C20" s="14" t="s">
        <v>36</v>
      </c>
      <c r="D20" s="15">
        <v>35000.0</v>
      </c>
      <c r="E20" s="15">
        <f t="shared" si="1"/>
        <v>35000</v>
      </c>
      <c r="F20" s="15">
        <f t="shared" si="4"/>
        <v>38675</v>
      </c>
      <c r="G20" s="6" t="s">
        <v>42</v>
      </c>
      <c r="H20" s="3" t="s">
        <v>2</v>
      </c>
      <c r="I20" s="15"/>
      <c r="J20" s="15">
        <f t="shared" si="2"/>
        <v>0</v>
      </c>
      <c r="K20" s="15">
        <f t="shared" si="3"/>
        <v>38675</v>
      </c>
      <c r="L20" s="4"/>
      <c r="M20" s="20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1.0</v>
      </c>
      <c r="B21" s="12" t="s">
        <v>13</v>
      </c>
      <c r="C21" s="14" t="s">
        <v>155</v>
      </c>
      <c r="D21" s="15">
        <v>30000.0</v>
      </c>
      <c r="E21" s="15">
        <f t="shared" si="1"/>
        <v>30000</v>
      </c>
      <c r="F21" s="15">
        <f t="shared" si="4"/>
        <v>33150</v>
      </c>
      <c r="G21" s="6" t="s">
        <v>42</v>
      </c>
      <c r="H21" s="3" t="s">
        <v>2</v>
      </c>
      <c r="I21" s="15"/>
      <c r="J21" s="15">
        <f t="shared" si="2"/>
        <v>0</v>
      </c>
      <c r="K21" s="15">
        <f t="shared" si="3"/>
        <v>33150</v>
      </c>
      <c r="L21" s="4"/>
      <c r="M21" s="20"/>
      <c r="N21" s="21"/>
      <c r="P21" s="21"/>
      <c r="Q21" s="21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0.5</v>
      </c>
      <c r="B22" s="12" t="s">
        <v>32</v>
      </c>
      <c r="C22" s="14" t="s">
        <v>152</v>
      </c>
      <c r="D22" s="15">
        <v>52000.0</v>
      </c>
      <c r="E22" s="15">
        <f t="shared" si="1"/>
        <v>26000</v>
      </c>
      <c r="F22" s="15">
        <f>E22*1.21</f>
        <v>31460</v>
      </c>
      <c r="G22" s="6" t="s">
        <v>42</v>
      </c>
      <c r="H22" s="3"/>
      <c r="I22" s="15"/>
      <c r="J22" s="15">
        <f t="shared" si="2"/>
        <v>0</v>
      </c>
      <c r="K22" s="15">
        <f t="shared" si="3"/>
        <v>31460</v>
      </c>
      <c r="L22" s="4"/>
      <c r="M22" s="20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1.0</v>
      </c>
      <c r="B23" s="12" t="s">
        <v>32</v>
      </c>
      <c r="C23" s="14" t="s">
        <v>35</v>
      </c>
      <c r="D23" s="15">
        <v>32000.0</v>
      </c>
      <c r="E23" s="15">
        <f t="shared" si="1"/>
        <v>32000</v>
      </c>
      <c r="F23" s="15">
        <f>E23*1.105</f>
        <v>35360</v>
      </c>
      <c r="G23" s="6" t="s">
        <v>46</v>
      </c>
      <c r="H23" s="3" t="s">
        <v>2</v>
      </c>
      <c r="I23" s="16"/>
      <c r="J23" s="15">
        <f t="shared" si="2"/>
        <v>0</v>
      </c>
      <c r="K23" s="15">
        <f t="shared" si="3"/>
        <v>35360</v>
      </c>
      <c r="L23" s="4"/>
      <c r="M23" s="17"/>
      <c r="N23" s="18"/>
      <c r="O23" s="19"/>
      <c r="P23" s="18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/>
      <c r="B24" s="12"/>
      <c r="C24" s="14"/>
      <c r="D24" s="15"/>
      <c r="E24" s="3"/>
      <c r="F24" s="3"/>
      <c r="G24" s="3"/>
      <c r="H24" s="3"/>
      <c r="I24" s="3"/>
      <c r="J24" s="3"/>
      <c r="K24" s="3"/>
      <c r="L24" s="4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/>
      <c r="B25" s="12"/>
      <c r="C25" s="14"/>
      <c r="D25" s="15"/>
      <c r="E25" s="15">
        <f t="shared" ref="E25:F25" si="5">SUM(E6:E23)</f>
        <v>1326000</v>
      </c>
      <c r="F25" s="15">
        <f t="shared" si="5"/>
        <v>1470690</v>
      </c>
      <c r="G25" s="3"/>
      <c r="H25" s="3"/>
      <c r="I25" s="3"/>
      <c r="J25" s="3"/>
      <c r="K25" s="15">
        <f>SUM(K6:K23)</f>
        <v>803690</v>
      </c>
      <c r="L25" s="22">
        <f>K25/F25</f>
        <v>0.5464713842</v>
      </c>
      <c r="M25" s="2"/>
      <c r="N25" s="21"/>
      <c r="P25" s="21"/>
      <c r="Q25" s="21"/>
      <c r="R25" s="2"/>
      <c r="S25" s="3"/>
      <c r="T25" s="3"/>
      <c r="U25" s="1"/>
      <c r="V25" s="3"/>
      <c r="W25" s="3"/>
      <c r="X25" s="3"/>
      <c r="Y25" s="3"/>
      <c r="Z25" s="3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1"/>
      <c r="P26" s="21"/>
      <c r="Q26" s="21"/>
      <c r="R26" s="2"/>
      <c r="S26" s="3"/>
      <c r="T26" s="3"/>
      <c r="U26" s="1"/>
      <c r="V26" s="3"/>
      <c r="W26" s="3"/>
      <c r="X26" s="3"/>
      <c r="Y26" s="3"/>
      <c r="Z26" s="3"/>
    </row>
    <row r="27">
      <c r="A27" s="1"/>
      <c r="B27" s="2"/>
      <c r="C27" s="2"/>
      <c r="D27" s="3"/>
      <c r="E27" s="3"/>
      <c r="F27" s="3"/>
      <c r="G27" s="2"/>
      <c r="H27" s="2"/>
      <c r="I27" s="2"/>
      <c r="J27" s="2"/>
      <c r="K27" s="3"/>
      <c r="L27" s="4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"/>
      <c r="B28" s="2"/>
      <c r="C28" s="2"/>
      <c r="D28" s="3"/>
      <c r="E28" s="3"/>
      <c r="F28" s="3"/>
      <c r="G28" s="2"/>
      <c r="H28" s="2"/>
      <c r="I28" s="2"/>
      <c r="J28" s="2"/>
      <c r="K28" s="3"/>
      <c r="L28" s="4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5" t="s">
        <v>158</v>
      </c>
      <c r="B29" s="1"/>
      <c r="C29" s="1"/>
      <c r="D29" s="25" t="s">
        <v>48</v>
      </c>
      <c r="E29" s="7">
        <v>46029.0</v>
      </c>
      <c r="F29" s="28"/>
      <c r="G29" s="24"/>
      <c r="H29" s="24"/>
      <c r="I29" s="16"/>
      <c r="J29" s="16"/>
      <c r="K29" s="16"/>
      <c r="L29" s="29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"/>
      <c r="B30" s="3"/>
      <c r="C30" s="2"/>
      <c r="D30" s="3"/>
      <c r="E30" s="3"/>
      <c r="F30" s="24"/>
      <c r="G30" s="24"/>
      <c r="H30" s="24"/>
      <c r="I30" s="16"/>
      <c r="J30" s="16"/>
      <c r="K30" s="16"/>
      <c r="L30" s="29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5" t="s">
        <v>4</v>
      </c>
      <c r="B31" s="10" t="s">
        <v>5</v>
      </c>
      <c r="C31" s="11" t="s">
        <v>6</v>
      </c>
      <c r="D31" s="10" t="s">
        <v>7</v>
      </c>
      <c r="E31" s="10" t="s">
        <v>8</v>
      </c>
      <c r="F31" s="12"/>
      <c r="G31" s="24"/>
      <c r="H31" s="24"/>
      <c r="I31" s="10" t="s">
        <v>7</v>
      </c>
      <c r="J31" s="10" t="s">
        <v>8</v>
      </c>
      <c r="K31" s="10" t="s">
        <v>10</v>
      </c>
      <c r="L31" s="4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78">
        <v>4.0</v>
      </c>
      <c r="B32" s="10" t="s">
        <v>146</v>
      </c>
      <c r="C32" s="11" t="s">
        <v>77</v>
      </c>
      <c r="D32" s="15">
        <v>1200.0</v>
      </c>
      <c r="E32" s="15">
        <f t="shared" ref="E32:E64" si="6">A32*D32</f>
        <v>4800</v>
      </c>
      <c r="F32" s="16"/>
      <c r="G32" s="24"/>
      <c r="H32" s="24"/>
      <c r="I32" s="15">
        <v>1000.0</v>
      </c>
      <c r="J32" s="15">
        <f t="shared" ref="J32:J64" si="7">I32*A32</f>
        <v>4000</v>
      </c>
      <c r="K32" s="15">
        <f t="shared" ref="K32:K64" si="8">E32-J32</f>
        <v>800</v>
      </c>
      <c r="L32" s="4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78">
        <v>1.0</v>
      </c>
      <c r="B33" s="10" t="s">
        <v>5</v>
      </c>
      <c r="C33" s="11" t="s">
        <v>49</v>
      </c>
      <c r="D33" s="15">
        <v>2000.0</v>
      </c>
      <c r="E33" s="15">
        <f t="shared" si="6"/>
        <v>2000</v>
      </c>
      <c r="F33" s="16"/>
      <c r="G33" s="24"/>
      <c r="H33" s="24"/>
      <c r="I33" s="15">
        <v>1000.0</v>
      </c>
      <c r="J33" s="15">
        <f t="shared" si="7"/>
        <v>1000</v>
      </c>
      <c r="K33" s="15">
        <f t="shared" si="8"/>
        <v>1000</v>
      </c>
      <c r="L33" s="4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78">
        <v>4.0</v>
      </c>
      <c r="B34" s="10" t="s">
        <v>5</v>
      </c>
      <c r="C34" s="11" t="s">
        <v>69</v>
      </c>
      <c r="D34" s="15">
        <v>1200.0</v>
      </c>
      <c r="E34" s="15">
        <f t="shared" si="6"/>
        <v>4800</v>
      </c>
      <c r="F34" s="16"/>
      <c r="G34" s="32" t="s">
        <v>2</v>
      </c>
      <c r="H34" s="24"/>
      <c r="I34" s="15">
        <f>28000/50</f>
        <v>560</v>
      </c>
      <c r="J34" s="15">
        <f t="shared" si="7"/>
        <v>2240</v>
      </c>
      <c r="K34" s="15">
        <f t="shared" si="8"/>
        <v>2560</v>
      </c>
      <c r="L34" s="4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78">
        <v>4.0</v>
      </c>
      <c r="B35" s="10" t="s">
        <v>17</v>
      </c>
      <c r="C35" s="11" t="s">
        <v>86</v>
      </c>
      <c r="D35" s="15">
        <v>1500.0</v>
      </c>
      <c r="E35" s="15">
        <f t="shared" si="6"/>
        <v>6000</v>
      </c>
      <c r="F35" s="16"/>
      <c r="G35" s="24"/>
      <c r="H35" s="24"/>
      <c r="I35" s="15">
        <f>11000/10</f>
        <v>1100</v>
      </c>
      <c r="J35" s="15">
        <f t="shared" si="7"/>
        <v>4400</v>
      </c>
      <c r="K35" s="15">
        <f t="shared" si="8"/>
        <v>1600</v>
      </c>
      <c r="L35" s="4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78">
        <v>4.0</v>
      </c>
      <c r="B36" s="10" t="s">
        <v>17</v>
      </c>
      <c r="C36" s="11" t="s">
        <v>159</v>
      </c>
      <c r="D36" s="15">
        <v>4000.0</v>
      </c>
      <c r="E36" s="15">
        <f t="shared" si="6"/>
        <v>16000</v>
      </c>
      <c r="F36" s="16"/>
      <c r="G36" s="24"/>
      <c r="H36" s="24"/>
      <c r="I36" s="15">
        <f>35000/11</f>
        <v>3181.818182</v>
      </c>
      <c r="J36" s="15">
        <f t="shared" si="7"/>
        <v>12727.27273</v>
      </c>
      <c r="K36" s="15">
        <f t="shared" si="8"/>
        <v>3272.727273</v>
      </c>
      <c r="L36" s="4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78">
        <v>2.0</v>
      </c>
      <c r="B37" s="10" t="s">
        <v>17</v>
      </c>
      <c r="C37" s="11" t="s">
        <v>62</v>
      </c>
      <c r="D37" s="15">
        <v>1800.0</v>
      </c>
      <c r="E37" s="15">
        <f t="shared" si="6"/>
        <v>3600</v>
      </c>
      <c r="F37" s="16"/>
      <c r="G37" s="32" t="s">
        <v>2</v>
      </c>
      <c r="H37" s="24"/>
      <c r="I37" s="15">
        <f>11000/9</f>
        <v>1222.222222</v>
      </c>
      <c r="J37" s="15">
        <f t="shared" si="7"/>
        <v>2444.444444</v>
      </c>
      <c r="K37" s="15">
        <f t="shared" si="8"/>
        <v>1155.555556</v>
      </c>
      <c r="L37" s="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78">
        <v>4.0</v>
      </c>
      <c r="B38" s="10" t="s">
        <v>5</v>
      </c>
      <c r="C38" s="11" t="s">
        <v>160</v>
      </c>
      <c r="D38" s="15">
        <v>2200.0</v>
      </c>
      <c r="E38" s="15">
        <f t="shared" si="6"/>
        <v>8800</v>
      </c>
      <c r="F38" s="16"/>
      <c r="G38" s="24"/>
      <c r="H38" s="24"/>
      <c r="I38" s="15">
        <v>2000.0</v>
      </c>
      <c r="J38" s="15">
        <f t="shared" si="7"/>
        <v>8000</v>
      </c>
      <c r="K38" s="15">
        <f t="shared" si="8"/>
        <v>800</v>
      </c>
      <c r="L38" s="4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78">
        <v>2.0</v>
      </c>
      <c r="B39" s="10" t="s">
        <v>17</v>
      </c>
      <c r="C39" s="11" t="s">
        <v>161</v>
      </c>
      <c r="D39" s="15">
        <v>5000.0</v>
      </c>
      <c r="E39" s="15">
        <f t="shared" si="6"/>
        <v>10000</v>
      </c>
      <c r="F39" s="16"/>
      <c r="G39" s="24"/>
      <c r="H39" s="24"/>
      <c r="I39" s="15">
        <v>3000.0</v>
      </c>
      <c r="J39" s="15">
        <f t="shared" si="7"/>
        <v>6000</v>
      </c>
      <c r="K39" s="15">
        <f t="shared" si="8"/>
        <v>4000</v>
      </c>
      <c r="L39" s="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78">
        <v>3.0</v>
      </c>
      <c r="B40" s="10" t="s">
        <v>17</v>
      </c>
      <c r="C40" s="11" t="s">
        <v>36</v>
      </c>
      <c r="D40" s="15">
        <v>3000.0</v>
      </c>
      <c r="E40" s="15">
        <f t="shared" si="6"/>
        <v>9000</v>
      </c>
      <c r="F40" s="16"/>
      <c r="G40" s="24"/>
      <c r="H40" s="24"/>
      <c r="I40" s="15">
        <v>0.0</v>
      </c>
      <c r="J40" s="15">
        <f t="shared" si="7"/>
        <v>0</v>
      </c>
      <c r="K40" s="15">
        <f t="shared" si="8"/>
        <v>9000</v>
      </c>
      <c r="L40" s="4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78">
        <v>4.0</v>
      </c>
      <c r="B41" s="10" t="s">
        <v>28</v>
      </c>
      <c r="C41" s="11" t="s">
        <v>67</v>
      </c>
      <c r="D41" s="15">
        <v>1500.0</v>
      </c>
      <c r="E41" s="15">
        <f t="shared" si="6"/>
        <v>6000</v>
      </c>
      <c r="F41" s="16"/>
      <c r="G41" s="24"/>
      <c r="H41" s="24"/>
      <c r="I41" s="15">
        <f>6000/4</f>
        <v>1500</v>
      </c>
      <c r="J41" s="15">
        <f t="shared" si="7"/>
        <v>6000</v>
      </c>
      <c r="K41" s="15">
        <f t="shared" si="8"/>
        <v>0</v>
      </c>
      <c r="L41" s="4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78">
        <v>2.0</v>
      </c>
      <c r="B42" s="10" t="s">
        <v>17</v>
      </c>
      <c r="C42" s="11" t="s">
        <v>23</v>
      </c>
      <c r="D42" s="15">
        <v>3500.0</v>
      </c>
      <c r="E42" s="15">
        <f t="shared" si="6"/>
        <v>7000</v>
      </c>
      <c r="F42" s="16"/>
      <c r="G42" s="24"/>
      <c r="H42" s="24"/>
      <c r="I42" s="15">
        <f>15000/8</f>
        <v>1875</v>
      </c>
      <c r="J42" s="15">
        <f t="shared" si="7"/>
        <v>3750</v>
      </c>
      <c r="K42" s="15">
        <f t="shared" si="8"/>
        <v>3250</v>
      </c>
      <c r="L42" s="4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78">
        <v>1.0</v>
      </c>
      <c r="B43" s="10" t="s">
        <v>17</v>
      </c>
      <c r="C43" s="11" t="s">
        <v>79</v>
      </c>
      <c r="D43" s="15">
        <v>3500.0</v>
      </c>
      <c r="E43" s="15">
        <f t="shared" si="6"/>
        <v>3500</v>
      </c>
      <c r="F43" s="16"/>
      <c r="G43" s="24"/>
      <c r="H43" s="24"/>
      <c r="I43" s="15">
        <f>14000/5</f>
        <v>2800</v>
      </c>
      <c r="J43" s="15">
        <f t="shared" si="7"/>
        <v>2800</v>
      </c>
      <c r="K43" s="15">
        <f t="shared" si="8"/>
        <v>700</v>
      </c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78">
        <v>2.0</v>
      </c>
      <c r="B44" s="10" t="s">
        <v>5</v>
      </c>
      <c r="C44" s="11" t="s">
        <v>38</v>
      </c>
      <c r="D44" s="15">
        <v>1400.0</v>
      </c>
      <c r="E44" s="15">
        <f t="shared" si="6"/>
        <v>2800</v>
      </c>
      <c r="F44" s="16"/>
      <c r="G44" s="24"/>
      <c r="H44" s="24"/>
      <c r="I44" s="15">
        <f>60000/70</f>
        <v>857.1428571</v>
      </c>
      <c r="J44" s="15">
        <f t="shared" si="7"/>
        <v>1714.285714</v>
      </c>
      <c r="K44" s="15">
        <f t="shared" si="8"/>
        <v>1085.714286</v>
      </c>
      <c r="L44" s="4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78">
        <v>6.0</v>
      </c>
      <c r="B45" s="10" t="s">
        <v>146</v>
      </c>
      <c r="C45" s="11" t="s">
        <v>33</v>
      </c>
      <c r="D45" s="15">
        <v>1700.0</v>
      </c>
      <c r="E45" s="15">
        <f t="shared" si="6"/>
        <v>10200</v>
      </c>
      <c r="F45" s="16"/>
      <c r="G45" s="24"/>
      <c r="H45" s="24"/>
      <c r="I45" s="15">
        <v>1000.0</v>
      </c>
      <c r="J45" s="15">
        <f t="shared" si="7"/>
        <v>6000</v>
      </c>
      <c r="K45" s="15">
        <f t="shared" si="8"/>
        <v>4200</v>
      </c>
      <c r="L45" s="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78">
        <v>1.0</v>
      </c>
      <c r="B46" s="10" t="s">
        <v>5</v>
      </c>
      <c r="C46" s="11" t="s">
        <v>73</v>
      </c>
      <c r="D46" s="15">
        <v>2000.0</v>
      </c>
      <c r="E46" s="15">
        <f t="shared" si="6"/>
        <v>2000</v>
      </c>
      <c r="F46" s="16"/>
      <c r="G46" s="24"/>
      <c r="H46" s="24"/>
      <c r="I46" s="15">
        <v>1000.0</v>
      </c>
      <c r="J46" s="15">
        <f t="shared" si="7"/>
        <v>1000</v>
      </c>
      <c r="K46" s="15">
        <f t="shared" si="8"/>
        <v>1000</v>
      </c>
      <c r="L46" s="4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78">
        <v>4.0</v>
      </c>
      <c r="B47" s="10" t="s">
        <v>28</v>
      </c>
      <c r="C47" s="11" t="s">
        <v>60</v>
      </c>
      <c r="D47" s="15">
        <v>600.0</v>
      </c>
      <c r="E47" s="15">
        <f t="shared" si="6"/>
        <v>2400</v>
      </c>
      <c r="F47" s="16"/>
      <c r="G47" s="24"/>
      <c r="H47" s="24"/>
      <c r="I47" s="15">
        <f>5000/12</f>
        <v>416.6666667</v>
      </c>
      <c r="J47" s="15">
        <f t="shared" si="7"/>
        <v>1666.666667</v>
      </c>
      <c r="K47" s="15">
        <f t="shared" si="8"/>
        <v>733.3333333</v>
      </c>
      <c r="L47" s="4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78">
        <v>4.0</v>
      </c>
      <c r="B48" s="10" t="s">
        <v>17</v>
      </c>
      <c r="C48" s="11" t="s">
        <v>162</v>
      </c>
      <c r="D48" s="15">
        <v>2400.0</v>
      </c>
      <c r="E48" s="15">
        <f t="shared" si="6"/>
        <v>9600</v>
      </c>
      <c r="F48" s="16"/>
      <c r="G48" s="24"/>
      <c r="H48" s="24"/>
      <c r="I48" s="15">
        <f>20000/15</f>
        <v>1333.333333</v>
      </c>
      <c r="J48" s="15">
        <f t="shared" si="7"/>
        <v>5333.333333</v>
      </c>
      <c r="K48" s="15">
        <f t="shared" si="8"/>
        <v>4266.666667</v>
      </c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78">
        <v>4.0</v>
      </c>
      <c r="B49" s="10" t="s">
        <v>17</v>
      </c>
      <c r="C49" s="11" t="s">
        <v>163</v>
      </c>
      <c r="D49" s="15">
        <v>1400.0</v>
      </c>
      <c r="E49" s="15">
        <f t="shared" si="6"/>
        <v>5600</v>
      </c>
      <c r="F49" s="16"/>
      <c r="G49" s="24"/>
      <c r="H49" s="24"/>
      <c r="I49" s="15">
        <v>0.0</v>
      </c>
      <c r="J49" s="15">
        <f t="shared" si="7"/>
        <v>0</v>
      </c>
      <c r="K49" s="15">
        <f t="shared" si="8"/>
        <v>5600</v>
      </c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78">
        <v>2.0</v>
      </c>
      <c r="B50" s="10" t="s">
        <v>17</v>
      </c>
      <c r="C50" s="11" t="s">
        <v>30</v>
      </c>
      <c r="D50" s="15">
        <v>2000.0</v>
      </c>
      <c r="E50" s="15">
        <f t="shared" si="6"/>
        <v>4000</v>
      </c>
      <c r="F50" s="16"/>
      <c r="G50" s="24"/>
      <c r="H50" s="24"/>
      <c r="I50" s="15">
        <v>1300.0</v>
      </c>
      <c r="J50" s="15">
        <f t="shared" si="7"/>
        <v>2600</v>
      </c>
      <c r="K50" s="15">
        <f t="shared" si="8"/>
        <v>1400</v>
      </c>
      <c r="L50" s="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78">
        <v>1.0</v>
      </c>
      <c r="B51" s="10" t="s">
        <v>42</v>
      </c>
      <c r="C51" s="11" t="s">
        <v>76</v>
      </c>
      <c r="D51" s="15">
        <v>14000.0</v>
      </c>
      <c r="E51" s="15">
        <f t="shared" si="6"/>
        <v>14000</v>
      </c>
      <c r="F51" s="3"/>
      <c r="G51" s="2"/>
      <c r="H51" s="2"/>
      <c r="I51" s="15">
        <v>9000.0</v>
      </c>
      <c r="J51" s="15">
        <f t="shared" si="7"/>
        <v>9000</v>
      </c>
      <c r="K51" s="15">
        <f t="shared" si="8"/>
        <v>5000</v>
      </c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78">
        <v>0.5</v>
      </c>
      <c r="B52" s="10" t="s">
        <v>42</v>
      </c>
      <c r="C52" s="11" t="s">
        <v>66</v>
      </c>
      <c r="D52" s="15">
        <v>14000.0</v>
      </c>
      <c r="E52" s="15">
        <f t="shared" si="6"/>
        <v>7000</v>
      </c>
      <c r="F52" s="3"/>
      <c r="G52" s="2"/>
      <c r="H52" s="2"/>
      <c r="I52" s="15">
        <v>10000.0</v>
      </c>
      <c r="J52" s="15">
        <f t="shared" si="7"/>
        <v>5000</v>
      </c>
      <c r="K52" s="15">
        <f t="shared" si="8"/>
        <v>2000</v>
      </c>
      <c r="L52" s="4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78">
        <v>1.0</v>
      </c>
      <c r="B53" s="10" t="s">
        <v>42</v>
      </c>
      <c r="C53" s="11" t="s">
        <v>70</v>
      </c>
      <c r="D53" s="15">
        <v>15000.0</v>
      </c>
      <c r="E53" s="15">
        <f t="shared" si="6"/>
        <v>15000</v>
      </c>
      <c r="F53" s="3"/>
      <c r="G53" s="2"/>
      <c r="H53" s="2"/>
      <c r="I53" s="15">
        <v>12000.0</v>
      </c>
      <c r="J53" s="15">
        <f t="shared" si="7"/>
        <v>12000</v>
      </c>
      <c r="K53" s="15">
        <f t="shared" si="8"/>
        <v>3000</v>
      </c>
      <c r="L53" s="4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78">
        <v>1.0</v>
      </c>
      <c r="B54" s="10" t="s">
        <v>42</v>
      </c>
      <c r="C54" s="11" t="s">
        <v>68</v>
      </c>
      <c r="D54" s="15">
        <v>13000.0</v>
      </c>
      <c r="E54" s="15">
        <f t="shared" si="6"/>
        <v>13000</v>
      </c>
      <c r="F54" s="3"/>
      <c r="G54" s="2"/>
      <c r="H54" s="2"/>
      <c r="I54" s="15">
        <v>11000.0</v>
      </c>
      <c r="J54" s="15">
        <f t="shared" si="7"/>
        <v>11000</v>
      </c>
      <c r="K54" s="15">
        <f t="shared" si="8"/>
        <v>2000</v>
      </c>
      <c r="L54" s="4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78">
        <v>1.0</v>
      </c>
      <c r="B55" s="10" t="s">
        <v>13</v>
      </c>
      <c r="C55" s="11" t="s">
        <v>19</v>
      </c>
      <c r="D55" s="15">
        <v>42000.0</v>
      </c>
      <c r="E55" s="15">
        <f t="shared" si="6"/>
        <v>42000</v>
      </c>
      <c r="F55" s="3"/>
      <c r="G55" s="2"/>
      <c r="H55" s="2"/>
      <c r="I55" s="15">
        <v>36000.0</v>
      </c>
      <c r="J55" s="15">
        <f t="shared" si="7"/>
        <v>36000</v>
      </c>
      <c r="K55" s="15">
        <f t="shared" si="8"/>
        <v>6000</v>
      </c>
      <c r="L55" s="4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78">
        <v>3.0</v>
      </c>
      <c r="B56" s="10" t="s">
        <v>17</v>
      </c>
      <c r="C56" s="11" t="s">
        <v>15</v>
      </c>
      <c r="D56" s="15">
        <v>4000.0</v>
      </c>
      <c r="E56" s="15">
        <f t="shared" si="6"/>
        <v>12000</v>
      </c>
      <c r="F56" s="3"/>
      <c r="G56" s="2"/>
      <c r="H56" s="2"/>
      <c r="I56" s="15">
        <v>0.0</v>
      </c>
      <c r="J56" s="15">
        <f t="shared" si="7"/>
        <v>0</v>
      </c>
      <c r="K56" s="15">
        <f t="shared" si="8"/>
        <v>12000</v>
      </c>
      <c r="L56" s="4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78">
        <v>1.0</v>
      </c>
      <c r="B57" s="10" t="s">
        <v>17</v>
      </c>
      <c r="C57" s="11" t="s">
        <v>164</v>
      </c>
      <c r="D57" s="15">
        <v>9000.0</v>
      </c>
      <c r="E57" s="15">
        <f t="shared" si="6"/>
        <v>9000</v>
      </c>
      <c r="F57" s="3"/>
      <c r="G57" s="2"/>
      <c r="H57" s="2"/>
      <c r="I57" s="15">
        <v>9000.0</v>
      </c>
      <c r="J57" s="15">
        <f t="shared" si="7"/>
        <v>9000</v>
      </c>
      <c r="K57" s="15">
        <f t="shared" si="8"/>
        <v>0</v>
      </c>
      <c r="L57" s="4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78">
        <v>0.5</v>
      </c>
      <c r="B58" s="10" t="s">
        <v>17</v>
      </c>
      <c r="C58" s="11" t="s">
        <v>165</v>
      </c>
      <c r="D58" s="15">
        <v>11000.0</v>
      </c>
      <c r="E58" s="15">
        <f t="shared" si="6"/>
        <v>5500</v>
      </c>
      <c r="F58" s="3"/>
      <c r="G58" s="2"/>
      <c r="H58" s="2"/>
      <c r="I58" s="15">
        <f>70000/8</f>
        <v>8750</v>
      </c>
      <c r="J58" s="15">
        <f t="shared" si="7"/>
        <v>4375</v>
      </c>
      <c r="K58" s="15">
        <f t="shared" si="8"/>
        <v>1125</v>
      </c>
      <c r="L58" s="4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78">
        <v>4.0</v>
      </c>
      <c r="B59" s="10" t="s">
        <v>17</v>
      </c>
      <c r="C59" s="11" t="s">
        <v>22</v>
      </c>
      <c r="D59" s="15">
        <v>3500.0</v>
      </c>
      <c r="E59" s="15">
        <f t="shared" si="6"/>
        <v>14000</v>
      </c>
      <c r="F59" s="3"/>
      <c r="G59" s="2"/>
      <c r="H59" s="2"/>
      <c r="I59" s="15">
        <f>35000/15</f>
        <v>2333.333333</v>
      </c>
      <c r="J59" s="15">
        <f t="shared" si="7"/>
        <v>9333.333333</v>
      </c>
      <c r="K59" s="15">
        <f t="shared" si="8"/>
        <v>4666.666667</v>
      </c>
      <c r="L59" s="4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78">
        <v>0.5</v>
      </c>
      <c r="B60" s="10" t="s">
        <v>13</v>
      </c>
      <c r="C60" s="11" t="s">
        <v>166</v>
      </c>
      <c r="D60" s="15">
        <v>62000.0</v>
      </c>
      <c r="E60" s="15">
        <f t="shared" si="6"/>
        <v>31000</v>
      </c>
      <c r="F60" s="3"/>
      <c r="G60" s="2"/>
      <c r="H60" s="2"/>
      <c r="I60" s="15">
        <v>55000.0</v>
      </c>
      <c r="J60" s="15">
        <f t="shared" si="7"/>
        <v>27500</v>
      </c>
      <c r="K60" s="15">
        <f t="shared" si="8"/>
        <v>3500</v>
      </c>
      <c r="L60" s="4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78">
        <v>3.0</v>
      </c>
      <c r="B61" s="10" t="s">
        <v>17</v>
      </c>
      <c r="C61" s="11" t="s">
        <v>14</v>
      </c>
      <c r="D61" s="15">
        <v>3200.0</v>
      </c>
      <c r="E61" s="15">
        <f t="shared" si="6"/>
        <v>9600</v>
      </c>
      <c r="F61" s="3"/>
      <c r="G61" s="2"/>
      <c r="H61" s="2"/>
      <c r="I61" s="15">
        <f>21000/9</f>
        <v>2333.333333</v>
      </c>
      <c r="J61" s="15">
        <f t="shared" si="7"/>
        <v>7000</v>
      </c>
      <c r="K61" s="15">
        <f t="shared" si="8"/>
        <v>2600</v>
      </c>
      <c r="L61" s="4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78">
        <v>6.0</v>
      </c>
      <c r="B62" s="10" t="s">
        <v>17</v>
      </c>
      <c r="C62" s="11" t="s">
        <v>20</v>
      </c>
      <c r="D62" s="15">
        <v>1600.0</v>
      </c>
      <c r="E62" s="15">
        <f t="shared" si="6"/>
        <v>9600</v>
      </c>
      <c r="F62" s="3"/>
      <c r="G62" s="2"/>
      <c r="H62" s="2"/>
      <c r="I62" s="15">
        <f>18000/15</f>
        <v>1200</v>
      </c>
      <c r="J62" s="15">
        <f t="shared" si="7"/>
        <v>7200</v>
      </c>
      <c r="K62" s="15">
        <f t="shared" si="8"/>
        <v>2400</v>
      </c>
      <c r="L62" s="4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78">
        <v>2.0</v>
      </c>
      <c r="B63" s="10" t="s">
        <v>5</v>
      </c>
      <c r="C63" s="11" t="s">
        <v>155</v>
      </c>
      <c r="D63" s="15">
        <v>5000.0</v>
      </c>
      <c r="E63" s="15">
        <f t="shared" si="6"/>
        <v>10000</v>
      </c>
      <c r="F63" s="3"/>
      <c r="G63" s="2"/>
      <c r="H63" s="2"/>
      <c r="I63" s="15">
        <v>0.0</v>
      </c>
      <c r="J63" s="15">
        <f t="shared" si="7"/>
        <v>0</v>
      </c>
      <c r="K63" s="15">
        <f t="shared" si="8"/>
        <v>10000</v>
      </c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78">
        <v>12.0</v>
      </c>
      <c r="B64" s="10" t="s">
        <v>17</v>
      </c>
      <c r="C64" s="11" t="s">
        <v>18</v>
      </c>
      <c r="D64" s="15">
        <v>1200.0</v>
      </c>
      <c r="E64" s="15">
        <f t="shared" si="6"/>
        <v>14400</v>
      </c>
      <c r="F64" s="3"/>
      <c r="G64" s="2"/>
      <c r="H64" s="2"/>
      <c r="I64" s="15">
        <v>600.0</v>
      </c>
      <c r="J64" s="15">
        <f t="shared" si="7"/>
        <v>7200</v>
      </c>
      <c r="K64" s="15">
        <f t="shared" si="8"/>
        <v>7200</v>
      </c>
      <c r="L64" s="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"/>
      <c r="B65" s="3"/>
      <c r="C65" s="2"/>
      <c r="D65" s="3"/>
      <c r="E65" s="3"/>
      <c r="F65" s="3"/>
      <c r="G65" s="2"/>
      <c r="H65" s="2"/>
      <c r="I65" s="3"/>
      <c r="J65" s="3"/>
      <c r="K65" s="3"/>
      <c r="L65" s="4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"/>
      <c r="B66" s="3"/>
      <c r="C66" s="2"/>
      <c r="D66" s="3"/>
      <c r="E66" s="15">
        <f>SUM(E33:E64)</f>
        <v>319400</v>
      </c>
      <c r="F66" s="3"/>
      <c r="G66" s="2"/>
      <c r="H66" s="2"/>
      <c r="I66" s="2"/>
      <c r="J66" s="2"/>
      <c r="K66" s="15">
        <f>SUM(K33:K64)</f>
        <v>107115.6638</v>
      </c>
      <c r="L66" s="22">
        <f>K66/E66</f>
        <v>0.3353652592</v>
      </c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33"/>
      <c r="B67" s="34"/>
      <c r="C67" s="2"/>
      <c r="D67" s="3"/>
      <c r="E67" s="3"/>
      <c r="F67" s="3"/>
      <c r="G67" s="2"/>
      <c r="H67" s="2"/>
      <c r="I67" s="2"/>
      <c r="J67" s="2"/>
      <c r="K67" s="3"/>
      <c r="L67" s="4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33"/>
      <c r="B68" s="34"/>
      <c r="C68" s="2"/>
      <c r="D68" s="3"/>
      <c r="E68" s="3"/>
      <c r="F68" s="3"/>
      <c r="G68" s="2"/>
      <c r="H68" s="2"/>
      <c r="I68" s="2"/>
      <c r="J68" s="2"/>
      <c r="K68" s="3"/>
      <c r="L68" s="4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23" t="s">
        <v>80</v>
      </c>
      <c r="B69" s="23"/>
      <c r="C69" s="23"/>
      <c r="D69" s="25" t="s">
        <v>167</v>
      </c>
      <c r="E69" s="7">
        <v>46027.0</v>
      </c>
      <c r="F69" s="28"/>
      <c r="G69" s="24"/>
      <c r="H69" s="24"/>
      <c r="I69" s="16"/>
      <c r="J69" s="16"/>
      <c r="K69" s="16"/>
      <c r="L69" s="29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B70" s="24"/>
      <c r="C70" s="26"/>
      <c r="D70" s="24"/>
      <c r="E70" s="24"/>
      <c r="F70" s="24"/>
      <c r="G70" s="24"/>
      <c r="H70" s="24"/>
      <c r="I70" s="16"/>
      <c r="J70" s="16"/>
      <c r="K70" s="16"/>
      <c r="L70" s="29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5" t="s">
        <v>4</v>
      </c>
      <c r="B71" s="10" t="s">
        <v>5</v>
      </c>
      <c r="C71" s="11" t="s">
        <v>6</v>
      </c>
      <c r="D71" s="12" t="s">
        <v>7</v>
      </c>
      <c r="E71" s="10" t="s">
        <v>8</v>
      </c>
      <c r="F71" s="12"/>
      <c r="G71" s="24"/>
      <c r="H71" s="24"/>
      <c r="I71" s="12" t="s">
        <v>7</v>
      </c>
      <c r="J71" s="12" t="s">
        <v>8</v>
      </c>
      <c r="K71" s="12" t="s">
        <v>10</v>
      </c>
      <c r="L71" s="29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1.0</v>
      </c>
      <c r="B72" s="12" t="s">
        <v>28</v>
      </c>
      <c r="C72" s="14" t="s">
        <v>49</v>
      </c>
      <c r="D72" s="15">
        <v>2000.0</v>
      </c>
      <c r="E72" s="15">
        <f t="shared" ref="E72:E76" si="9">A72*D72</f>
        <v>2000</v>
      </c>
      <c r="F72" s="15"/>
      <c r="G72" s="24"/>
      <c r="H72" s="24"/>
      <c r="I72" s="16">
        <v>1000.0</v>
      </c>
      <c r="J72" s="16">
        <f t="shared" ref="J72:J76" si="10">I72*A72</f>
        <v>1000</v>
      </c>
      <c r="K72" s="16">
        <f t="shared" ref="K72:K76" si="11">E72-J72</f>
        <v>1000</v>
      </c>
      <c r="L72" s="30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>
        <v>0.5</v>
      </c>
      <c r="B73" s="12" t="s">
        <v>32</v>
      </c>
      <c r="C73" s="14" t="s">
        <v>147</v>
      </c>
      <c r="D73" s="15">
        <v>15000.0</v>
      </c>
      <c r="E73" s="15">
        <f t="shared" si="9"/>
        <v>7500</v>
      </c>
      <c r="F73" s="15"/>
      <c r="G73" s="24"/>
      <c r="H73" s="24"/>
      <c r="I73" s="16">
        <v>10000.0</v>
      </c>
      <c r="J73" s="16">
        <f t="shared" si="10"/>
        <v>5000</v>
      </c>
      <c r="K73" s="16">
        <f t="shared" si="11"/>
        <v>2500</v>
      </c>
      <c r="L73" s="30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1.0</v>
      </c>
      <c r="B74" s="12" t="s">
        <v>17</v>
      </c>
      <c r="C74" s="14" t="s">
        <v>44</v>
      </c>
      <c r="D74" s="15">
        <v>4000.0</v>
      </c>
      <c r="E74" s="15">
        <f t="shared" si="9"/>
        <v>4000</v>
      </c>
      <c r="F74" s="15"/>
      <c r="G74" s="24"/>
      <c r="H74" s="24"/>
      <c r="I74" s="16">
        <v>4000.0</v>
      </c>
      <c r="J74" s="16">
        <f t="shared" si="10"/>
        <v>4000</v>
      </c>
      <c r="K74" s="16">
        <f t="shared" si="11"/>
        <v>0</v>
      </c>
      <c r="L74" s="30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1.0</v>
      </c>
      <c r="B75" s="12" t="s">
        <v>17</v>
      </c>
      <c r="C75" s="14" t="s">
        <v>68</v>
      </c>
      <c r="D75" s="15">
        <v>1800.0</v>
      </c>
      <c r="E75" s="15">
        <f t="shared" si="9"/>
        <v>1800</v>
      </c>
      <c r="F75" s="15"/>
      <c r="G75" s="24"/>
      <c r="H75" s="24"/>
      <c r="I75" s="16">
        <v>1400.0</v>
      </c>
      <c r="J75" s="16">
        <f t="shared" si="10"/>
        <v>1400</v>
      </c>
      <c r="K75" s="16">
        <f t="shared" si="11"/>
        <v>400</v>
      </c>
      <c r="L75" s="30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1.0</v>
      </c>
      <c r="B76" s="12" t="s">
        <v>17</v>
      </c>
      <c r="C76" s="14" t="s">
        <v>168</v>
      </c>
      <c r="D76" s="15">
        <v>3500.0</v>
      </c>
      <c r="E76" s="15">
        <f t="shared" si="9"/>
        <v>3500</v>
      </c>
      <c r="F76" s="15"/>
      <c r="G76" s="24"/>
      <c r="H76" s="24"/>
      <c r="I76" s="16">
        <v>3000.0</v>
      </c>
      <c r="J76" s="16">
        <f t="shared" si="10"/>
        <v>3000</v>
      </c>
      <c r="K76" s="16">
        <f t="shared" si="11"/>
        <v>500</v>
      </c>
      <c r="L76" s="30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/>
      <c r="B77" s="12"/>
      <c r="C77" s="14"/>
      <c r="D77" s="15"/>
      <c r="E77" s="15"/>
      <c r="F77" s="15"/>
      <c r="G77" s="24"/>
      <c r="H77" s="24"/>
      <c r="I77" s="15"/>
      <c r="J77" s="16"/>
      <c r="K77" s="16"/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/>
      <c r="B78" s="12"/>
      <c r="C78" s="14"/>
      <c r="D78" s="15"/>
      <c r="E78" s="16">
        <f>SUM(E72:E76)</f>
        <v>18800</v>
      </c>
      <c r="F78" s="16"/>
      <c r="G78" s="24"/>
      <c r="H78" s="24"/>
      <c r="I78" s="16"/>
      <c r="J78" s="16"/>
      <c r="K78" s="16">
        <f>SUM(K72:K76)</f>
        <v>4400</v>
      </c>
      <c r="L78" s="30">
        <f>K78/E78</f>
        <v>0.2340425532</v>
      </c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33"/>
      <c r="B79" s="34"/>
      <c r="C79" s="2"/>
      <c r="D79" s="3"/>
      <c r="E79" s="3"/>
      <c r="F79" s="3"/>
      <c r="G79" s="2"/>
      <c r="H79" s="2"/>
      <c r="I79" s="2"/>
      <c r="J79" s="2"/>
      <c r="K79" s="3"/>
      <c r="L79" s="4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33"/>
      <c r="B80" s="34"/>
      <c r="C80" s="2"/>
      <c r="D80" s="3"/>
      <c r="E80" s="3"/>
      <c r="F80" s="3"/>
      <c r="G80" s="2"/>
      <c r="H80" s="2"/>
      <c r="I80" s="2"/>
      <c r="J80" s="2"/>
      <c r="K80" s="3"/>
      <c r="L80" s="4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33"/>
      <c r="B81" s="34"/>
      <c r="C81" s="2"/>
      <c r="D81" s="3"/>
      <c r="E81" s="3"/>
      <c r="F81" s="3"/>
      <c r="G81" s="2"/>
      <c r="H81" s="2"/>
      <c r="I81" s="2"/>
      <c r="J81" s="2"/>
      <c r="K81" s="3"/>
      <c r="L81" s="4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33" t="s">
        <v>88</v>
      </c>
      <c r="B82" s="34">
        <f>F25+E66+E78</f>
        <v>1808890</v>
      </c>
      <c r="C82" s="2"/>
      <c r="D82" s="3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"/>
      <c r="B83" s="2"/>
      <c r="C83" s="2"/>
      <c r="D83" s="3"/>
      <c r="E83" s="3"/>
      <c r="F83" s="3"/>
      <c r="G83" s="2"/>
      <c r="H83" s="2"/>
      <c r="I83" s="2"/>
      <c r="J83" s="2"/>
      <c r="K83" s="3"/>
      <c r="L83" s="4"/>
      <c r="M83" s="2"/>
      <c r="N83" s="2"/>
      <c r="O83" s="2"/>
      <c r="P83" s="2"/>
      <c r="Q83" s="3"/>
      <c r="R83" s="9"/>
      <c r="S83" s="3"/>
      <c r="T83" s="3"/>
      <c r="U83" s="1"/>
      <c r="V83" s="3"/>
      <c r="W83" s="3"/>
      <c r="X83" s="3"/>
      <c r="Y83" s="3"/>
      <c r="Z83" s="3"/>
    </row>
    <row r="84">
      <c r="A84" s="33" t="s">
        <v>89</v>
      </c>
      <c r="B84" s="34">
        <f>K78+K66+K25</f>
        <v>915205.6638</v>
      </c>
      <c r="C84" s="2"/>
      <c r="D84" s="3"/>
      <c r="E84" s="3"/>
      <c r="F84" s="3"/>
      <c r="G84" s="2"/>
      <c r="H84" s="2"/>
      <c r="I84" s="2"/>
      <c r="J84" s="2"/>
      <c r="K84" s="3"/>
      <c r="L84" s="4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"/>
      <c r="B85" s="2"/>
      <c r="C85" s="2"/>
      <c r="D85" s="3"/>
      <c r="E85" s="3"/>
      <c r="F85" s="3"/>
      <c r="G85" s="2"/>
      <c r="H85" s="2"/>
      <c r="I85" s="2"/>
      <c r="J85" s="2"/>
      <c r="K85" s="3"/>
      <c r="L85" s="4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33" t="s">
        <v>90</v>
      </c>
      <c r="B86" s="35">
        <f>B84/B82</f>
        <v>0.5059487662</v>
      </c>
      <c r="C86" s="2"/>
      <c r="D86" s="3"/>
      <c r="E86" s="3"/>
      <c r="F86" s="3"/>
      <c r="G86" s="2"/>
      <c r="H86" s="2"/>
      <c r="I86" s="2"/>
      <c r="J86" s="2"/>
      <c r="K86" s="3"/>
      <c r="L86" s="4"/>
      <c r="M86" s="2"/>
      <c r="N86" s="2"/>
      <c r="O86" s="2"/>
      <c r="P86" s="2"/>
      <c r="Q86" s="2"/>
      <c r="R86" s="2"/>
      <c r="S86" s="3"/>
      <c r="T86" s="3"/>
      <c r="U86" s="1"/>
      <c r="V86" s="3"/>
      <c r="W86" s="3"/>
      <c r="X86" s="2"/>
      <c r="Y86" s="2"/>
      <c r="Z86" s="2"/>
    </row>
    <row r="87">
      <c r="A87" s="1"/>
      <c r="B87" s="2"/>
      <c r="C87" s="2"/>
      <c r="D87" s="3"/>
      <c r="E87" s="3"/>
      <c r="F87" s="3"/>
      <c r="G87" s="2"/>
      <c r="H87" s="2"/>
      <c r="I87" s="2"/>
      <c r="J87" s="2"/>
      <c r="K87" s="3"/>
      <c r="L87" s="4"/>
      <c r="M87" s="2"/>
      <c r="N87" s="2"/>
      <c r="O87" s="2"/>
      <c r="P87" s="2"/>
      <c r="Q87" s="3"/>
      <c r="R87" s="9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36" t="s">
        <v>91</v>
      </c>
      <c r="C88" s="37">
        <v>32.0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9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1"/>
      <c r="B90" s="2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1"/>
      <c r="B91" s="1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X92" s="3"/>
      <c r="Y92" s="3"/>
      <c r="Z92" s="3"/>
    </row>
    <row r="93" ht="15.75" customHeight="1">
      <c r="A93" s="39"/>
      <c r="B93" s="40" t="s">
        <v>92</v>
      </c>
      <c r="C93" s="41" t="s">
        <v>93</v>
      </c>
      <c r="D93" s="42" t="s">
        <v>94</v>
      </c>
      <c r="E93" s="42" t="s">
        <v>95</v>
      </c>
      <c r="F93" s="79" t="s">
        <v>96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9"/>
      <c r="X93" s="3"/>
      <c r="Y93" s="3"/>
      <c r="Z93" s="3"/>
    </row>
    <row r="94" ht="15.75" customHeight="1">
      <c r="A94" s="43"/>
      <c r="B94" s="44">
        <f>'06-01-2026 '!B103</f>
        <v>2607750</v>
      </c>
      <c r="C94" s="45">
        <f>'06-01-2026 '!C103</f>
        <v>33352.55</v>
      </c>
      <c r="D94" s="45">
        <f>'06-01-2026 '!D103</f>
        <v>1074465.675</v>
      </c>
      <c r="E94" s="45"/>
      <c r="F94" s="80">
        <f>'06-01-2026 '!F103</f>
        <v>8500000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"/>
      <c r="B95" s="46"/>
      <c r="C95" s="46"/>
      <c r="D95" s="46"/>
      <c r="E95" s="4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40" t="s">
        <v>97</v>
      </c>
      <c r="B96" s="47"/>
      <c r="C96" s="47"/>
      <c r="D96" s="47"/>
      <c r="E96" s="47"/>
      <c r="F96" s="48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3" t="s">
        <v>98</v>
      </c>
      <c r="B97" s="49">
        <v>18800.0</v>
      </c>
      <c r="C97" s="49">
        <v>0.0</v>
      </c>
      <c r="D97" s="49">
        <v>0.0</v>
      </c>
      <c r="E97" s="49">
        <v>0.0</v>
      </c>
      <c r="F97" s="49">
        <v>0.0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13" t="s">
        <v>99</v>
      </c>
      <c r="B98" s="49">
        <v>0.0</v>
      </c>
      <c r="C98" s="49">
        <v>23.21</v>
      </c>
      <c r="D98" s="49">
        <v>0.0</v>
      </c>
      <c r="E98" s="49">
        <v>0.0</v>
      </c>
      <c r="F98" s="49">
        <v>0.0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100</v>
      </c>
      <c r="B99" s="49">
        <v>0.0</v>
      </c>
      <c r="C99" s="49">
        <v>0.0</v>
      </c>
      <c r="D99" s="49">
        <v>0.0</v>
      </c>
      <c r="E99" s="49">
        <v>0.0</v>
      </c>
      <c r="F99" s="49">
        <v>0.0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3" t="s">
        <v>101</v>
      </c>
      <c r="B100" s="49">
        <v>0.0</v>
      </c>
      <c r="C100" s="49">
        <v>0.0</v>
      </c>
      <c r="D100" s="49">
        <v>0.0</v>
      </c>
      <c r="E100" s="49">
        <v>0.0</v>
      </c>
      <c r="F100" s="49">
        <v>0.0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3" t="s">
        <v>102</v>
      </c>
      <c r="B101" s="49">
        <v>0.0</v>
      </c>
      <c r="C101" s="49">
        <v>0.0</v>
      </c>
      <c r="D101" s="49">
        <v>0.0</v>
      </c>
      <c r="E101" s="49">
        <v>0.0</v>
      </c>
      <c r="F101" s="49">
        <v>0.0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103</v>
      </c>
      <c r="B102" s="49">
        <v>0.0</v>
      </c>
      <c r="C102" s="50">
        <f>C97*0.6%+C100*0.6%</f>
        <v>0</v>
      </c>
      <c r="D102" s="49">
        <f>SUM(D97:D99)*0.6%</f>
        <v>0</v>
      </c>
      <c r="E102" s="49">
        <v>0.0</v>
      </c>
      <c r="F102" s="49">
        <v>0.0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"/>
      <c r="B103" s="46"/>
      <c r="C103" s="46"/>
      <c r="D103" s="46"/>
      <c r="E103" s="4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51" t="s">
        <v>8</v>
      </c>
      <c r="B104" s="52">
        <f>SUM(B94:B102)</f>
        <v>2626550</v>
      </c>
      <c r="C104" s="52">
        <f>C94+C97+C100+C101-C102+C98</f>
        <v>33375.76</v>
      </c>
      <c r="D104" s="53">
        <f>D94+D97+D100+D101-D102+D99</f>
        <v>1074465.675</v>
      </c>
      <c r="E104" s="52">
        <f>E94+E97+E100+E101-E102</f>
        <v>0</v>
      </c>
      <c r="F104" s="54">
        <f>F94+F97+F100+F101-F102-D99</f>
        <v>8500000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"/>
      <c r="B105" s="1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40" t="s">
        <v>104</v>
      </c>
      <c r="B106" s="47"/>
      <c r="C106" s="47"/>
      <c r="D106" s="47"/>
      <c r="E106" s="47"/>
      <c r="F106" s="4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3" t="s">
        <v>105</v>
      </c>
      <c r="B107" s="55">
        <v>1000.0</v>
      </c>
      <c r="C107" s="55">
        <v>0.0</v>
      </c>
      <c r="D107" s="55">
        <v>0.0</v>
      </c>
      <c r="E107" s="55">
        <v>0.0</v>
      </c>
      <c r="F107" s="2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3" t="s">
        <v>106</v>
      </c>
      <c r="B108" s="49">
        <v>0.0</v>
      </c>
      <c r="C108" s="49">
        <v>0.0</v>
      </c>
      <c r="D108" s="49">
        <v>0.0</v>
      </c>
      <c r="E108" s="49">
        <v>0.0</v>
      </c>
      <c r="F108" s="2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3" t="s">
        <v>107</v>
      </c>
      <c r="B109" s="55">
        <v>0.0</v>
      </c>
      <c r="C109" s="55">
        <v>0.0</v>
      </c>
      <c r="D109" s="49">
        <v>0.0</v>
      </c>
      <c r="E109" s="55">
        <v>0.0</v>
      </c>
      <c r="F109" s="2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3" t="s">
        <v>108</v>
      </c>
      <c r="B110" s="55">
        <v>5800.0</v>
      </c>
      <c r="C110" s="55">
        <v>0.0</v>
      </c>
      <c r="D110" s="55">
        <v>0.0</v>
      </c>
      <c r="E110" s="55">
        <v>0.0</v>
      </c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109</v>
      </c>
      <c r="B111" s="55">
        <v>0.0</v>
      </c>
      <c r="C111" s="55">
        <v>615360.0</v>
      </c>
      <c r="D111" s="55">
        <v>0.0</v>
      </c>
      <c r="E111" s="55">
        <v>0.0</v>
      </c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110</v>
      </c>
      <c r="B112" s="55">
        <v>0.0</v>
      </c>
      <c r="C112" s="55">
        <v>40000.0</v>
      </c>
      <c r="D112" s="55">
        <v>0.0</v>
      </c>
      <c r="E112" s="55">
        <v>0.0</v>
      </c>
      <c r="F112" s="26"/>
      <c r="G112" s="2"/>
      <c r="H112" s="56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111</v>
      </c>
      <c r="B113" s="49">
        <v>0.0</v>
      </c>
      <c r="C113" s="49">
        <v>0.0</v>
      </c>
      <c r="D113" s="49">
        <v>0.0</v>
      </c>
      <c r="E113" s="49">
        <v>0.0</v>
      </c>
      <c r="F113" s="2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112</v>
      </c>
      <c r="B114" s="49">
        <v>0.0</v>
      </c>
      <c r="C114" s="49">
        <v>0.0</v>
      </c>
      <c r="D114" s="49">
        <v>0.0</v>
      </c>
      <c r="E114" s="49">
        <v>0.0</v>
      </c>
      <c r="F114" s="26"/>
      <c r="G114" s="2"/>
      <c r="H114" s="56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113</v>
      </c>
      <c r="B115" s="49">
        <v>0.0</v>
      </c>
      <c r="C115" s="49">
        <v>0.0</v>
      </c>
      <c r="D115" s="49">
        <v>0.0</v>
      </c>
      <c r="E115" s="49">
        <v>0.0</v>
      </c>
      <c r="F115" s="26"/>
      <c r="G115" s="2"/>
      <c r="H115" s="56"/>
      <c r="I115" s="2"/>
      <c r="J115" s="2"/>
      <c r="K115" s="2"/>
      <c r="L115" s="2"/>
      <c r="M115" s="2"/>
      <c r="N115" s="2"/>
      <c r="O115" s="2"/>
      <c r="P115" s="2"/>
      <c r="Q115" s="3"/>
      <c r="R115" s="9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13" t="s">
        <v>114</v>
      </c>
      <c r="B116" s="55">
        <v>0.0</v>
      </c>
      <c r="C116" s="55">
        <v>0.0</v>
      </c>
      <c r="D116" s="55">
        <v>0.0</v>
      </c>
      <c r="E116" s="55">
        <v>0.0</v>
      </c>
      <c r="F116" s="26"/>
      <c r="G116" s="2"/>
      <c r="H116" s="56"/>
      <c r="I116" s="2"/>
      <c r="J116" s="2"/>
      <c r="K116" s="2"/>
      <c r="L116" s="2"/>
      <c r="M116" s="2"/>
      <c r="N116" s="2"/>
      <c r="O116" s="2"/>
      <c r="P116" s="2"/>
      <c r="Q116" s="3"/>
      <c r="R116" s="9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115</v>
      </c>
      <c r="B117" s="55">
        <v>0.0</v>
      </c>
      <c r="C117" s="55">
        <v>0.0</v>
      </c>
      <c r="D117" s="55">
        <v>0.0</v>
      </c>
      <c r="E117" s="55">
        <v>0.0</v>
      </c>
      <c r="F117" s="26"/>
      <c r="G117" s="2"/>
      <c r="H117" s="56"/>
      <c r="I117" s="2"/>
      <c r="J117" s="2"/>
      <c r="K117" s="2"/>
      <c r="L117" s="2"/>
      <c r="M117" s="2"/>
      <c r="N117" s="2"/>
      <c r="O117" s="2"/>
      <c r="P117" s="2"/>
      <c r="Q117" s="3"/>
      <c r="R117" s="9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116</v>
      </c>
      <c r="B118" s="50">
        <v>0.0</v>
      </c>
      <c r="C118" s="50">
        <v>0.0</v>
      </c>
      <c r="D118" s="49">
        <v>0.0</v>
      </c>
      <c r="E118" s="49">
        <v>0.0</v>
      </c>
      <c r="F118" s="2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117</v>
      </c>
      <c r="B119" s="50">
        <v>0.0</v>
      </c>
      <c r="C119" s="50">
        <v>0.0</v>
      </c>
      <c r="D119" s="49">
        <v>0.0</v>
      </c>
      <c r="E119" s="49">
        <v>0.0</v>
      </c>
      <c r="F119" s="26"/>
      <c r="G119" s="2"/>
      <c r="H119" s="56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13" t="s">
        <v>118</v>
      </c>
      <c r="B120" s="50">
        <v>0.0</v>
      </c>
      <c r="C120" s="50">
        <v>0.0</v>
      </c>
      <c r="D120" s="49">
        <v>0.0</v>
      </c>
      <c r="E120" s="49">
        <v>0.0</v>
      </c>
      <c r="F120" s="2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119</v>
      </c>
      <c r="B121" s="50">
        <v>0.0</v>
      </c>
      <c r="C121" s="50">
        <v>0.0</v>
      </c>
      <c r="D121" s="49">
        <v>0.0</v>
      </c>
      <c r="E121" s="49">
        <v>0.0</v>
      </c>
      <c r="F121" s="2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9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120</v>
      </c>
      <c r="B122" s="50">
        <v>0.0</v>
      </c>
      <c r="C122" s="50">
        <v>0.0</v>
      </c>
      <c r="D122" s="49">
        <v>0.0</v>
      </c>
      <c r="E122" s="49">
        <v>0.0</v>
      </c>
      <c r="F122" s="2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9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3" t="s">
        <v>121</v>
      </c>
      <c r="B123" s="50">
        <v>0.0</v>
      </c>
      <c r="C123" s="50">
        <v>0.0</v>
      </c>
      <c r="D123" s="49">
        <v>0.0</v>
      </c>
      <c r="E123" s="49">
        <v>0.0</v>
      </c>
      <c r="F123" s="2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150</v>
      </c>
      <c r="B124" s="49">
        <v>0.0</v>
      </c>
      <c r="C124" s="49">
        <v>0.0</v>
      </c>
      <c r="D124" s="49">
        <v>0.0</v>
      </c>
      <c r="E124" s="49">
        <v>0.0</v>
      </c>
      <c r="F124" s="2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123</v>
      </c>
      <c r="B125" s="49">
        <v>0.0</v>
      </c>
      <c r="C125" s="49">
        <v>0.0</v>
      </c>
      <c r="D125" s="49">
        <v>0.0</v>
      </c>
      <c r="E125" s="49">
        <v>0.0</v>
      </c>
      <c r="F125" s="2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124</v>
      </c>
      <c r="B126" s="49">
        <v>0.0</v>
      </c>
      <c r="C126" s="49">
        <v>0.0</v>
      </c>
      <c r="D126" s="49">
        <v>0.0</v>
      </c>
      <c r="E126" s="49">
        <v>0.0</v>
      </c>
      <c r="F126" s="2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3" t="s">
        <v>125</v>
      </c>
      <c r="B127" s="50">
        <v>0.0</v>
      </c>
      <c r="C127" s="50">
        <v>0.0</v>
      </c>
      <c r="D127" s="49">
        <f>SUM(D97:D99)*2%</f>
        <v>0</v>
      </c>
      <c r="E127" s="49">
        <v>0.0</v>
      </c>
      <c r="F127" s="2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13" t="s">
        <v>126</v>
      </c>
      <c r="B128" s="49">
        <v>0.0</v>
      </c>
      <c r="C128" s="49">
        <v>0.0</v>
      </c>
      <c r="D128" s="49">
        <v>0.0</v>
      </c>
      <c r="E128" s="49">
        <v>0.0</v>
      </c>
      <c r="F128" s="2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127</v>
      </c>
      <c r="B129" s="49">
        <v>0.0</v>
      </c>
      <c r="C129" s="49">
        <v>0.0</v>
      </c>
      <c r="D129" s="49">
        <v>0.0</v>
      </c>
      <c r="E129" s="49">
        <v>0.0</v>
      </c>
      <c r="F129" s="2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128</v>
      </c>
      <c r="B130" s="49">
        <v>0.0</v>
      </c>
      <c r="C130" s="49">
        <v>0.0</v>
      </c>
      <c r="D130" s="49">
        <v>0.0</v>
      </c>
      <c r="E130" s="49">
        <v>0.0</v>
      </c>
      <c r="F130" s="2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129</v>
      </c>
      <c r="B131" s="49">
        <v>0.0</v>
      </c>
      <c r="C131" s="49">
        <v>0.0</v>
      </c>
      <c r="D131" s="49">
        <v>0.0</v>
      </c>
      <c r="E131" s="49">
        <v>0.0</v>
      </c>
      <c r="F131" s="2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57"/>
      <c r="B132" s="49"/>
      <c r="C132" s="49"/>
      <c r="D132" s="49"/>
      <c r="E132" s="49"/>
      <c r="F132" s="2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130</v>
      </c>
      <c r="B133" s="50">
        <v>0.0</v>
      </c>
      <c r="C133" s="50">
        <f>SUM(C107:C130)*0.6%</f>
        <v>3932.16</v>
      </c>
      <c r="D133" s="50">
        <f>SUM(D107:D130)*0.6%+(D134*0.6%)</f>
        <v>3780</v>
      </c>
      <c r="E133" s="50">
        <f>(E111*0.6%)+(E112*0.6%)+(E113*0.6%)+(E116*0.6%)+(E117*0.6%)</f>
        <v>0</v>
      </c>
      <c r="F133" s="2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131</v>
      </c>
      <c r="B134" s="50">
        <v>0.0</v>
      </c>
      <c r="C134" s="50">
        <v>630000.0</v>
      </c>
      <c r="D134" s="50">
        <v>630000.0</v>
      </c>
      <c r="E134" s="50">
        <f>SUM(E108:E132)*0.6%+(E135*0.6%)</f>
        <v>0</v>
      </c>
      <c r="F134" s="5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57"/>
      <c r="B135" s="57"/>
      <c r="C135" s="26"/>
      <c r="D135" s="2"/>
      <c r="E135" s="26"/>
      <c r="F135" s="2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59" t="s">
        <v>132</v>
      </c>
      <c r="B136" s="60">
        <f>SUM(B107:B135)</f>
        <v>6800</v>
      </c>
      <c r="C136" s="60">
        <f>SUM(C107:C133)</f>
        <v>659292.16</v>
      </c>
      <c r="D136" s="60">
        <f>SUM(D107:D134)</f>
        <v>633780</v>
      </c>
      <c r="E136" s="60">
        <f>E118+E122+E133-E134</f>
        <v>0</v>
      </c>
      <c r="F136" s="61" t="str">
        <f>F111</f>
        <v/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57"/>
      <c r="B137" s="57"/>
      <c r="C137" s="26"/>
      <c r="D137" s="26"/>
      <c r="E137" s="26"/>
      <c r="F137" s="2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59" t="s">
        <v>133</v>
      </c>
      <c r="B138" s="62">
        <f>B104-B136</f>
        <v>2619750</v>
      </c>
      <c r="C138" s="63">
        <f>C104-C136+C134</f>
        <v>4083.6</v>
      </c>
      <c r="D138" s="63">
        <f t="shared" ref="D138:F138" si="12">D104-D136</f>
        <v>440685.6749</v>
      </c>
      <c r="E138" s="64">
        <f t="shared" si="12"/>
        <v>0</v>
      </c>
      <c r="F138" s="77">
        <f t="shared" si="12"/>
        <v>8500000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65" t="s">
        <v>134</v>
      </c>
      <c r="B140" s="66">
        <v>79400.0</v>
      </c>
      <c r="C140" s="46"/>
      <c r="D140" s="46"/>
      <c r="E140" s="46"/>
      <c r="F140" s="4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9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65" t="s">
        <v>135</v>
      </c>
      <c r="B141" s="66">
        <f>2528350+B97-B107-B110</f>
        <v>2540350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46" t="s">
        <v>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46">
        <f>SUM(B140:B141)</f>
        <v>2619750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9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9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9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9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9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9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9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9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9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9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9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9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9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9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9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9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3"/>
      <c r="T217" s="3"/>
      <c r="U217" s="9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9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9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9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9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9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9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9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3"/>
      <c r="T259" s="3"/>
      <c r="U259" s="9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9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9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9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46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46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46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46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46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46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46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46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46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46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46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46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9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46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46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46"/>
      <c r="R304" s="46"/>
      <c r="S304" s="3"/>
      <c r="T304" s="3"/>
      <c r="U304" s="9"/>
      <c r="V304" s="3"/>
      <c r="W304" s="3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9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9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46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46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46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46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46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46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46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9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9"/>
      <c r="T350" s="3"/>
      <c r="U350" s="2"/>
      <c r="V350" s="3"/>
      <c r="W350" s="3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9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9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9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9"/>
      <c r="T367" s="3"/>
      <c r="U367" s="2"/>
      <c r="V367" s="3"/>
      <c r="W367" s="3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9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9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9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9"/>
      <c r="T378" s="3"/>
      <c r="U378" s="2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9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9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3"/>
      <c r="T394" s="3"/>
      <c r="U394" s="9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9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9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3"/>
      <c r="T408" s="9"/>
      <c r="U408" s="2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9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9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9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9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3"/>
      <c r="T420" s="9"/>
      <c r="U420" s="2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9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9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67"/>
      <c r="R435" s="2"/>
      <c r="S435" s="2"/>
      <c r="T435" s="3"/>
      <c r="U435" s="2"/>
      <c r="V435" s="2"/>
      <c r="W435" s="2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3"/>
      <c r="T436" s="3"/>
      <c r="U436" s="3"/>
      <c r="V436" s="2"/>
      <c r="W436" s="2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8"/>
      <c r="R438" s="38"/>
      <c r="S438" s="38"/>
      <c r="T438" s="38"/>
      <c r="U438" s="38"/>
      <c r="V438" s="38"/>
      <c r="W438" s="38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3"/>
      <c r="T439" s="3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"/>
      <c r="R440" s="2"/>
      <c r="S440" s="3"/>
      <c r="T440" s="3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68"/>
      <c r="R442" s="69"/>
      <c r="S442" s="70"/>
      <c r="T442" s="70"/>
      <c r="U442" s="70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1"/>
      <c r="R443" s="71"/>
      <c r="S443" s="71"/>
      <c r="T443" s="71"/>
      <c r="U443" s="71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46"/>
      <c r="R444" s="46"/>
      <c r="S444" s="46"/>
      <c r="T444" s="46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6"/>
      <c r="R446" s="46"/>
      <c r="S446" s="46"/>
      <c r="T446" s="46"/>
      <c r="U446" s="46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46"/>
      <c r="R447" s="46"/>
      <c r="S447" s="46"/>
      <c r="T447" s="46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"/>
      <c r="R448" s="46"/>
      <c r="S448" s="46"/>
      <c r="T448" s="46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46"/>
      <c r="R449" s="46"/>
      <c r="S449" s="46"/>
      <c r="T449" s="46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"/>
      <c r="R450" s="46"/>
      <c r="S450" s="46"/>
      <c r="T450" s="46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2"/>
      <c r="R451" s="72"/>
      <c r="S451" s="72"/>
      <c r="T451" s="72"/>
      <c r="U451" s="73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"/>
      <c r="R452" s="2"/>
      <c r="S452" s="3"/>
      <c r="T452" s="3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56"/>
      <c r="R454" s="56"/>
      <c r="S454" s="56"/>
      <c r="T454" s="56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56"/>
      <c r="R455" s="56"/>
      <c r="S455" s="56"/>
      <c r="T455" s="56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56"/>
      <c r="R456" s="56"/>
      <c r="S456" s="56"/>
      <c r="T456" s="56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56"/>
      <c r="R457" s="56"/>
      <c r="S457" s="56"/>
      <c r="T457" s="56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56"/>
      <c r="R458" s="56"/>
      <c r="S458" s="56"/>
      <c r="T458" s="56"/>
      <c r="U458" s="2"/>
      <c r="V458" s="2"/>
      <c r="W458" s="56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56"/>
      <c r="R459" s="56"/>
      <c r="S459" s="56"/>
      <c r="T459" s="56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56"/>
      <c r="R460" s="56"/>
      <c r="S460" s="56"/>
      <c r="T460" s="56"/>
      <c r="U460" s="2"/>
      <c r="V460" s="2"/>
      <c r="W460" s="56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56"/>
      <c r="R461" s="56"/>
      <c r="S461" s="56"/>
      <c r="T461" s="56"/>
      <c r="U461" s="2"/>
      <c r="V461" s="2"/>
      <c r="W461" s="56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6"/>
      <c r="R462" s="46"/>
      <c r="S462" s="46"/>
      <c r="T462" s="46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6"/>
      <c r="R463" s="46"/>
      <c r="S463" s="46"/>
      <c r="T463" s="46"/>
      <c r="U463" s="2"/>
      <c r="V463" s="2"/>
      <c r="W463" s="56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46"/>
      <c r="R464" s="46"/>
      <c r="S464" s="46"/>
      <c r="T464" s="46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46"/>
      <c r="R465" s="46"/>
      <c r="S465" s="46"/>
      <c r="T465" s="46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46"/>
      <c r="R466" s="46"/>
      <c r="S466" s="46"/>
      <c r="T466" s="46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6"/>
      <c r="R467" s="46"/>
      <c r="S467" s="46"/>
      <c r="T467" s="46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46"/>
      <c r="R468" s="46"/>
      <c r="S468" s="46"/>
      <c r="T468" s="46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46"/>
      <c r="R469" s="46"/>
      <c r="S469" s="46"/>
      <c r="T469" s="46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6"/>
      <c r="R470" s="46"/>
      <c r="S470" s="46"/>
      <c r="T470" s="46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"/>
      <c r="R471" s="46"/>
      <c r="S471" s="46"/>
      <c r="T471" s="46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2"/>
      <c r="R473" s="72"/>
      <c r="S473" s="72"/>
      <c r="T473" s="72"/>
      <c r="U473" s="73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1"/>
      <c r="R475" s="72"/>
      <c r="S475" s="72"/>
      <c r="T475" s="74"/>
      <c r="U475" s="74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46"/>
      <c r="R477" s="46"/>
      <c r="S477" s="46"/>
      <c r="T477" s="46"/>
      <c r="U477" s="46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46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</sheetData>
  <mergeCells count="8">
    <mergeCell ref="I3:K3"/>
    <mergeCell ref="A88:B88"/>
    <mergeCell ref="U92:W92"/>
    <mergeCell ref="A93:A94"/>
    <mergeCell ref="A96:F96"/>
    <mergeCell ref="A106:F106"/>
    <mergeCell ref="U146:W146"/>
    <mergeCell ref="U181:W181"/>
  </mergeCells>
  <printOptions horizontalCentered="1"/>
  <pageMargins bottom="0.75" footer="0.0" header="0.0" left="0.25" right="0.25" top="0.75"/>
  <pageSetup paperSize="9" scale="95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169</v>
      </c>
      <c r="F3" s="7">
        <v>46030.0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1.0</v>
      </c>
      <c r="B6" s="12" t="s">
        <v>32</v>
      </c>
      <c r="C6" s="14" t="s">
        <v>152</v>
      </c>
      <c r="D6" s="15">
        <v>52000.0</v>
      </c>
      <c r="E6" s="15">
        <f t="shared" ref="E6:E16" si="1">A6*D6</f>
        <v>52000</v>
      </c>
      <c r="F6" s="15">
        <f>E6*1.21</f>
        <v>62920</v>
      </c>
      <c r="G6" s="3"/>
      <c r="H6" s="3" t="s">
        <v>2</v>
      </c>
      <c r="I6" s="16">
        <v>45000.0</v>
      </c>
      <c r="J6" s="15">
        <f t="shared" ref="J6:J16" si="2">I6*A6</f>
        <v>45000</v>
      </c>
      <c r="K6" s="15">
        <f t="shared" ref="K6:K16" si="3">F6-J6</f>
        <v>17920</v>
      </c>
      <c r="L6" s="22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3.0</v>
      </c>
      <c r="B7" s="12" t="s">
        <v>13</v>
      </c>
      <c r="C7" s="14" t="s">
        <v>15</v>
      </c>
      <c r="D7" s="15">
        <v>42000.0</v>
      </c>
      <c r="E7" s="15">
        <f t="shared" si="1"/>
        <v>126000</v>
      </c>
      <c r="F7" s="15">
        <f t="shared" ref="F7:F12" si="4">E7*1.105</f>
        <v>139230</v>
      </c>
      <c r="G7" s="3"/>
      <c r="H7" s="3" t="s">
        <v>2</v>
      </c>
      <c r="I7" s="15">
        <v>33000.0</v>
      </c>
      <c r="J7" s="15">
        <f t="shared" si="2"/>
        <v>99000</v>
      </c>
      <c r="K7" s="15">
        <f t="shared" si="3"/>
        <v>40230</v>
      </c>
      <c r="L7" s="22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3.0</v>
      </c>
      <c r="B8" s="12" t="s">
        <v>13</v>
      </c>
      <c r="C8" s="14" t="s">
        <v>19</v>
      </c>
      <c r="D8" s="15">
        <v>46000.0</v>
      </c>
      <c r="E8" s="15">
        <f t="shared" si="1"/>
        <v>138000</v>
      </c>
      <c r="F8" s="15">
        <f t="shared" si="4"/>
        <v>152490</v>
      </c>
      <c r="G8" s="3"/>
      <c r="H8" s="3" t="s">
        <v>2</v>
      </c>
      <c r="I8" s="15">
        <v>36000.0</v>
      </c>
      <c r="J8" s="15">
        <f t="shared" si="2"/>
        <v>108000</v>
      </c>
      <c r="K8" s="15">
        <f t="shared" si="3"/>
        <v>44490</v>
      </c>
      <c r="L8" s="22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36.0</v>
      </c>
      <c r="B9" s="12" t="s">
        <v>17</v>
      </c>
      <c r="C9" s="14" t="s">
        <v>156</v>
      </c>
      <c r="D9" s="15">
        <v>1500.0</v>
      </c>
      <c r="E9" s="15">
        <f t="shared" si="1"/>
        <v>54000</v>
      </c>
      <c r="F9" s="15">
        <f t="shared" si="4"/>
        <v>59670</v>
      </c>
      <c r="G9" s="3"/>
      <c r="H9" s="3"/>
      <c r="I9" s="15">
        <v>600.0</v>
      </c>
      <c r="J9" s="15">
        <f t="shared" si="2"/>
        <v>21600</v>
      </c>
      <c r="K9" s="15">
        <f t="shared" si="3"/>
        <v>38070</v>
      </c>
      <c r="L9" s="22"/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3.0</v>
      </c>
      <c r="B10" s="12" t="s">
        <v>32</v>
      </c>
      <c r="C10" s="14" t="s">
        <v>155</v>
      </c>
      <c r="D10" s="15">
        <v>30000.0</v>
      </c>
      <c r="E10" s="15">
        <f t="shared" si="1"/>
        <v>90000</v>
      </c>
      <c r="F10" s="15">
        <f t="shared" si="4"/>
        <v>99450</v>
      </c>
      <c r="G10" s="3"/>
      <c r="H10" s="3" t="s">
        <v>2</v>
      </c>
      <c r="I10" s="16">
        <v>22000.0</v>
      </c>
      <c r="J10" s="15">
        <f t="shared" si="2"/>
        <v>66000</v>
      </c>
      <c r="K10" s="15">
        <f t="shared" si="3"/>
        <v>33450</v>
      </c>
      <c r="L10" s="22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3.0</v>
      </c>
      <c r="B11" s="12" t="s">
        <v>32</v>
      </c>
      <c r="C11" s="14" t="s">
        <v>20</v>
      </c>
      <c r="D11" s="15">
        <v>23000.0</v>
      </c>
      <c r="E11" s="15">
        <f t="shared" si="1"/>
        <v>69000</v>
      </c>
      <c r="F11" s="15">
        <f t="shared" si="4"/>
        <v>76245</v>
      </c>
      <c r="G11" s="3"/>
      <c r="H11" s="3" t="s">
        <v>2</v>
      </c>
      <c r="I11" s="15">
        <v>18000.0</v>
      </c>
      <c r="J11" s="15">
        <f t="shared" si="2"/>
        <v>54000</v>
      </c>
      <c r="K11" s="15">
        <f t="shared" si="3"/>
        <v>22245</v>
      </c>
      <c r="L11" s="22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13</v>
      </c>
      <c r="C12" s="14" t="s">
        <v>170</v>
      </c>
      <c r="D12" s="15">
        <v>37000.0</v>
      </c>
      <c r="E12" s="15">
        <f t="shared" si="1"/>
        <v>74000</v>
      </c>
      <c r="F12" s="15">
        <f t="shared" si="4"/>
        <v>81770</v>
      </c>
      <c r="G12" s="3"/>
      <c r="H12" s="3" t="s">
        <v>2</v>
      </c>
      <c r="I12" s="15">
        <v>27000.0</v>
      </c>
      <c r="J12" s="15">
        <f t="shared" si="2"/>
        <v>54000</v>
      </c>
      <c r="K12" s="15">
        <f t="shared" si="3"/>
        <v>27770</v>
      </c>
      <c r="L12" s="22"/>
      <c r="M12" s="20"/>
      <c r="N12" s="18"/>
      <c r="O12" s="19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0.5</v>
      </c>
      <c r="B13" s="12" t="s">
        <v>32</v>
      </c>
      <c r="C13" s="14" t="s">
        <v>152</v>
      </c>
      <c r="D13" s="15">
        <v>52000.0</v>
      </c>
      <c r="E13" s="15">
        <f t="shared" si="1"/>
        <v>26000</v>
      </c>
      <c r="F13" s="15">
        <f>E13*1.21</f>
        <v>31460</v>
      </c>
      <c r="G13" s="6" t="s">
        <v>42</v>
      </c>
      <c r="H13" s="3"/>
      <c r="I13" s="6">
        <v>0.0</v>
      </c>
      <c r="J13" s="15">
        <f t="shared" si="2"/>
        <v>0</v>
      </c>
      <c r="K13" s="15">
        <f t="shared" si="3"/>
        <v>31460</v>
      </c>
      <c r="L13" s="4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13</v>
      </c>
      <c r="C14" s="14" t="s">
        <v>19</v>
      </c>
      <c r="D14" s="15">
        <v>46000.0</v>
      </c>
      <c r="E14" s="15">
        <f t="shared" si="1"/>
        <v>46000</v>
      </c>
      <c r="F14" s="15">
        <f t="shared" ref="F14:F16" si="5">E14*1.105</f>
        <v>50830</v>
      </c>
      <c r="G14" s="6" t="s">
        <v>42</v>
      </c>
      <c r="H14" s="3"/>
      <c r="I14" s="6">
        <v>0.0</v>
      </c>
      <c r="J14" s="15">
        <f t="shared" si="2"/>
        <v>0</v>
      </c>
      <c r="K14" s="15">
        <f t="shared" si="3"/>
        <v>50830</v>
      </c>
      <c r="L14" s="4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13</v>
      </c>
      <c r="C15" s="14" t="s">
        <v>170</v>
      </c>
      <c r="D15" s="15">
        <v>37000.0</v>
      </c>
      <c r="E15" s="15">
        <f t="shared" si="1"/>
        <v>37000</v>
      </c>
      <c r="F15" s="15">
        <f t="shared" si="5"/>
        <v>40885</v>
      </c>
      <c r="G15" s="6" t="s">
        <v>42</v>
      </c>
      <c r="H15" s="3"/>
      <c r="I15" s="6">
        <v>0.0</v>
      </c>
      <c r="J15" s="15">
        <f t="shared" si="2"/>
        <v>0</v>
      </c>
      <c r="K15" s="15">
        <f t="shared" si="3"/>
        <v>40885</v>
      </c>
      <c r="L15" s="4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13</v>
      </c>
      <c r="C16" s="14" t="s">
        <v>15</v>
      </c>
      <c r="D16" s="15">
        <v>42000.0</v>
      </c>
      <c r="E16" s="15">
        <f t="shared" si="1"/>
        <v>42000</v>
      </c>
      <c r="F16" s="15">
        <f t="shared" si="5"/>
        <v>46410</v>
      </c>
      <c r="G16" s="6" t="s">
        <v>42</v>
      </c>
      <c r="H16" s="3"/>
      <c r="I16" s="6">
        <v>0.0</v>
      </c>
      <c r="J16" s="15">
        <f t="shared" si="2"/>
        <v>0</v>
      </c>
      <c r="K16" s="15">
        <f t="shared" si="3"/>
        <v>46410</v>
      </c>
      <c r="L16" s="4"/>
      <c r="N16" s="21"/>
      <c r="P16" s="21"/>
      <c r="Q16" s="21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/>
      <c r="B17" s="12"/>
      <c r="C17" s="14"/>
      <c r="D17" s="15"/>
      <c r="E17" s="15"/>
      <c r="F17" s="15"/>
      <c r="G17" s="3"/>
      <c r="H17" s="3"/>
      <c r="I17" s="3"/>
      <c r="J17" s="3"/>
      <c r="K17" s="15"/>
      <c r="L17" s="22"/>
      <c r="M17" s="2"/>
      <c r="N17" s="21"/>
      <c r="P17" s="21"/>
      <c r="Q17" s="21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/>
      <c r="B18" s="12"/>
      <c r="C18" s="14"/>
      <c r="D18" s="15"/>
      <c r="E18" s="15">
        <f t="shared" ref="E18:F18" si="6">SUM(E6:E16)</f>
        <v>754000</v>
      </c>
      <c r="F18" s="15">
        <f t="shared" si="6"/>
        <v>841360</v>
      </c>
      <c r="G18" s="3"/>
      <c r="H18" s="3"/>
      <c r="I18" s="3"/>
      <c r="J18" s="3"/>
      <c r="K18" s="15">
        <f>SUM(K6:K17)</f>
        <v>393760</v>
      </c>
      <c r="L18" s="22">
        <f>K18/F18</f>
        <v>0.4680041837</v>
      </c>
      <c r="M18" s="2"/>
      <c r="N18" s="21"/>
      <c r="P18" s="21"/>
      <c r="Q18" s="21"/>
      <c r="R18" s="2"/>
      <c r="S18" s="3"/>
      <c r="T18" s="3"/>
      <c r="U18" s="1"/>
      <c r="V18" s="3"/>
      <c r="W18" s="3"/>
      <c r="X18" s="3"/>
      <c r="Y18" s="3"/>
      <c r="Z18" s="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"/>
      <c r="B20" s="2"/>
      <c r="C20" s="2"/>
      <c r="D20" s="3"/>
      <c r="E20" s="3"/>
      <c r="F20" s="3"/>
      <c r="G20" s="2"/>
      <c r="H20" s="2"/>
      <c r="I20" s="2"/>
      <c r="J20" s="2"/>
      <c r="K20" s="3"/>
      <c r="L20" s="4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"/>
      <c r="B21" s="2"/>
      <c r="C21" s="2"/>
      <c r="D21" s="3"/>
      <c r="E21" s="3"/>
      <c r="F21" s="3"/>
      <c r="G21" s="2"/>
      <c r="H21" s="2"/>
      <c r="I21" s="2"/>
      <c r="J21" s="2"/>
      <c r="K21" s="3"/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5" t="s">
        <v>80</v>
      </c>
      <c r="B22" s="1"/>
      <c r="C22" s="1"/>
      <c r="D22" s="25" t="s">
        <v>171</v>
      </c>
      <c r="E22" s="7">
        <v>46030.0</v>
      </c>
      <c r="F22" s="28"/>
      <c r="G22" s="24"/>
      <c r="H22" s="24"/>
      <c r="I22" s="16"/>
      <c r="J22" s="16"/>
      <c r="K22" s="16"/>
      <c r="L22" s="29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"/>
      <c r="B23" s="3"/>
      <c r="C23" s="2"/>
      <c r="D23" s="3"/>
      <c r="E23" s="3"/>
      <c r="F23" s="24"/>
      <c r="G23" s="24"/>
      <c r="H23" s="24"/>
      <c r="I23" s="16"/>
      <c r="J23" s="16"/>
      <c r="K23" s="16"/>
      <c r="L23" s="29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5" t="s">
        <v>4</v>
      </c>
      <c r="B24" s="10" t="s">
        <v>5</v>
      </c>
      <c r="C24" s="11" t="s">
        <v>6</v>
      </c>
      <c r="D24" s="10" t="s">
        <v>7</v>
      </c>
      <c r="E24" s="10" t="s">
        <v>8</v>
      </c>
      <c r="F24" s="12"/>
      <c r="G24" s="24"/>
      <c r="H24" s="24"/>
      <c r="I24" s="10" t="s">
        <v>7</v>
      </c>
      <c r="J24" s="10" t="s">
        <v>8</v>
      </c>
      <c r="K24" s="10" t="s">
        <v>10</v>
      </c>
      <c r="L24" s="4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78">
        <v>1.0</v>
      </c>
      <c r="B25" s="10" t="s">
        <v>17</v>
      </c>
      <c r="C25" s="11" t="s">
        <v>81</v>
      </c>
      <c r="D25" s="15">
        <v>4500.0</v>
      </c>
      <c r="E25" s="15">
        <f t="shared" ref="E25:E33" si="7">A25*D25</f>
        <v>4500</v>
      </c>
      <c r="F25" s="16"/>
      <c r="G25" s="24"/>
      <c r="H25" s="24"/>
      <c r="I25" s="15">
        <v>0.0</v>
      </c>
      <c r="J25" s="15">
        <f t="shared" ref="J25:J33" si="8">I25*A25</f>
        <v>0</v>
      </c>
      <c r="K25" s="15">
        <f t="shared" ref="K25:K33" si="9">E25-J25</f>
        <v>4500</v>
      </c>
      <c r="L25" s="4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78">
        <v>2.0</v>
      </c>
      <c r="B26" s="10" t="s">
        <v>17</v>
      </c>
      <c r="C26" s="11" t="s">
        <v>19</v>
      </c>
      <c r="D26" s="15">
        <v>3000.0</v>
      </c>
      <c r="E26" s="15">
        <f t="shared" si="7"/>
        <v>6000</v>
      </c>
      <c r="F26" s="16"/>
      <c r="G26" s="24"/>
      <c r="H26" s="24"/>
      <c r="I26" s="15">
        <v>0.0</v>
      </c>
      <c r="J26" s="15">
        <f t="shared" si="8"/>
        <v>0</v>
      </c>
      <c r="K26" s="15">
        <f t="shared" si="9"/>
        <v>6000</v>
      </c>
      <c r="L26" s="4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78">
        <v>1.03</v>
      </c>
      <c r="B27" s="10" t="s">
        <v>17</v>
      </c>
      <c r="C27" s="11" t="s">
        <v>72</v>
      </c>
      <c r="D27" s="15">
        <v>5000.0</v>
      </c>
      <c r="E27" s="15">
        <f t="shared" si="7"/>
        <v>5150</v>
      </c>
      <c r="F27" s="16"/>
      <c r="G27" s="32" t="s">
        <v>2</v>
      </c>
      <c r="H27" s="24"/>
      <c r="I27" s="15">
        <v>5000.0</v>
      </c>
      <c r="J27" s="15">
        <f t="shared" si="8"/>
        <v>5150</v>
      </c>
      <c r="K27" s="15">
        <f t="shared" si="9"/>
        <v>0</v>
      </c>
      <c r="L27" s="4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78">
        <v>1.0</v>
      </c>
      <c r="B28" s="10" t="s">
        <v>17</v>
      </c>
      <c r="C28" s="11" t="s">
        <v>164</v>
      </c>
      <c r="D28" s="15">
        <v>9000.0</v>
      </c>
      <c r="E28" s="15">
        <f t="shared" si="7"/>
        <v>9000</v>
      </c>
      <c r="F28" s="16"/>
      <c r="G28" s="24"/>
      <c r="H28" s="24"/>
      <c r="I28" s="15">
        <v>9000.0</v>
      </c>
      <c r="J28" s="15">
        <f t="shared" si="8"/>
        <v>9000</v>
      </c>
      <c r="K28" s="15">
        <f t="shared" si="9"/>
        <v>0</v>
      </c>
      <c r="L28" s="4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78">
        <v>0.7</v>
      </c>
      <c r="B29" s="10" t="s">
        <v>17</v>
      </c>
      <c r="C29" s="11" t="s">
        <v>15</v>
      </c>
      <c r="D29" s="15">
        <v>4000.0</v>
      </c>
      <c r="E29" s="15">
        <f t="shared" si="7"/>
        <v>2800</v>
      </c>
      <c r="F29" s="16"/>
      <c r="G29" s="24"/>
      <c r="H29" s="24"/>
      <c r="I29" s="15">
        <v>0.0</v>
      </c>
      <c r="J29" s="15">
        <f t="shared" si="8"/>
        <v>0</v>
      </c>
      <c r="K29" s="15">
        <f t="shared" si="9"/>
        <v>2800</v>
      </c>
      <c r="L29" s="4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78">
        <v>1.0</v>
      </c>
      <c r="B30" s="10" t="s">
        <v>17</v>
      </c>
      <c r="C30" s="11" t="s">
        <v>20</v>
      </c>
      <c r="D30" s="15">
        <v>1500.0</v>
      </c>
      <c r="E30" s="15">
        <f t="shared" si="7"/>
        <v>1500</v>
      </c>
      <c r="F30" s="16"/>
      <c r="G30" s="24"/>
      <c r="H30" s="24"/>
      <c r="I30" s="15">
        <v>0.0</v>
      </c>
      <c r="J30" s="15">
        <f t="shared" si="8"/>
        <v>0</v>
      </c>
      <c r="K30" s="15">
        <f t="shared" si="9"/>
        <v>1500</v>
      </c>
      <c r="L30" s="4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78">
        <v>3.0</v>
      </c>
      <c r="B31" s="10" t="s">
        <v>39</v>
      </c>
      <c r="C31" s="11" t="s">
        <v>149</v>
      </c>
      <c r="D31" s="15">
        <v>2500.0</v>
      </c>
      <c r="E31" s="15">
        <f t="shared" si="7"/>
        <v>7500</v>
      </c>
      <c r="F31" s="16"/>
      <c r="G31" s="24"/>
      <c r="H31" s="24"/>
      <c r="I31" s="15">
        <f>20000/12</f>
        <v>1666.666667</v>
      </c>
      <c r="J31" s="15">
        <f t="shared" si="8"/>
        <v>5000</v>
      </c>
      <c r="K31" s="15">
        <f t="shared" si="9"/>
        <v>2500</v>
      </c>
      <c r="L31" s="4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78">
        <v>0.2</v>
      </c>
      <c r="B32" s="10" t="s">
        <v>17</v>
      </c>
      <c r="C32" s="11" t="s">
        <v>165</v>
      </c>
      <c r="D32" s="15">
        <v>11000.0</v>
      </c>
      <c r="E32" s="15">
        <f t="shared" si="7"/>
        <v>2200</v>
      </c>
      <c r="F32" s="16"/>
      <c r="G32" s="24"/>
      <c r="H32" s="24"/>
      <c r="I32" s="15">
        <f>70000/7</f>
        <v>10000</v>
      </c>
      <c r="J32" s="15">
        <f t="shared" si="8"/>
        <v>2000</v>
      </c>
      <c r="K32" s="15">
        <f t="shared" si="9"/>
        <v>200</v>
      </c>
      <c r="L32" s="4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78">
        <v>2.0</v>
      </c>
      <c r="B33" s="10" t="s">
        <v>17</v>
      </c>
      <c r="C33" s="11" t="s">
        <v>69</v>
      </c>
      <c r="D33" s="15">
        <v>1200.0</v>
      </c>
      <c r="E33" s="15">
        <f t="shared" si="7"/>
        <v>2400</v>
      </c>
      <c r="F33" s="16"/>
      <c r="G33" s="24"/>
      <c r="H33" s="24"/>
      <c r="I33" s="15">
        <v>560.0</v>
      </c>
      <c r="J33" s="15">
        <f t="shared" si="8"/>
        <v>1120</v>
      </c>
      <c r="K33" s="15">
        <f t="shared" si="9"/>
        <v>1280</v>
      </c>
      <c r="L33" s="4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"/>
      <c r="B34" s="3"/>
      <c r="C34" s="2"/>
      <c r="D34" s="3"/>
      <c r="E34" s="3"/>
      <c r="F34" s="3"/>
      <c r="G34" s="2"/>
      <c r="H34" s="2"/>
      <c r="I34" s="3"/>
      <c r="J34" s="3"/>
      <c r="K34" s="3"/>
      <c r="L34" s="4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"/>
      <c r="B35" s="3"/>
      <c r="C35" s="2"/>
      <c r="D35" s="3"/>
      <c r="E35" s="15">
        <f>SUM(E26:E33)</f>
        <v>36550</v>
      </c>
      <c r="F35" s="3"/>
      <c r="G35" s="2"/>
      <c r="H35" s="2"/>
      <c r="I35" s="2"/>
      <c r="J35" s="2"/>
      <c r="K35" s="15">
        <f>SUM(K25:K33)</f>
        <v>18780</v>
      </c>
      <c r="L35" s="22">
        <f>K35/E35</f>
        <v>0.5138166895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33"/>
      <c r="B36" s="34"/>
      <c r="C36" s="2"/>
      <c r="D36" s="3"/>
      <c r="E36" s="3"/>
      <c r="F36" s="3"/>
      <c r="G36" s="2"/>
      <c r="H36" s="2"/>
      <c r="I36" s="2"/>
      <c r="J36" s="2"/>
      <c r="K36" s="3"/>
      <c r="L36" s="4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33"/>
      <c r="B37" s="34"/>
      <c r="C37" s="2"/>
      <c r="D37" s="3"/>
      <c r="E37" s="3"/>
      <c r="F37" s="3"/>
      <c r="G37" s="2"/>
      <c r="H37" s="2"/>
      <c r="I37" s="2"/>
      <c r="J37" s="2"/>
      <c r="K37" s="3"/>
      <c r="L37" s="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23" t="s">
        <v>84</v>
      </c>
      <c r="B38" s="23"/>
      <c r="C38" s="23"/>
      <c r="D38" s="25" t="s">
        <v>167</v>
      </c>
      <c r="E38" s="7">
        <v>46030.0</v>
      </c>
      <c r="F38" s="28"/>
      <c r="G38" s="24"/>
      <c r="H38" s="24"/>
      <c r="I38" s="16"/>
      <c r="J38" s="16"/>
      <c r="K38" s="16"/>
      <c r="L38" s="29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B39" s="24"/>
      <c r="C39" s="26"/>
      <c r="D39" s="24"/>
      <c r="E39" s="24"/>
      <c r="F39" s="24"/>
      <c r="G39" s="24"/>
      <c r="H39" s="24"/>
      <c r="I39" s="16"/>
      <c r="J39" s="16"/>
      <c r="K39" s="16"/>
      <c r="L39" s="29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5" t="s">
        <v>4</v>
      </c>
      <c r="B40" s="10" t="s">
        <v>5</v>
      </c>
      <c r="C40" s="11" t="s">
        <v>6</v>
      </c>
      <c r="D40" s="12" t="s">
        <v>7</v>
      </c>
      <c r="E40" s="10" t="s">
        <v>8</v>
      </c>
      <c r="F40" s="12"/>
      <c r="G40" s="24"/>
      <c r="H40" s="24"/>
      <c r="I40" s="12" t="s">
        <v>7</v>
      </c>
      <c r="J40" s="12" t="s">
        <v>8</v>
      </c>
      <c r="K40" s="12" t="s">
        <v>10</v>
      </c>
      <c r="L40" s="29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1.0</v>
      </c>
      <c r="B41" s="12" t="s">
        <v>42</v>
      </c>
      <c r="C41" s="14" t="s">
        <v>76</v>
      </c>
      <c r="D41" s="15">
        <v>14000.0</v>
      </c>
      <c r="E41" s="15">
        <f t="shared" ref="E41:E45" si="10">A41*D41</f>
        <v>14000</v>
      </c>
      <c r="F41" s="15"/>
      <c r="G41" s="24"/>
      <c r="H41" s="24"/>
      <c r="I41" s="16">
        <v>10000.0</v>
      </c>
      <c r="J41" s="16">
        <f t="shared" ref="J41:J45" si="11">I41*A41</f>
        <v>10000</v>
      </c>
      <c r="K41" s="16">
        <f t="shared" ref="K41:K45" si="12">E41-J41</f>
        <v>4000</v>
      </c>
      <c r="L41" s="30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1.0</v>
      </c>
      <c r="B42" s="12" t="s">
        <v>42</v>
      </c>
      <c r="C42" s="14" t="s">
        <v>66</v>
      </c>
      <c r="D42" s="15">
        <v>14000.0</v>
      </c>
      <c r="E42" s="15">
        <f t="shared" si="10"/>
        <v>14000</v>
      </c>
      <c r="F42" s="15"/>
      <c r="G42" s="24"/>
      <c r="H42" s="24"/>
      <c r="I42" s="16">
        <v>9000.0</v>
      </c>
      <c r="J42" s="16">
        <f t="shared" si="11"/>
        <v>9000</v>
      </c>
      <c r="K42" s="16">
        <f t="shared" si="12"/>
        <v>5000</v>
      </c>
      <c r="L42" s="30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0.5</v>
      </c>
      <c r="B43" s="12" t="s">
        <v>28</v>
      </c>
      <c r="C43" s="14" t="s">
        <v>172</v>
      </c>
      <c r="D43" s="15">
        <v>5500.0</v>
      </c>
      <c r="E43" s="15">
        <f t="shared" si="10"/>
        <v>2750</v>
      </c>
      <c r="F43" s="15"/>
      <c r="G43" s="24"/>
      <c r="H43" s="24"/>
      <c r="I43" s="16">
        <f>2610*2</f>
        <v>5220</v>
      </c>
      <c r="J43" s="16">
        <f t="shared" si="11"/>
        <v>2610</v>
      </c>
      <c r="K43" s="16">
        <f t="shared" si="12"/>
        <v>140</v>
      </c>
      <c r="L43" s="30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2.0</v>
      </c>
      <c r="B44" s="12" t="s">
        <v>17</v>
      </c>
      <c r="C44" s="14" t="s">
        <v>30</v>
      </c>
      <c r="D44" s="15">
        <v>1200.0</v>
      </c>
      <c r="E44" s="15">
        <f t="shared" si="10"/>
        <v>2400</v>
      </c>
      <c r="F44" s="15"/>
      <c r="G44" s="24"/>
      <c r="H44" s="24"/>
      <c r="I44" s="16">
        <f>10000/14</f>
        <v>714.2857143</v>
      </c>
      <c r="J44" s="16">
        <f t="shared" si="11"/>
        <v>1428.571429</v>
      </c>
      <c r="K44" s="16">
        <f t="shared" si="12"/>
        <v>971.4285714</v>
      </c>
      <c r="L44" s="30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2.12</v>
      </c>
      <c r="B45" s="12" t="s">
        <v>17</v>
      </c>
      <c r="C45" s="14" t="s">
        <v>62</v>
      </c>
      <c r="D45" s="15">
        <v>2000.0</v>
      </c>
      <c r="E45" s="15">
        <f t="shared" si="10"/>
        <v>4240</v>
      </c>
      <c r="F45" s="15"/>
      <c r="G45" s="24"/>
      <c r="H45" s="24"/>
      <c r="I45" s="16">
        <v>2000.0</v>
      </c>
      <c r="J45" s="16">
        <f t="shared" si="11"/>
        <v>4240</v>
      </c>
      <c r="K45" s="16">
        <f t="shared" si="12"/>
        <v>0</v>
      </c>
      <c r="L45" s="30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/>
      <c r="B46" s="12"/>
      <c r="C46" s="14"/>
      <c r="D46" s="15"/>
      <c r="E46" s="15"/>
      <c r="F46" s="15"/>
      <c r="G46" s="24"/>
      <c r="H46" s="24"/>
      <c r="I46" s="15"/>
      <c r="J46" s="16"/>
      <c r="K46" s="16"/>
      <c r="L46" s="30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/>
      <c r="B47" s="12"/>
      <c r="C47" s="14"/>
      <c r="D47" s="15"/>
      <c r="E47" s="16">
        <f>SUM(E41:E45)</f>
        <v>37390</v>
      </c>
      <c r="F47" s="16"/>
      <c r="G47" s="24"/>
      <c r="H47" s="24"/>
      <c r="I47" s="16"/>
      <c r="J47" s="16"/>
      <c r="K47" s="16">
        <f>SUM(K41:K45)</f>
        <v>10111.42857</v>
      </c>
      <c r="L47" s="30">
        <f>K47/E47</f>
        <v>0.2704313606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33"/>
      <c r="B48" s="34"/>
      <c r="C48" s="2"/>
      <c r="D48" s="3"/>
      <c r="E48" s="3"/>
      <c r="F48" s="3"/>
      <c r="G48" s="2"/>
      <c r="H48" s="2"/>
      <c r="I48" s="2"/>
      <c r="J48" s="2"/>
      <c r="K48" s="3"/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33"/>
      <c r="B49" s="34"/>
      <c r="C49" s="2"/>
      <c r="D49" s="3"/>
      <c r="E49" s="3"/>
      <c r="F49" s="3"/>
      <c r="G49" s="2"/>
      <c r="H49" s="2"/>
      <c r="I49" s="2"/>
      <c r="J49" s="2"/>
      <c r="K49" s="3"/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33"/>
      <c r="B50" s="34"/>
      <c r="C50" s="2"/>
      <c r="D50" s="3"/>
      <c r="E50" s="3"/>
      <c r="F50" s="3"/>
      <c r="G50" s="2"/>
      <c r="H50" s="2"/>
      <c r="I50" s="2"/>
      <c r="J50" s="2"/>
      <c r="K50" s="3"/>
      <c r="L50" s="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33" t="s">
        <v>88</v>
      </c>
      <c r="B51" s="34">
        <f>F18+E35+E47</f>
        <v>915300</v>
      </c>
      <c r="C51" s="2"/>
      <c r="D51" s="3"/>
      <c r="E51" s="3"/>
      <c r="F51" s="3"/>
      <c r="G51" s="2"/>
      <c r="H51" s="2"/>
      <c r="I51" s="2"/>
      <c r="J51" s="2"/>
      <c r="K51" s="3"/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"/>
      <c r="B52" s="2"/>
      <c r="C52" s="2"/>
      <c r="D52" s="3"/>
      <c r="E52" s="3"/>
      <c r="F52" s="3"/>
      <c r="G52" s="2"/>
      <c r="H52" s="2"/>
      <c r="I52" s="2"/>
      <c r="J52" s="2"/>
      <c r="K52" s="3"/>
      <c r="L52" s="4"/>
      <c r="M52" s="2"/>
      <c r="N52" s="2"/>
      <c r="O52" s="2"/>
      <c r="P52" s="2"/>
      <c r="Q52" s="3"/>
      <c r="R52" s="9"/>
      <c r="S52" s="3"/>
      <c r="T52" s="3"/>
      <c r="U52" s="1"/>
      <c r="V52" s="3"/>
      <c r="W52" s="3"/>
      <c r="X52" s="3"/>
      <c r="Y52" s="3"/>
      <c r="Z52" s="3"/>
    </row>
    <row r="53">
      <c r="A53" s="33" t="s">
        <v>89</v>
      </c>
      <c r="B53" s="34">
        <f>K47+K35+K18</f>
        <v>422651.4286</v>
      </c>
      <c r="C53" s="2"/>
      <c r="D53" s="3"/>
      <c r="E53" s="3"/>
      <c r="F53" s="3"/>
      <c r="G53" s="2"/>
      <c r="H53" s="2"/>
      <c r="I53" s="2"/>
      <c r="J53" s="2"/>
      <c r="K53" s="3"/>
      <c r="L53" s="4"/>
      <c r="M53" s="2"/>
      <c r="N53" s="2"/>
      <c r="O53" s="2"/>
      <c r="P53" s="2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"/>
      <c r="B54" s="2"/>
      <c r="C54" s="2"/>
      <c r="D54" s="3"/>
      <c r="E54" s="3"/>
      <c r="F54" s="3"/>
      <c r="G54" s="2"/>
      <c r="H54" s="2"/>
      <c r="I54" s="2"/>
      <c r="J54" s="2"/>
      <c r="K54" s="3"/>
      <c r="L54" s="4"/>
      <c r="M54" s="2"/>
      <c r="N54" s="2"/>
      <c r="O54" s="2"/>
      <c r="P54" s="2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33" t="s">
        <v>90</v>
      </c>
      <c r="B55" s="35">
        <f>B53/B51</f>
        <v>0.461762732</v>
      </c>
      <c r="C55" s="2"/>
      <c r="D55" s="3"/>
      <c r="E55" s="3"/>
      <c r="F55" s="3"/>
      <c r="G55" s="2"/>
      <c r="H55" s="2"/>
      <c r="I55" s="2"/>
      <c r="J55" s="2"/>
      <c r="K55" s="3"/>
      <c r="L55" s="4"/>
      <c r="M55" s="2"/>
      <c r="N55" s="2"/>
      <c r="O55" s="2"/>
      <c r="P55" s="2"/>
      <c r="Q55" s="2"/>
      <c r="R55" s="2"/>
      <c r="S55" s="3"/>
      <c r="T55" s="3"/>
      <c r="U55" s="1"/>
      <c r="V55" s="3"/>
      <c r="W55" s="3"/>
      <c r="X55" s="2"/>
      <c r="Y55" s="2"/>
      <c r="Z55" s="2"/>
    </row>
    <row r="56">
      <c r="A56" s="1"/>
      <c r="B56" s="2"/>
      <c r="C56" s="2"/>
      <c r="D56" s="3"/>
      <c r="E56" s="3"/>
      <c r="F56" s="3"/>
      <c r="G56" s="2"/>
      <c r="H56" s="2"/>
      <c r="I56" s="2"/>
      <c r="J56" s="2"/>
      <c r="K56" s="3"/>
      <c r="L56" s="4"/>
      <c r="M56" s="2"/>
      <c r="N56" s="2"/>
      <c r="O56" s="2"/>
      <c r="P56" s="2"/>
      <c r="Q56" s="3"/>
      <c r="R56" s="9"/>
      <c r="S56" s="3"/>
      <c r="T56" s="3"/>
      <c r="U56" s="1"/>
      <c r="V56" s="3"/>
      <c r="W56" s="3"/>
      <c r="X56" s="3"/>
      <c r="Y56" s="3"/>
      <c r="Z56" s="3"/>
    </row>
    <row r="57" ht="15.75" customHeight="1">
      <c r="A57" s="36" t="s">
        <v>91</v>
      </c>
      <c r="C57" s="37">
        <v>31.0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9"/>
      <c r="S57" s="3"/>
      <c r="T57" s="3"/>
      <c r="U57" s="1"/>
      <c r="V57" s="3"/>
      <c r="W57" s="3"/>
      <c r="X57" s="3"/>
      <c r="Y57" s="3"/>
      <c r="Z57" s="3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2"/>
      <c r="M58" s="2"/>
      <c r="N58" s="2"/>
      <c r="O58" s="2"/>
      <c r="P58" s="2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 ht="15.75" customHeight="1">
      <c r="A59" s="1"/>
      <c r="B59" s="2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 ht="15.75" customHeight="1">
      <c r="A60" s="1"/>
      <c r="B60" s="1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2"/>
      <c r="S61" s="3"/>
      <c r="T61" s="3"/>
      <c r="U61" s="1"/>
      <c r="X61" s="3"/>
      <c r="Y61" s="3"/>
      <c r="Z61" s="3"/>
    </row>
    <row r="62" ht="15.75" customHeight="1">
      <c r="A62" s="39"/>
      <c r="B62" s="40" t="s">
        <v>92</v>
      </c>
      <c r="C62" s="41" t="s">
        <v>93</v>
      </c>
      <c r="D62" s="42" t="s">
        <v>94</v>
      </c>
      <c r="E62" s="42" t="s">
        <v>95</v>
      </c>
      <c r="F62" s="79" t="s">
        <v>96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2"/>
      <c r="S62" s="3"/>
      <c r="T62" s="3"/>
      <c r="U62" s="1"/>
      <c r="V62" s="3"/>
      <c r="W62" s="9"/>
      <c r="X62" s="3"/>
      <c r="Y62" s="3"/>
      <c r="Z62" s="3"/>
    </row>
    <row r="63" ht="15.75" customHeight="1">
      <c r="A63" s="43"/>
      <c r="B63" s="44">
        <f>'07-01-2026 '!B138</f>
        <v>2619750</v>
      </c>
      <c r="C63" s="44">
        <f>'07-01-2026 '!C138</f>
        <v>4083.6</v>
      </c>
      <c r="D63" s="44">
        <f>'07-01-2026 '!D138</f>
        <v>440685.6749</v>
      </c>
      <c r="E63" s="44">
        <f>'07-01-2026 '!E138</f>
        <v>0</v>
      </c>
      <c r="F63" s="44">
        <f>'07-01-2026 '!F138</f>
        <v>8500000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 ht="15.75" customHeight="1">
      <c r="A64" s="1"/>
      <c r="B64" s="46"/>
      <c r="C64" s="46"/>
      <c r="D64" s="46"/>
      <c r="E64" s="4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 ht="15.75" customHeight="1">
      <c r="A65" s="40" t="s">
        <v>97</v>
      </c>
      <c r="B65" s="47"/>
      <c r="C65" s="47"/>
      <c r="D65" s="47"/>
      <c r="E65" s="47"/>
      <c r="F65" s="48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 ht="15.75" customHeight="1">
      <c r="A66" s="13" t="s">
        <v>98</v>
      </c>
      <c r="B66" s="49">
        <v>36000.0</v>
      </c>
      <c r="C66" s="49">
        <v>0.0</v>
      </c>
      <c r="D66" s="49">
        <v>0.0</v>
      </c>
      <c r="E66" s="49">
        <v>0.0</v>
      </c>
      <c r="F66" s="49">
        <v>0.0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 ht="15.75" customHeight="1">
      <c r="A67" s="13" t="s">
        <v>99</v>
      </c>
      <c r="B67" s="49">
        <v>0.0</v>
      </c>
      <c r="C67" s="49">
        <v>0.0</v>
      </c>
      <c r="D67" s="49">
        <v>0.0</v>
      </c>
      <c r="E67" s="49">
        <v>0.0</v>
      </c>
      <c r="F67" s="49">
        <v>0.0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 ht="15.75" customHeight="1">
      <c r="A68" s="13" t="s">
        <v>100</v>
      </c>
      <c r="B68" s="49">
        <v>0.0</v>
      </c>
      <c r="C68" s="49">
        <v>0.0</v>
      </c>
      <c r="D68" s="49">
        <v>1000000.0</v>
      </c>
      <c r="E68" s="49">
        <v>0.0</v>
      </c>
      <c r="F68" s="49">
        <v>1000000.0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 ht="15.75" customHeight="1">
      <c r="A69" s="13" t="s">
        <v>101</v>
      </c>
      <c r="B69" s="49">
        <v>115000.0</v>
      </c>
      <c r="C69" s="49">
        <v>0.0</v>
      </c>
      <c r="D69" s="49">
        <v>0.0</v>
      </c>
      <c r="E69" s="49">
        <v>0.0</v>
      </c>
      <c r="F69" s="49">
        <v>0.0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13" t="s">
        <v>102</v>
      </c>
      <c r="B70" s="49">
        <v>0.0</v>
      </c>
      <c r="C70" s="49">
        <v>0.0</v>
      </c>
      <c r="D70" s="49">
        <v>0.0</v>
      </c>
      <c r="E70" s="49">
        <v>0.0</v>
      </c>
      <c r="F70" s="49">
        <v>0.0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13" t="s">
        <v>103</v>
      </c>
      <c r="B71" s="49">
        <v>0.0</v>
      </c>
      <c r="C71" s="50">
        <f>C66*0.6%+C69*0.6%</f>
        <v>0</v>
      </c>
      <c r="D71" s="49">
        <f>SUM(D66:D68)*0.6%</f>
        <v>6000</v>
      </c>
      <c r="E71" s="49">
        <v>0.0</v>
      </c>
      <c r="F71" s="49">
        <v>0.0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1"/>
      <c r="B72" s="46"/>
      <c r="C72" s="46"/>
      <c r="D72" s="46"/>
      <c r="E72" s="4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 ht="15.75" customHeight="1">
      <c r="A73" s="51" t="s">
        <v>8</v>
      </c>
      <c r="B73" s="52">
        <f>SUM(B63:B71)</f>
        <v>2770750</v>
      </c>
      <c r="C73" s="52">
        <f>C63+C66+C69+C70-C71+C67</f>
        <v>4083.6</v>
      </c>
      <c r="D73" s="53">
        <f>D63+D66+D69+D70-D71+D68</f>
        <v>1434685.675</v>
      </c>
      <c r="E73" s="52">
        <f>E63+E66+E69+E70-E71</f>
        <v>0</v>
      </c>
      <c r="F73" s="54">
        <f>F63+F66+F69+F70-F71-D68</f>
        <v>7500000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 ht="15.75" customHeight="1">
      <c r="A74" s="1"/>
      <c r="B74" s="1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 ht="15.75" customHeight="1">
      <c r="A75" s="40" t="s">
        <v>104</v>
      </c>
      <c r="B75" s="47"/>
      <c r="C75" s="47"/>
      <c r="D75" s="47"/>
      <c r="E75" s="47"/>
      <c r="F75" s="48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 ht="15.75" customHeight="1">
      <c r="A76" s="13" t="s">
        <v>105</v>
      </c>
      <c r="B76" s="55">
        <v>1000.0</v>
      </c>
      <c r="C76" s="55">
        <v>0.0</v>
      </c>
      <c r="D76" s="55">
        <v>0.0</v>
      </c>
      <c r="E76" s="55">
        <v>0.0</v>
      </c>
      <c r="F76" s="26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 ht="15.75" customHeight="1">
      <c r="A77" s="13" t="s">
        <v>106</v>
      </c>
      <c r="B77" s="49">
        <v>9000.0</v>
      </c>
      <c r="C77" s="49">
        <v>0.0</v>
      </c>
      <c r="D77" s="49">
        <v>0.0</v>
      </c>
      <c r="E77" s="49">
        <v>0.0</v>
      </c>
      <c r="F77" s="26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 ht="15.75" customHeight="1">
      <c r="A78" s="13" t="s">
        <v>107</v>
      </c>
      <c r="B78" s="55">
        <v>0.0</v>
      </c>
      <c r="C78" s="55">
        <v>0.0</v>
      </c>
      <c r="D78" s="49">
        <v>0.0</v>
      </c>
      <c r="E78" s="55">
        <v>0.0</v>
      </c>
      <c r="F78" s="26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 ht="15.75" customHeight="1">
      <c r="A79" s="13" t="s">
        <v>108</v>
      </c>
      <c r="B79" s="55">
        <v>2800.0</v>
      </c>
      <c r="C79" s="55">
        <v>0.0</v>
      </c>
      <c r="D79" s="55">
        <v>0.0</v>
      </c>
      <c r="E79" s="55">
        <v>0.0</v>
      </c>
      <c r="F79" s="26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 ht="15.75" customHeight="1">
      <c r="A80" s="13" t="s">
        <v>109</v>
      </c>
      <c r="B80" s="55">
        <v>0.0</v>
      </c>
      <c r="C80" s="55">
        <f>51500+153600</f>
        <v>205100</v>
      </c>
      <c r="D80" s="55">
        <v>0.0</v>
      </c>
      <c r="E80" s="55">
        <v>0.0</v>
      </c>
      <c r="F80" s="58">
        <v>3000000.0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 ht="15.75" customHeight="1">
      <c r="A81" s="13" t="s">
        <v>110</v>
      </c>
      <c r="B81" s="55">
        <v>0.0</v>
      </c>
      <c r="C81" s="55">
        <v>25000.0</v>
      </c>
      <c r="D81" s="55">
        <v>0.0</v>
      </c>
      <c r="E81" s="55">
        <v>0.0</v>
      </c>
      <c r="F81" s="26"/>
      <c r="G81" s="2"/>
      <c r="H81" s="56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 ht="15.75" customHeight="1">
      <c r="A82" s="13" t="s">
        <v>111</v>
      </c>
      <c r="B82" s="49">
        <v>30000.0</v>
      </c>
      <c r="C82" s="49">
        <v>0.0</v>
      </c>
      <c r="D82" s="49">
        <v>0.0</v>
      </c>
      <c r="E82" s="49">
        <v>0.0</v>
      </c>
      <c r="F82" s="26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 ht="15.75" customHeight="1">
      <c r="A83" s="13" t="s">
        <v>112</v>
      </c>
      <c r="B83" s="49">
        <v>0.0</v>
      </c>
      <c r="C83" s="49">
        <v>0.0</v>
      </c>
      <c r="D83" s="49">
        <v>0.0</v>
      </c>
      <c r="E83" s="49">
        <v>0.0</v>
      </c>
      <c r="F83" s="26"/>
      <c r="G83" s="2"/>
      <c r="H83" s="56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13" t="s">
        <v>113</v>
      </c>
      <c r="B84" s="49">
        <v>0.0</v>
      </c>
      <c r="C84" s="49">
        <v>0.0</v>
      </c>
      <c r="D84" s="49">
        <v>0.0</v>
      </c>
      <c r="E84" s="49">
        <v>0.0</v>
      </c>
      <c r="F84" s="26"/>
      <c r="G84" s="2"/>
      <c r="H84" s="56"/>
      <c r="I84" s="2"/>
      <c r="J84" s="2"/>
      <c r="K84" s="2"/>
      <c r="L84" s="2"/>
      <c r="M84" s="2"/>
      <c r="N84" s="2"/>
      <c r="O84" s="2"/>
      <c r="P84" s="2"/>
      <c r="Q84" s="3"/>
      <c r="R84" s="9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13" t="s">
        <v>114</v>
      </c>
      <c r="B85" s="55">
        <v>0.0</v>
      </c>
      <c r="C85" s="55">
        <v>0.0</v>
      </c>
      <c r="D85" s="55">
        <v>0.0</v>
      </c>
      <c r="E85" s="55">
        <v>0.0</v>
      </c>
      <c r="F85" s="26"/>
      <c r="G85" s="2"/>
      <c r="H85" s="56"/>
      <c r="I85" s="2"/>
      <c r="J85" s="2"/>
      <c r="K85" s="2"/>
      <c r="L85" s="2"/>
      <c r="M85" s="2"/>
      <c r="N85" s="2"/>
      <c r="O85" s="2"/>
      <c r="P85" s="2"/>
      <c r="Q85" s="3"/>
      <c r="R85" s="9"/>
      <c r="S85" s="3"/>
      <c r="T85" s="3"/>
      <c r="U85" s="1"/>
      <c r="V85" s="3"/>
      <c r="W85" s="3"/>
      <c r="X85" s="3"/>
      <c r="Y85" s="3"/>
      <c r="Z85" s="3"/>
    </row>
    <row r="86" ht="15.75" customHeight="1">
      <c r="A86" s="13" t="s">
        <v>115</v>
      </c>
      <c r="B86" s="55">
        <v>0.0</v>
      </c>
      <c r="C86" s="55">
        <v>0.0</v>
      </c>
      <c r="D86" s="55">
        <v>0.0</v>
      </c>
      <c r="E86" s="55">
        <v>0.0</v>
      </c>
      <c r="F86" s="26"/>
      <c r="G86" s="2"/>
      <c r="H86" s="56"/>
      <c r="I86" s="2"/>
      <c r="J86" s="2"/>
      <c r="K86" s="2"/>
      <c r="L86" s="2"/>
      <c r="M86" s="2"/>
      <c r="N86" s="2"/>
      <c r="O86" s="2"/>
      <c r="P86" s="2"/>
      <c r="Q86" s="3"/>
      <c r="R86" s="9"/>
      <c r="S86" s="3"/>
      <c r="T86" s="3"/>
      <c r="U86" s="1"/>
      <c r="V86" s="3"/>
      <c r="W86" s="3"/>
      <c r="X86" s="3"/>
      <c r="Y86" s="3"/>
      <c r="Z86" s="3"/>
    </row>
    <row r="87" ht="15.75" customHeight="1">
      <c r="A87" s="13" t="s">
        <v>116</v>
      </c>
      <c r="B87" s="50">
        <v>0.0</v>
      </c>
      <c r="C87" s="50">
        <v>0.0</v>
      </c>
      <c r="D87" s="49">
        <v>0.0</v>
      </c>
      <c r="E87" s="49">
        <v>0.0</v>
      </c>
      <c r="F87" s="26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13" t="s">
        <v>117</v>
      </c>
      <c r="B88" s="50">
        <v>0.0</v>
      </c>
      <c r="C88" s="50">
        <v>0.0</v>
      </c>
      <c r="D88" s="49">
        <v>0.0</v>
      </c>
      <c r="E88" s="49">
        <v>0.0</v>
      </c>
      <c r="F88" s="26"/>
      <c r="G88" s="2"/>
      <c r="H88" s="56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13" t="s">
        <v>118</v>
      </c>
      <c r="B89" s="50">
        <v>0.0</v>
      </c>
      <c r="C89" s="50">
        <v>0.0</v>
      </c>
      <c r="D89" s="49">
        <v>0.0</v>
      </c>
      <c r="E89" s="49">
        <v>0.0</v>
      </c>
      <c r="F89" s="26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13" t="s">
        <v>119</v>
      </c>
      <c r="B90" s="50">
        <v>0.0</v>
      </c>
      <c r="C90" s="50">
        <v>0.0</v>
      </c>
      <c r="D90" s="49">
        <v>0.0</v>
      </c>
      <c r="E90" s="49">
        <v>0.0</v>
      </c>
      <c r="F90" s="26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9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13" t="s">
        <v>173</v>
      </c>
      <c r="B91" s="50">
        <v>22000.0</v>
      </c>
      <c r="C91" s="50">
        <v>0.0</v>
      </c>
      <c r="D91" s="49">
        <v>0.0</v>
      </c>
      <c r="E91" s="49">
        <v>0.0</v>
      </c>
      <c r="F91" s="26"/>
      <c r="G91" s="2"/>
      <c r="H91" s="2"/>
      <c r="I91" s="2"/>
      <c r="J91" s="2"/>
      <c r="K91" s="2"/>
      <c r="L91" s="2"/>
      <c r="M91" s="2">
        <f>9*30000</f>
        <v>270000</v>
      </c>
      <c r="N91" s="2"/>
      <c r="O91" s="2"/>
      <c r="P91" s="2"/>
      <c r="Q91" s="3"/>
      <c r="R91" s="9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13" t="s">
        <v>121</v>
      </c>
      <c r="B92" s="50">
        <v>0.0</v>
      </c>
      <c r="C92" s="50">
        <v>0.0</v>
      </c>
      <c r="D92" s="49">
        <v>0.0</v>
      </c>
      <c r="E92" s="49">
        <v>0.0</v>
      </c>
      <c r="F92" s="26"/>
      <c r="G92" s="2"/>
      <c r="H92" s="2"/>
      <c r="I92" s="2"/>
      <c r="J92" s="2"/>
      <c r="K92" s="2"/>
      <c r="L92" s="2"/>
      <c r="M92" s="2">
        <f>4*42000</f>
        <v>168000</v>
      </c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13" t="s">
        <v>150</v>
      </c>
      <c r="B93" s="49">
        <v>0.0</v>
      </c>
      <c r="C93" s="49">
        <v>0.0</v>
      </c>
      <c r="D93" s="49">
        <v>0.0</v>
      </c>
      <c r="E93" s="49">
        <v>0.0</v>
      </c>
      <c r="F93" s="26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13" t="s">
        <v>123</v>
      </c>
      <c r="B94" s="49">
        <v>0.0</v>
      </c>
      <c r="C94" s="49">
        <v>0.0</v>
      </c>
      <c r="D94" s="49">
        <v>0.0</v>
      </c>
      <c r="E94" s="49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3" t="s">
        <v>124</v>
      </c>
      <c r="B95" s="49">
        <v>0.0</v>
      </c>
      <c r="C95" s="49">
        <v>0.0</v>
      </c>
      <c r="D95" s="49">
        <v>0.0</v>
      </c>
      <c r="E95" s="49">
        <v>0.0</v>
      </c>
      <c r="F95" s="26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13" t="s">
        <v>125</v>
      </c>
      <c r="B96" s="50">
        <v>0.0</v>
      </c>
      <c r="C96" s="50">
        <v>0.0</v>
      </c>
      <c r="D96" s="49">
        <f>SUM(D66:D68)*2%</f>
        <v>20000</v>
      </c>
      <c r="E96" s="49">
        <v>0.0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3" t="s">
        <v>126</v>
      </c>
      <c r="B97" s="49">
        <v>0.0</v>
      </c>
      <c r="C97" s="49">
        <v>0.0</v>
      </c>
      <c r="D97" s="49">
        <v>0.0</v>
      </c>
      <c r="E97" s="49">
        <v>0.0</v>
      </c>
      <c r="F97" s="26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13" t="s">
        <v>127</v>
      </c>
      <c r="B98" s="49">
        <v>0.0</v>
      </c>
      <c r="C98" s="49">
        <v>0.0</v>
      </c>
      <c r="D98" s="49">
        <v>0.0</v>
      </c>
      <c r="E98" s="49">
        <v>0.0</v>
      </c>
      <c r="F98" s="26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128</v>
      </c>
      <c r="B99" s="49">
        <v>0.0</v>
      </c>
      <c r="C99" s="49">
        <v>0.0</v>
      </c>
      <c r="D99" s="49">
        <v>0.0</v>
      </c>
      <c r="E99" s="49">
        <v>0.0</v>
      </c>
      <c r="F99" s="26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3" t="s">
        <v>129</v>
      </c>
      <c r="B100" s="49">
        <v>0.0</v>
      </c>
      <c r="C100" s="49">
        <v>0.0</v>
      </c>
      <c r="D100" s="49">
        <v>0.0</v>
      </c>
      <c r="E100" s="49">
        <v>0.0</v>
      </c>
      <c r="F100" s="2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57"/>
      <c r="B101" s="49"/>
      <c r="C101" s="49"/>
      <c r="D101" s="49"/>
      <c r="E101" s="49"/>
      <c r="F101" s="2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130</v>
      </c>
      <c r="B102" s="50">
        <v>0.0</v>
      </c>
      <c r="C102" s="50">
        <f>SUM(C76:C99)*0.6%</f>
        <v>1380.6</v>
      </c>
      <c r="D102" s="50">
        <f>SUM(D76:D99)*0.6%+(D103*0.6%)</f>
        <v>1920</v>
      </c>
      <c r="E102" s="50">
        <f>(E80*0.6%)+(E81*0.6%)+(E82*0.6%)+(E85*0.6%)+(E86*0.6%)</f>
        <v>0</v>
      </c>
      <c r="F102" s="2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131</v>
      </c>
      <c r="B103" s="50">
        <v>0.0</v>
      </c>
      <c r="C103" s="50">
        <v>300000.0</v>
      </c>
      <c r="D103" s="50">
        <v>300000.0</v>
      </c>
      <c r="E103" s="50">
        <f>SUM(E77:E101)*0.6%+(E104*0.6%)</f>
        <v>0</v>
      </c>
      <c r="F103" s="5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57"/>
      <c r="B104" s="57"/>
      <c r="C104" s="26"/>
      <c r="D104" s="2"/>
      <c r="E104" s="26"/>
      <c r="F104" s="2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59" t="s">
        <v>132</v>
      </c>
      <c r="B105" s="60">
        <f>SUM(B76:B104)</f>
        <v>64800</v>
      </c>
      <c r="C105" s="60">
        <f>SUM(C76:C102)</f>
        <v>231480.6</v>
      </c>
      <c r="D105" s="60">
        <f>SUM(D76:D103)</f>
        <v>321920</v>
      </c>
      <c r="E105" s="60">
        <f>E87+E91+E102-E103</f>
        <v>0</v>
      </c>
      <c r="F105" s="61">
        <f>F80</f>
        <v>3000000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57"/>
      <c r="B106" s="57"/>
      <c r="C106" s="26"/>
      <c r="D106" s="26"/>
      <c r="E106" s="26"/>
      <c r="F106" s="2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59" t="s">
        <v>133</v>
      </c>
      <c r="B107" s="62">
        <f>B73-B105</f>
        <v>2705950</v>
      </c>
      <c r="C107" s="63">
        <f>C73-C105+C103</f>
        <v>72603</v>
      </c>
      <c r="D107" s="63">
        <f t="shared" ref="D107:F107" si="13">D73-D105</f>
        <v>1112765.675</v>
      </c>
      <c r="E107" s="64">
        <f t="shared" si="13"/>
        <v>0</v>
      </c>
      <c r="F107" s="77">
        <f t="shared" si="13"/>
        <v>4500000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65" t="s">
        <v>134</v>
      </c>
      <c r="B109" s="66">
        <f>79400-B79-B76+B69-B77-B91</f>
        <v>159600</v>
      </c>
      <c r="C109" s="46"/>
      <c r="D109" s="46"/>
      <c r="E109" s="46"/>
      <c r="F109" s="4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9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65" t="s">
        <v>135</v>
      </c>
      <c r="B110" s="66">
        <f>2528350+12000+B66-B82</f>
        <v>2546350</v>
      </c>
      <c r="C110" s="2"/>
      <c r="D110" s="2"/>
      <c r="E110" s="2"/>
      <c r="F110" s="2"/>
      <c r="G110" s="65" t="s">
        <v>2</v>
      </c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2"/>
      <c r="B111" s="46" t="s">
        <v>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2"/>
      <c r="B112" s="46">
        <f>SUM(B109:B110)</f>
        <v>2705950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9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9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9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9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9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9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9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9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9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9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9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9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9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9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9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2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"/>
      <c r="R185" s="2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3"/>
      <c r="T186" s="3"/>
      <c r="U186" s="9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9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9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9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9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9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9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9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3"/>
      <c r="T228" s="3"/>
      <c r="U228" s="9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9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9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46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46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46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46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46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46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46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46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46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46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46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46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46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46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46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46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46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46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46"/>
      <c r="R273" s="46"/>
      <c r="S273" s="3"/>
      <c r="T273" s="3"/>
      <c r="U273" s="9"/>
      <c r="V273" s="3"/>
      <c r="W273" s="3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9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9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46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46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46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46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46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46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9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9"/>
      <c r="T319" s="3"/>
      <c r="U319" s="2"/>
      <c r="V319" s="3"/>
      <c r="W319" s="3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9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9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9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9"/>
      <c r="T336" s="3"/>
      <c r="U336" s="2"/>
      <c r="V336" s="3"/>
      <c r="W336" s="3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9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9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9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9"/>
      <c r="T347" s="3"/>
      <c r="U347" s="2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9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9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3"/>
      <c r="T363" s="3"/>
      <c r="U363" s="9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9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3"/>
      <c r="T377" s="9"/>
      <c r="U377" s="2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9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9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9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9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3"/>
      <c r="T389" s="9"/>
      <c r="U389" s="2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9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9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67"/>
      <c r="R404" s="2"/>
      <c r="S404" s="2"/>
      <c r="T404" s="3"/>
      <c r="U404" s="2"/>
      <c r="V404" s="2"/>
      <c r="W404" s="2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3"/>
      <c r="T405" s="3"/>
      <c r="U405" s="3"/>
      <c r="V405" s="2"/>
      <c r="W405" s="2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8"/>
      <c r="R407" s="38"/>
      <c r="S407" s="38"/>
      <c r="T407" s="38"/>
      <c r="U407" s="38"/>
      <c r="V407" s="38"/>
      <c r="W407" s="38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3"/>
      <c r="T408" s="3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"/>
      <c r="R409" s="2"/>
      <c r="S409" s="3"/>
      <c r="T409" s="3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68"/>
      <c r="R411" s="69"/>
      <c r="S411" s="70"/>
      <c r="T411" s="70"/>
      <c r="U411" s="70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1"/>
      <c r="R412" s="71"/>
      <c r="S412" s="71"/>
      <c r="T412" s="71"/>
      <c r="U412" s="71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46"/>
      <c r="R413" s="46"/>
      <c r="S413" s="46"/>
      <c r="T413" s="46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46"/>
      <c r="R415" s="46"/>
      <c r="S415" s="46"/>
      <c r="T415" s="46"/>
      <c r="U415" s="46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46"/>
      <c r="R416" s="46"/>
      <c r="S416" s="46"/>
      <c r="T416" s="46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46"/>
      <c r="R417" s="46"/>
      <c r="S417" s="46"/>
      <c r="T417" s="46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46"/>
      <c r="R418" s="46"/>
      <c r="S418" s="46"/>
      <c r="T418" s="46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46"/>
      <c r="R419" s="46"/>
      <c r="S419" s="46"/>
      <c r="T419" s="46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2"/>
      <c r="R420" s="72"/>
      <c r="S420" s="72"/>
      <c r="T420" s="72"/>
      <c r="U420" s="73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"/>
      <c r="R421" s="2"/>
      <c r="S421" s="3"/>
      <c r="T421" s="3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56"/>
      <c r="R423" s="56"/>
      <c r="S423" s="56"/>
      <c r="T423" s="56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56"/>
      <c r="R424" s="56"/>
      <c r="S424" s="56"/>
      <c r="T424" s="56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56"/>
      <c r="R425" s="56"/>
      <c r="S425" s="56"/>
      <c r="T425" s="56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56"/>
      <c r="R426" s="56"/>
      <c r="S426" s="56"/>
      <c r="T426" s="56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56"/>
      <c r="R427" s="56"/>
      <c r="S427" s="56"/>
      <c r="T427" s="56"/>
      <c r="U427" s="2"/>
      <c r="V427" s="2"/>
      <c r="W427" s="56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56"/>
      <c r="R428" s="56"/>
      <c r="S428" s="56"/>
      <c r="T428" s="56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56"/>
      <c r="R429" s="56"/>
      <c r="S429" s="56"/>
      <c r="T429" s="56"/>
      <c r="U429" s="2"/>
      <c r="V429" s="2"/>
      <c r="W429" s="56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56"/>
      <c r="R430" s="56"/>
      <c r="S430" s="56"/>
      <c r="T430" s="56"/>
      <c r="U430" s="2"/>
      <c r="V430" s="2"/>
      <c r="W430" s="56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6"/>
      <c r="R431" s="46"/>
      <c r="S431" s="46"/>
      <c r="T431" s="46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"/>
      <c r="R432" s="46"/>
      <c r="S432" s="46"/>
      <c r="T432" s="46"/>
      <c r="U432" s="2"/>
      <c r="V432" s="2"/>
      <c r="W432" s="56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6"/>
      <c r="R433" s="46"/>
      <c r="S433" s="46"/>
      <c r="T433" s="46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"/>
      <c r="R434" s="46"/>
      <c r="S434" s="46"/>
      <c r="T434" s="46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6"/>
      <c r="R435" s="46"/>
      <c r="S435" s="46"/>
      <c r="T435" s="46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46"/>
      <c r="R436" s="46"/>
      <c r="S436" s="46"/>
      <c r="T436" s="46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46"/>
      <c r="R437" s="46"/>
      <c r="S437" s="46"/>
      <c r="T437" s="46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46"/>
      <c r="R438" s="46"/>
      <c r="S438" s="46"/>
      <c r="T438" s="46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46"/>
      <c r="R439" s="46"/>
      <c r="S439" s="46"/>
      <c r="T439" s="46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"/>
      <c r="R440" s="46"/>
      <c r="S440" s="46"/>
      <c r="T440" s="46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2"/>
      <c r="R442" s="72"/>
      <c r="S442" s="72"/>
      <c r="T442" s="72"/>
      <c r="U442" s="73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1"/>
      <c r="R444" s="72"/>
      <c r="S444" s="72"/>
      <c r="T444" s="74"/>
      <c r="U444" s="74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6"/>
      <c r="R446" s="46"/>
      <c r="S446" s="46"/>
      <c r="T446" s="46"/>
      <c r="U446" s="46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</sheetData>
  <mergeCells count="8">
    <mergeCell ref="I3:K3"/>
    <mergeCell ref="A57:B57"/>
    <mergeCell ref="U61:W61"/>
    <mergeCell ref="A62:A63"/>
    <mergeCell ref="A65:F65"/>
    <mergeCell ref="A75:F75"/>
    <mergeCell ref="U115:W115"/>
    <mergeCell ref="U150:W150"/>
  </mergeCells>
  <printOptions horizontalCentered="1"/>
  <pageMargins bottom="0.75" footer="0.0" header="0.0" left="0.25" right="0.25" top="0.75"/>
  <pageSetup paperSize="9" scale="95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174</v>
      </c>
      <c r="F3" s="7">
        <v>46031.0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4.0</v>
      </c>
      <c r="B6" s="12" t="s">
        <v>13</v>
      </c>
      <c r="C6" s="14" t="s">
        <v>19</v>
      </c>
      <c r="D6" s="15">
        <v>46000.0</v>
      </c>
      <c r="E6" s="15">
        <f t="shared" ref="E6:E12" si="1">A6*D6</f>
        <v>184000</v>
      </c>
      <c r="F6" s="15">
        <f t="shared" ref="F6:F12" si="2">E6*1.105</f>
        <v>203320</v>
      </c>
      <c r="G6" s="3"/>
      <c r="H6" s="3" t="s">
        <v>2</v>
      </c>
      <c r="I6" s="16">
        <v>35000.0</v>
      </c>
      <c r="J6" s="15">
        <f t="shared" ref="J6:J12" si="3">I6*A6</f>
        <v>140000</v>
      </c>
      <c r="K6" s="15">
        <f t="shared" ref="K6:K12" si="4">F6-J6</f>
        <v>63320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4.0</v>
      </c>
      <c r="B7" s="12" t="s">
        <v>13</v>
      </c>
      <c r="C7" s="14" t="s">
        <v>175</v>
      </c>
      <c r="D7" s="15">
        <v>42000.0</v>
      </c>
      <c r="E7" s="15">
        <f t="shared" si="1"/>
        <v>168000</v>
      </c>
      <c r="F7" s="15">
        <f t="shared" si="2"/>
        <v>185640</v>
      </c>
      <c r="G7" s="3"/>
      <c r="H7" s="3" t="s">
        <v>2</v>
      </c>
      <c r="I7" s="15">
        <v>32000.0</v>
      </c>
      <c r="J7" s="15">
        <f t="shared" si="3"/>
        <v>128000</v>
      </c>
      <c r="K7" s="15">
        <f t="shared" si="4"/>
        <v>57640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13</v>
      </c>
      <c r="C8" s="14" t="s">
        <v>176</v>
      </c>
      <c r="D8" s="15">
        <v>45000.0</v>
      </c>
      <c r="E8" s="15">
        <f t="shared" si="1"/>
        <v>90000</v>
      </c>
      <c r="F8" s="15">
        <f t="shared" si="2"/>
        <v>99450</v>
      </c>
      <c r="G8" s="3"/>
      <c r="H8" s="3" t="s">
        <v>2</v>
      </c>
      <c r="I8" s="15">
        <v>45000.0</v>
      </c>
      <c r="J8" s="15">
        <f t="shared" si="3"/>
        <v>90000</v>
      </c>
      <c r="K8" s="15">
        <f t="shared" si="4"/>
        <v>9450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32</v>
      </c>
      <c r="C9" s="14" t="s">
        <v>30</v>
      </c>
      <c r="D9" s="15">
        <v>12000.0</v>
      </c>
      <c r="E9" s="15">
        <f t="shared" si="1"/>
        <v>12000</v>
      </c>
      <c r="F9" s="15">
        <f t="shared" si="2"/>
        <v>13260</v>
      </c>
      <c r="G9" s="6"/>
      <c r="H9" s="3" t="s">
        <v>2</v>
      </c>
      <c r="I9" s="16">
        <v>8000.0</v>
      </c>
      <c r="J9" s="15">
        <f t="shared" si="3"/>
        <v>8000</v>
      </c>
      <c r="K9" s="15">
        <f t="shared" si="4"/>
        <v>5260</v>
      </c>
      <c r="L9" s="4"/>
      <c r="M9" s="17"/>
      <c r="N9" s="18"/>
      <c r="O9" s="19"/>
      <c r="P9" s="18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2.0</v>
      </c>
      <c r="B10" s="12" t="s">
        <v>13</v>
      </c>
      <c r="C10" s="14" t="s">
        <v>19</v>
      </c>
      <c r="D10" s="15">
        <v>46000.0</v>
      </c>
      <c r="E10" s="15">
        <f t="shared" si="1"/>
        <v>92000</v>
      </c>
      <c r="F10" s="15">
        <f t="shared" si="2"/>
        <v>101660</v>
      </c>
      <c r="G10" s="6" t="s">
        <v>42</v>
      </c>
      <c r="H10" s="3" t="s">
        <v>2</v>
      </c>
      <c r="I10" s="16"/>
      <c r="J10" s="15">
        <f t="shared" si="3"/>
        <v>0</v>
      </c>
      <c r="K10" s="15">
        <f t="shared" si="4"/>
        <v>101660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1.0</v>
      </c>
      <c r="B11" s="12" t="s">
        <v>13</v>
      </c>
      <c r="C11" s="14" t="s">
        <v>175</v>
      </c>
      <c r="D11" s="15">
        <v>42000.0</v>
      </c>
      <c r="E11" s="15">
        <f t="shared" si="1"/>
        <v>42000</v>
      </c>
      <c r="F11" s="15">
        <f t="shared" si="2"/>
        <v>46410</v>
      </c>
      <c r="G11" s="6" t="s">
        <v>42</v>
      </c>
      <c r="H11" s="3" t="s">
        <v>2</v>
      </c>
      <c r="I11" s="15"/>
      <c r="J11" s="15">
        <f t="shared" si="3"/>
        <v>0</v>
      </c>
      <c r="K11" s="15">
        <f t="shared" si="4"/>
        <v>46410</v>
      </c>
      <c r="L11" s="4"/>
      <c r="M11" s="20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1.0</v>
      </c>
      <c r="B12" s="12" t="s">
        <v>13</v>
      </c>
      <c r="C12" s="14" t="s">
        <v>176</v>
      </c>
      <c r="D12" s="15">
        <v>45000.0</v>
      </c>
      <c r="E12" s="15">
        <f t="shared" si="1"/>
        <v>45000</v>
      </c>
      <c r="F12" s="15">
        <f t="shared" si="2"/>
        <v>49725</v>
      </c>
      <c r="G12" s="6" t="s">
        <v>42</v>
      </c>
      <c r="H12" s="3" t="s">
        <v>2</v>
      </c>
      <c r="I12" s="15"/>
      <c r="J12" s="15">
        <f t="shared" si="3"/>
        <v>0</v>
      </c>
      <c r="K12" s="15">
        <f t="shared" si="4"/>
        <v>49725</v>
      </c>
      <c r="L12" s="4"/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/>
      <c r="B13" s="12"/>
      <c r="C13" s="14"/>
      <c r="D13" s="15"/>
      <c r="E13" s="3"/>
      <c r="F13" s="3"/>
      <c r="G13" s="3"/>
      <c r="H13" s="3"/>
      <c r="I13" s="3"/>
      <c r="J13" s="3"/>
      <c r="K13" s="3"/>
      <c r="L13" s="4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/>
      <c r="B14" s="12"/>
      <c r="C14" s="14"/>
      <c r="D14" s="15"/>
      <c r="E14" s="15">
        <f t="shared" ref="E14:F14" si="5">SUM(E6:E12)</f>
        <v>633000</v>
      </c>
      <c r="F14" s="15">
        <f t="shared" si="5"/>
        <v>699465</v>
      </c>
      <c r="G14" s="3"/>
      <c r="H14" s="3"/>
      <c r="I14" s="3"/>
      <c r="J14" s="3"/>
      <c r="K14" s="15">
        <f>SUM(K6:K12)</f>
        <v>333465</v>
      </c>
      <c r="L14" s="22">
        <f>K14/F14</f>
        <v>0.4767429392</v>
      </c>
      <c r="M14" s="2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23"/>
      <c r="B16" s="23"/>
      <c r="C16" s="23"/>
      <c r="D16" s="7"/>
      <c r="E16" s="24"/>
      <c r="F16" s="7"/>
      <c r="G16" s="6"/>
      <c r="H16" s="3"/>
      <c r="I16" s="8"/>
      <c r="J16" s="8"/>
      <c r="K16" s="8"/>
      <c r="L16" s="4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23" t="s">
        <v>47</v>
      </c>
      <c r="B17" s="23"/>
      <c r="C17" s="23"/>
      <c r="D17" s="25" t="s">
        <v>167</v>
      </c>
      <c r="E17" s="7">
        <v>46031.0</v>
      </c>
      <c r="F17" s="7"/>
      <c r="G17" s="6"/>
      <c r="H17" s="3"/>
      <c r="I17" s="8" t="s">
        <v>3</v>
      </c>
      <c r="L17" s="4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B18" s="24"/>
      <c r="C18" s="26"/>
      <c r="D18" s="7"/>
      <c r="E18" s="24"/>
      <c r="F18" s="3"/>
      <c r="G18" s="3"/>
      <c r="H18" s="3"/>
      <c r="I18" s="3"/>
      <c r="J18" s="3"/>
      <c r="K18" s="3"/>
      <c r="L18" s="4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5" t="s">
        <v>4</v>
      </c>
      <c r="B19" s="10" t="s">
        <v>5</v>
      </c>
      <c r="C19" s="11" t="s">
        <v>6</v>
      </c>
      <c r="D19" s="12" t="s">
        <v>7</v>
      </c>
      <c r="E19" s="10" t="s">
        <v>8</v>
      </c>
      <c r="F19" s="10"/>
      <c r="G19" s="3"/>
      <c r="H19" s="3"/>
      <c r="I19" s="27" t="s">
        <v>7</v>
      </c>
      <c r="J19" s="10" t="s">
        <v>8</v>
      </c>
      <c r="K19" s="10" t="s">
        <v>10</v>
      </c>
      <c r="L19" s="4"/>
      <c r="M19" s="19"/>
      <c r="N19" s="18"/>
      <c r="O19" s="19"/>
      <c r="P19" s="18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1.0</v>
      </c>
      <c r="B20" s="12" t="s">
        <v>13</v>
      </c>
      <c r="C20" s="14" t="s">
        <v>45</v>
      </c>
      <c r="D20" s="15">
        <v>46000.0</v>
      </c>
      <c r="E20" s="16">
        <f t="shared" ref="E20:E26" si="6">A20*D20</f>
        <v>46000</v>
      </c>
      <c r="F20" s="15"/>
      <c r="G20" s="2"/>
      <c r="H20" s="3"/>
      <c r="I20" s="15">
        <v>40000.0</v>
      </c>
      <c r="J20" s="15">
        <f t="shared" ref="J20:J26" si="7">I20*A20</f>
        <v>40000</v>
      </c>
      <c r="K20" s="15">
        <f t="shared" ref="K20:K26" si="8">E20-J20</f>
        <v>6000</v>
      </c>
      <c r="L20" s="22"/>
      <c r="N20" s="21"/>
      <c r="P20" s="21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1.0</v>
      </c>
      <c r="B21" s="12" t="s">
        <v>32</v>
      </c>
      <c r="C21" s="14" t="s">
        <v>20</v>
      </c>
      <c r="D21" s="15">
        <v>22000.0</v>
      </c>
      <c r="E21" s="16">
        <f t="shared" si="6"/>
        <v>22000</v>
      </c>
      <c r="F21" s="15"/>
      <c r="G21" s="2"/>
      <c r="H21" s="3" t="s">
        <v>2</v>
      </c>
      <c r="I21" s="15">
        <v>18000.0</v>
      </c>
      <c r="J21" s="15">
        <f t="shared" si="7"/>
        <v>18000</v>
      </c>
      <c r="K21" s="15">
        <f t="shared" si="8"/>
        <v>4000</v>
      </c>
      <c r="L21" s="22"/>
      <c r="N21" s="21"/>
      <c r="P21" s="21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0.5</v>
      </c>
      <c r="B22" s="12" t="s">
        <v>32</v>
      </c>
      <c r="C22" s="14" t="s">
        <v>44</v>
      </c>
      <c r="D22" s="15">
        <v>20000.0</v>
      </c>
      <c r="E22" s="16">
        <f t="shared" si="6"/>
        <v>10000</v>
      </c>
      <c r="F22" s="15"/>
      <c r="G22" s="2"/>
      <c r="H22" s="3"/>
      <c r="I22" s="16">
        <v>12000.0</v>
      </c>
      <c r="J22" s="15">
        <f t="shared" si="7"/>
        <v>6000</v>
      </c>
      <c r="K22" s="15">
        <f t="shared" si="8"/>
        <v>4000</v>
      </c>
      <c r="L22" s="22"/>
      <c r="N22" s="21"/>
      <c r="P22" s="21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0.5</v>
      </c>
      <c r="B23" s="12" t="s">
        <v>32</v>
      </c>
      <c r="C23" s="14" t="s">
        <v>35</v>
      </c>
      <c r="D23" s="15">
        <v>35000.0</v>
      </c>
      <c r="E23" s="16">
        <f t="shared" si="6"/>
        <v>17500</v>
      </c>
      <c r="F23" s="15"/>
      <c r="G23" s="2"/>
      <c r="H23" s="2"/>
      <c r="I23" s="16">
        <v>30000.0</v>
      </c>
      <c r="J23" s="15">
        <f t="shared" si="7"/>
        <v>15000</v>
      </c>
      <c r="K23" s="15">
        <f t="shared" si="8"/>
        <v>2500</v>
      </c>
      <c r="L23" s="22"/>
      <c r="N23" s="21"/>
      <c r="P23" s="21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1.0</v>
      </c>
      <c r="B24" s="12" t="s">
        <v>13</v>
      </c>
      <c r="C24" s="14" t="s">
        <v>38</v>
      </c>
      <c r="D24" s="15">
        <v>55000.0</v>
      </c>
      <c r="E24" s="16">
        <f t="shared" si="6"/>
        <v>55000</v>
      </c>
      <c r="F24" s="15"/>
      <c r="G24" s="2"/>
      <c r="H24" s="3"/>
      <c r="I24" s="15">
        <v>35000.0</v>
      </c>
      <c r="J24" s="15">
        <f t="shared" si="7"/>
        <v>35000</v>
      </c>
      <c r="K24" s="15">
        <f t="shared" si="8"/>
        <v>20000</v>
      </c>
      <c r="L24" s="22"/>
      <c r="M24" s="20"/>
      <c r="N24" s="21"/>
      <c r="P24" s="21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2.0</v>
      </c>
      <c r="B25" s="12" t="s">
        <v>28</v>
      </c>
      <c r="C25" s="14" t="s">
        <v>53</v>
      </c>
      <c r="D25" s="15">
        <v>4000.0</v>
      </c>
      <c r="E25" s="16">
        <f t="shared" si="6"/>
        <v>8000</v>
      </c>
      <c r="F25" s="15"/>
      <c r="G25" s="2"/>
      <c r="H25" s="3"/>
      <c r="I25" s="15">
        <v>2000.0</v>
      </c>
      <c r="J25" s="15">
        <f t="shared" si="7"/>
        <v>4000</v>
      </c>
      <c r="K25" s="15">
        <f t="shared" si="8"/>
        <v>4000</v>
      </c>
      <c r="L25" s="22"/>
      <c r="M25" s="20"/>
      <c r="N25" s="21"/>
      <c r="P25" s="21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2.0</v>
      </c>
      <c r="B26" s="12" t="s">
        <v>28</v>
      </c>
      <c r="C26" s="14" t="s">
        <v>78</v>
      </c>
      <c r="D26" s="15">
        <v>4000.0</v>
      </c>
      <c r="E26" s="16">
        <f t="shared" si="6"/>
        <v>8000</v>
      </c>
      <c r="F26" s="15"/>
      <c r="G26" s="2"/>
      <c r="I26" s="15">
        <v>3000.0</v>
      </c>
      <c r="J26" s="15">
        <f t="shared" si="7"/>
        <v>6000</v>
      </c>
      <c r="K26" s="15">
        <f t="shared" si="8"/>
        <v>2000</v>
      </c>
      <c r="L26" s="22"/>
      <c r="N26" s="21"/>
      <c r="P26" s="21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/>
      <c r="B27" s="12"/>
      <c r="C27" s="14"/>
      <c r="D27" s="15"/>
      <c r="E27" s="16"/>
      <c r="F27" s="10"/>
      <c r="G27" s="3"/>
      <c r="H27" s="3"/>
      <c r="I27" s="3"/>
      <c r="J27" s="3"/>
      <c r="K27" s="3"/>
      <c r="L27" s="4"/>
      <c r="M27" s="17"/>
      <c r="N27" s="18"/>
      <c r="O27" s="19"/>
      <c r="P27" s="18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/>
      <c r="B28" s="12"/>
      <c r="C28" s="14"/>
      <c r="D28" s="15"/>
      <c r="E28" s="16">
        <f>SUM(E20:E26)</f>
        <v>166500</v>
      </c>
      <c r="F28" s="15"/>
      <c r="G28" s="2"/>
      <c r="H28" s="3"/>
      <c r="I28" s="3"/>
      <c r="J28" s="3"/>
      <c r="K28" s="15">
        <f>SUM(K20:K26)</f>
        <v>42500</v>
      </c>
      <c r="L28" s="22">
        <f>K28/E28</f>
        <v>0.2552552553</v>
      </c>
      <c r="M28" s="20"/>
      <c r="N28" s="21"/>
      <c r="P28" s="21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/>
      <c r="B29" s="12"/>
      <c r="C29" s="14"/>
      <c r="D29" s="15"/>
      <c r="E29" s="16"/>
      <c r="F29" s="15"/>
      <c r="G29" s="2"/>
      <c r="H29" s="3"/>
      <c r="I29" s="16"/>
      <c r="J29" s="15"/>
      <c r="K29" s="15"/>
      <c r="L29" s="25"/>
      <c r="M29" s="20"/>
      <c r="N29" s="21"/>
      <c r="P29" s="21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"/>
      <c r="B30" s="2"/>
      <c r="C30" s="2"/>
      <c r="D30" s="3"/>
      <c r="E30" s="3"/>
      <c r="F30" s="3"/>
      <c r="G30" s="2"/>
      <c r="H30" s="2"/>
      <c r="I30" s="2"/>
      <c r="J30" s="2"/>
      <c r="K30" s="3"/>
      <c r="L30" s="4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23" t="s">
        <v>57</v>
      </c>
      <c r="B31" s="23"/>
      <c r="C31" s="23"/>
      <c r="D31" s="25" t="s">
        <v>177</v>
      </c>
      <c r="E31" s="7">
        <v>46031.0</v>
      </c>
      <c r="F31" s="28"/>
      <c r="G31" s="24"/>
      <c r="H31" s="24"/>
      <c r="I31" s="16"/>
      <c r="J31" s="16"/>
      <c r="K31" s="16"/>
      <c r="L31" s="29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B32" s="24"/>
      <c r="C32" s="26"/>
      <c r="D32" s="24"/>
      <c r="E32" s="24"/>
      <c r="F32" s="24"/>
      <c r="G32" s="24"/>
      <c r="H32" s="24"/>
      <c r="I32" s="16"/>
      <c r="J32" s="16"/>
      <c r="K32" s="16"/>
      <c r="L32" s="29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5" t="s">
        <v>4</v>
      </c>
      <c r="B33" s="10" t="s">
        <v>5</v>
      </c>
      <c r="C33" s="11" t="s">
        <v>6</v>
      </c>
      <c r="D33" s="12" t="s">
        <v>7</v>
      </c>
      <c r="E33" s="10" t="s">
        <v>8</v>
      </c>
      <c r="F33" s="12"/>
      <c r="G33" s="24"/>
      <c r="H33" s="24"/>
      <c r="I33" s="12" t="s">
        <v>7</v>
      </c>
      <c r="J33" s="12" t="s">
        <v>8</v>
      </c>
      <c r="K33" s="12" t="s">
        <v>10</v>
      </c>
      <c r="L33" s="29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4.0</v>
      </c>
      <c r="B34" s="12" t="s">
        <v>17</v>
      </c>
      <c r="C34" s="14" t="s">
        <v>178</v>
      </c>
      <c r="D34" s="15">
        <v>2800.0</v>
      </c>
      <c r="E34" s="15">
        <f t="shared" ref="E34:E56" si="9">A34*D34</f>
        <v>11200</v>
      </c>
      <c r="F34" s="16"/>
      <c r="G34" s="24"/>
      <c r="H34" s="24"/>
      <c r="I34" s="16">
        <v>3000.0</v>
      </c>
      <c r="J34" s="16">
        <f t="shared" ref="J34:J56" si="10">I34*A34</f>
        <v>12000</v>
      </c>
      <c r="K34" s="16">
        <f t="shared" ref="K34:K56" si="11">E34-J34</f>
        <v>-800</v>
      </c>
      <c r="L34" s="31" t="s">
        <v>2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1.0</v>
      </c>
      <c r="B35" s="12" t="s">
        <v>5</v>
      </c>
      <c r="C35" s="14" t="s">
        <v>49</v>
      </c>
      <c r="D35" s="15">
        <v>1500.0</v>
      </c>
      <c r="E35" s="15">
        <f t="shared" si="9"/>
        <v>1500</v>
      </c>
      <c r="F35" s="16"/>
      <c r="G35" s="24"/>
      <c r="H35" s="24"/>
      <c r="I35" s="16">
        <v>1000.0</v>
      </c>
      <c r="J35" s="16">
        <f t="shared" si="10"/>
        <v>1000</v>
      </c>
      <c r="K35" s="16">
        <f t="shared" si="11"/>
        <v>500</v>
      </c>
      <c r="L35" s="31" t="s">
        <v>2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1.0</v>
      </c>
      <c r="B36" s="12" t="s">
        <v>28</v>
      </c>
      <c r="C36" s="14" t="s">
        <v>63</v>
      </c>
      <c r="D36" s="15">
        <v>2500.0</v>
      </c>
      <c r="E36" s="15">
        <f t="shared" si="9"/>
        <v>2500</v>
      </c>
      <c r="F36" s="16"/>
      <c r="G36" s="24"/>
      <c r="H36" s="24"/>
      <c r="I36" s="16">
        <v>1500.0</v>
      </c>
      <c r="J36" s="16">
        <f t="shared" si="10"/>
        <v>1500</v>
      </c>
      <c r="K36" s="16">
        <f t="shared" si="11"/>
        <v>1000</v>
      </c>
      <c r="L36" s="31" t="s">
        <v>2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28</v>
      </c>
      <c r="C37" s="14" t="s">
        <v>51</v>
      </c>
      <c r="D37" s="15">
        <v>3000.0</v>
      </c>
      <c r="E37" s="15">
        <f t="shared" si="9"/>
        <v>3000</v>
      </c>
      <c r="F37" s="16"/>
      <c r="G37" s="24"/>
      <c r="H37" s="24"/>
      <c r="I37" s="16">
        <v>2000.0</v>
      </c>
      <c r="J37" s="16">
        <f t="shared" si="10"/>
        <v>2000</v>
      </c>
      <c r="K37" s="16">
        <f t="shared" si="11"/>
        <v>1000</v>
      </c>
      <c r="L37" s="31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4.2</v>
      </c>
      <c r="B38" s="12" t="s">
        <v>17</v>
      </c>
      <c r="C38" s="14" t="s">
        <v>179</v>
      </c>
      <c r="D38" s="15">
        <v>2200.0</v>
      </c>
      <c r="E38" s="15">
        <f t="shared" si="9"/>
        <v>9240</v>
      </c>
      <c r="F38" s="16"/>
      <c r="G38" s="24"/>
      <c r="H38" s="24"/>
      <c r="I38" s="16">
        <v>1600.0</v>
      </c>
      <c r="J38" s="16">
        <f t="shared" si="10"/>
        <v>6720</v>
      </c>
      <c r="K38" s="16">
        <f t="shared" si="11"/>
        <v>2520</v>
      </c>
      <c r="L38" s="31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3.0</v>
      </c>
      <c r="B39" s="12" t="s">
        <v>17</v>
      </c>
      <c r="C39" s="14" t="s">
        <v>144</v>
      </c>
      <c r="D39" s="15">
        <v>3500.0</v>
      </c>
      <c r="E39" s="15">
        <f t="shared" si="9"/>
        <v>10500</v>
      </c>
      <c r="F39" s="16"/>
      <c r="G39" s="24"/>
      <c r="H39" s="24"/>
      <c r="I39" s="16">
        <v>2500.0</v>
      </c>
      <c r="J39" s="16">
        <f t="shared" si="10"/>
        <v>7500</v>
      </c>
      <c r="K39" s="16">
        <f t="shared" si="11"/>
        <v>3000</v>
      </c>
      <c r="L39" s="31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3.0</v>
      </c>
      <c r="B40" s="12" t="s">
        <v>17</v>
      </c>
      <c r="C40" s="14" t="s">
        <v>45</v>
      </c>
      <c r="D40" s="15">
        <v>3000.0</v>
      </c>
      <c r="E40" s="15">
        <f t="shared" si="9"/>
        <v>9000</v>
      </c>
      <c r="F40" s="16"/>
      <c r="G40" s="24"/>
      <c r="H40" s="24"/>
      <c r="I40" s="16">
        <f>35000/14</f>
        <v>2500</v>
      </c>
      <c r="J40" s="16">
        <f t="shared" si="10"/>
        <v>7500</v>
      </c>
      <c r="K40" s="16">
        <f t="shared" si="11"/>
        <v>1500</v>
      </c>
      <c r="L40" s="31" t="s">
        <v>2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2.0</v>
      </c>
      <c r="B41" s="12" t="s">
        <v>42</v>
      </c>
      <c r="C41" s="14" t="s">
        <v>180</v>
      </c>
      <c r="D41" s="15">
        <v>21000.0</v>
      </c>
      <c r="E41" s="15">
        <f t="shared" si="9"/>
        <v>42000</v>
      </c>
      <c r="F41" s="16"/>
      <c r="G41" s="24"/>
      <c r="H41" s="24"/>
      <c r="I41" s="16">
        <v>18000.0</v>
      </c>
      <c r="J41" s="16">
        <f t="shared" si="10"/>
        <v>36000</v>
      </c>
      <c r="K41" s="16">
        <f t="shared" si="11"/>
        <v>6000</v>
      </c>
      <c r="L41" s="31" t="s">
        <v>2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12.0</v>
      </c>
      <c r="B42" s="12" t="s">
        <v>5</v>
      </c>
      <c r="C42" s="14" t="s">
        <v>38</v>
      </c>
      <c r="D42" s="15">
        <v>1400.0</v>
      </c>
      <c r="E42" s="15">
        <f t="shared" si="9"/>
        <v>16800</v>
      </c>
      <c r="F42" s="16"/>
      <c r="G42" s="24"/>
      <c r="H42" s="24"/>
      <c r="I42" s="16">
        <f>60000/70</f>
        <v>857.1428571</v>
      </c>
      <c r="J42" s="16">
        <f t="shared" si="10"/>
        <v>10285.71429</v>
      </c>
      <c r="K42" s="16">
        <f t="shared" si="11"/>
        <v>6514.285714</v>
      </c>
      <c r="L42" s="31" t="s">
        <v>2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0.25</v>
      </c>
      <c r="B43" s="12" t="s">
        <v>17</v>
      </c>
      <c r="C43" s="14" t="s">
        <v>164</v>
      </c>
      <c r="D43" s="15">
        <v>6000.0</v>
      </c>
      <c r="E43" s="15">
        <f t="shared" si="9"/>
        <v>1500</v>
      </c>
      <c r="F43" s="16"/>
      <c r="G43" s="24"/>
      <c r="H43" s="24"/>
      <c r="I43" s="16">
        <v>3500.0</v>
      </c>
      <c r="J43" s="16">
        <f t="shared" si="10"/>
        <v>875</v>
      </c>
      <c r="K43" s="16">
        <f t="shared" si="11"/>
        <v>625</v>
      </c>
      <c r="L43" s="31" t="s">
        <v>2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4.0</v>
      </c>
      <c r="B44" s="12" t="s">
        <v>5</v>
      </c>
      <c r="C44" s="14" t="s">
        <v>69</v>
      </c>
      <c r="D44" s="15">
        <v>1200.0</v>
      </c>
      <c r="E44" s="15">
        <f t="shared" si="9"/>
        <v>4800</v>
      </c>
      <c r="F44" s="16"/>
      <c r="G44" s="24"/>
      <c r="H44" s="24"/>
      <c r="I44" s="16">
        <v>560.0</v>
      </c>
      <c r="J44" s="16">
        <f t="shared" si="10"/>
        <v>2240</v>
      </c>
      <c r="K44" s="16">
        <f t="shared" si="11"/>
        <v>2560</v>
      </c>
      <c r="L44" s="31" t="s">
        <v>2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0.25</v>
      </c>
      <c r="B45" s="12" t="s">
        <v>17</v>
      </c>
      <c r="C45" s="14" t="s">
        <v>37</v>
      </c>
      <c r="D45" s="15">
        <v>5000.0</v>
      </c>
      <c r="E45" s="15">
        <f t="shared" si="9"/>
        <v>1250</v>
      </c>
      <c r="F45" s="16"/>
      <c r="G45" s="24"/>
      <c r="H45" s="24"/>
      <c r="I45" s="16">
        <v>4000.0</v>
      </c>
      <c r="J45" s="16">
        <f t="shared" si="10"/>
        <v>1000</v>
      </c>
      <c r="K45" s="16">
        <f t="shared" si="11"/>
        <v>250</v>
      </c>
      <c r="L45" s="31" t="s">
        <v>2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1.0</v>
      </c>
      <c r="B46" s="12" t="s">
        <v>28</v>
      </c>
      <c r="C46" s="14" t="s">
        <v>138</v>
      </c>
      <c r="D46" s="15">
        <v>3000.0</v>
      </c>
      <c r="E46" s="15">
        <f t="shared" si="9"/>
        <v>3000</v>
      </c>
      <c r="F46" s="16"/>
      <c r="G46" s="24"/>
      <c r="H46" s="24"/>
      <c r="I46" s="16">
        <v>2000.0</v>
      </c>
      <c r="J46" s="16">
        <f t="shared" si="10"/>
        <v>2000</v>
      </c>
      <c r="K46" s="16">
        <f t="shared" si="11"/>
        <v>1000</v>
      </c>
      <c r="L46" s="31" t="s">
        <v>2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1.0</v>
      </c>
      <c r="B47" s="12" t="s">
        <v>28</v>
      </c>
      <c r="C47" s="14" t="s">
        <v>143</v>
      </c>
      <c r="D47" s="15">
        <v>3000.0</v>
      </c>
      <c r="E47" s="15">
        <f t="shared" si="9"/>
        <v>3000</v>
      </c>
      <c r="F47" s="16"/>
      <c r="G47" s="24"/>
      <c r="H47" s="24"/>
      <c r="I47" s="16">
        <v>2000.0</v>
      </c>
      <c r="J47" s="16">
        <f t="shared" si="10"/>
        <v>2000</v>
      </c>
      <c r="K47" s="16">
        <f t="shared" si="11"/>
        <v>1000</v>
      </c>
      <c r="L47" s="31" t="s">
        <v>2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1.0</v>
      </c>
      <c r="B48" s="12" t="s">
        <v>28</v>
      </c>
      <c r="C48" s="14" t="s">
        <v>172</v>
      </c>
      <c r="D48" s="15">
        <v>5000.0</v>
      </c>
      <c r="E48" s="15">
        <f t="shared" si="9"/>
        <v>5000</v>
      </c>
      <c r="F48" s="16"/>
      <c r="G48" s="24"/>
      <c r="H48" s="24"/>
      <c r="I48" s="16">
        <v>4000.0</v>
      </c>
      <c r="J48" s="16">
        <f t="shared" si="10"/>
        <v>4000</v>
      </c>
      <c r="K48" s="16">
        <f t="shared" si="11"/>
        <v>1000</v>
      </c>
      <c r="L48" s="31" t="s">
        <v>2</v>
      </c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3.0</v>
      </c>
      <c r="B49" s="12" t="s">
        <v>28</v>
      </c>
      <c r="C49" s="14" t="s">
        <v>74</v>
      </c>
      <c r="D49" s="15">
        <v>1200.0</v>
      </c>
      <c r="E49" s="15">
        <f t="shared" si="9"/>
        <v>3600</v>
      </c>
      <c r="F49" s="16"/>
      <c r="G49" s="24"/>
      <c r="H49" s="24"/>
      <c r="I49" s="16">
        <v>1000.0</v>
      </c>
      <c r="J49" s="16">
        <f t="shared" si="10"/>
        <v>3000</v>
      </c>
      <c r="K49" s="16">
        <f t="shared" si="11"/>
        <v>600</v>
      </c>
      <c r="L49" s="31" t="s">
        <v>2</v>
      </c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0.5</v>
      </c>
      <c r="B50" s="12" t="s">
        <v>32</v>
      </c>
      <c r="C50" s="14" t="s">
        <v>147</v>
      </c>
      <c r="D50" s="15">
        <v>12000.0</v>
      </c>
      <c r="E50" s="15">
        <f t="shared" si="9"/>
        <v>6000</v>
      </c>
      <c r="F50" s="16"/>
      <c r="G50" s="24"/>
      <c r="H50" s="24"/>
      <c r="I50" s="16">
        <v>6000.0</v>
      </c>
      <c r="J50" s="16">
        <f t="shared" si="10"/>
        <v>3000</v>
      </c>
      <c r="K50" s="16">
        <f t="shared" si="11"/>
        <v>3000</v>
      </c>
      <c r="L50" s="31" t="s">
        <v>2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1.0</v>
      </c>
      <c r="B51" s="12" t="s">
        <v>17</v>
      </c>
      <c r="C51" s="14" t="s">
        <v>86</v>
      </c>
      <c r="D51" s="15">
        <v>1400.0</v>
      </c>
      <c r="E51" s="15">
        <f t="shared" si="9"/>
        <v>1400</v>
      </c>
      <c r="F51" s="16"/>
      <c r="G51" s="24"/>
      <c r="H51" s="24"/>
      <c r="I51" s="16">
        <f>11000/10</f>
        <v>1100</v>
      </c>
      <c r="J51" s="16">
        <f t="shared" si="10"/>
        <v>1100</v>
      </c>
      <c r="K51" s="16">
        <f t="shared" si="11"/>
        <v>300</v>
      </c>
      <c r="L51" s="31" t="s">
        <v>2</v>
      </c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1.0</v>
      </c>
      <c r="B52" s="12" t="s">
        <v>17</v>
      </c>
      <c r="C52" s="14" t="s">
        <v>181</v>
      </c>
      <c r="D52" s="15">
        <v>20000.0</v>
      </c>
      <c r="E52" s="15">
        <f t="shared" si="9"/>
        <v>20000</v>
      </c>
      <c r="F52" s="16"/>
      <c r="G52" s="24"/>
      <c r="H52" s="24"/>
      <c r="I52" s="16">
        <v>18000.0</v>
      </c>
      <c r="J52" s="16">
        <f t="shared" si="10"/>
        <v>18000</v>
      </c>
      <c r="K52" s="16">
        <f t="shared" si="11"/>
        <v>2000</v>
      </c>
      <c r="L52" s="31" t="s">
        <v>2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1.0</v>
      </c>
      <c r="B53" s="12" t="s">
        <v>32</v>
      </c>
      <c r="C53" s="14" t="s">
        <v>45</v>
      </c>
      <c r="D53" s="15">
        <v>46000.0</v>
      </c>
      <c r="E53" s="15">
        <f t="shared" si="9"/>
        <v>46000</v>
      </c>
      <c r="F53" s="16"/>
      <c r="G53" s="24"/>
      <c r="H53" s="24"/>
      <c r="I53" s="16">
        <v>40000.0</v>
      </c>
      <c r="J53" s="16">
        <f t="shared" si="10"/>
        <v>40000</v>
      </c>
      <c r="K53" s="16">
        <f t="shared" si="11"/>
        <v>6000</v>
      </c>
      <c r="L53" s="31" t="s">
        <v>2</v>
      </c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0.5</v>
      </c>
      <c r="B54" s="12" t="s">
        <v>13</v>
      </c>
      <c r="C54" s="14" t="s">
        <v>182</v>
      </c>
      <c r="D54" s="15">
        <v>46000.0</v>
      </c>
      <c r="E54" s="15">
        <f t="shared" si="9"/>
        <v>23000</v>
      </c>
      <c r="F54" s="16"/>
      <c r="G54" s="24"/>
      <c r="H54" s="24"/>
      <c r="I54" s="16">
        <v>40000.0</v>
      </c>
      <c r="J54" s="16">
        <f t="shared" si="10"/>
        <v>20000</v>
      </c>
      <c r="K54" s="16">
        <f t="shared" si="11"/>
        <v>3000</v>
      </c>
      <c r="L54" s="31" t="s">
        <v>2</v>
      </c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1.0</v>
      </c>
      <c r="B55" s="12" t="s">
        <v>32</v>
      </c>
      <c r="C55" s="14" t="s">
        <v>20</v>
      </c>
      <c r="D55" s="15">
        <v>22000.0</v>
      </c>
      <c r="E55" s="15">
        <f t="shared" si="9"/>
        <v>22000</v>
      </c>
      <c r="F55" s="16"/>
      <c r="G55" s="24"/>
      <c r="H55" s="24"/>
      <c r="I55" s="16">
        <v>18000.0</v>
      </c>
      <c r="J55" s="16">
        <f t="shared" si="10"/>
        <v>18000</v>
      </c>
      <c r="K55" s="16">
        <f t="shared" si="11"/>
        <v>4000</v>
      </c>
      <c r="L55" s="31" t="s">
        <v>2</v>
      </c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2.0</v>
      </c>
      <c r="B56" s="12" t="s">
        <v>28</v>
      </c>
      <c r="C56" s="14" t="s">
        <v>143</v>
      </c>
      <c r="D56" s="15">
        <v>3000.0</v>
      </c>
      <c r="E56" s="15">
        <f t="shared" si="9"/>
        <v>6000</v>
      </c>
      <c r="F56" s="16"/>
      <c r="G56" s="24"/>
      <c r="H56" s="24"/>
      <c r="I56" s="16">
        <v>2000.0</v>
      </c>
      <c r="J56" s="16">
        <f t="shared" si="10"/>
        <v>4000</v>
      </c>
      <c r="K56" s="16">
        <f t="shared" si="11"/>
        <v>2000</v>
      </c>
      <c r="L56" s="30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/>
      <c r="B57" s="12"/>
      <c r="C57" s="14"/>
      <c r="D57" s="15"/>
      <c r="E57" s="16"/>
      <c r="F57" s="16"/>
      <c r="G57" s="24"/>
      <c r="H57" s="24"/>
      <c r="I57" s="16"/>
      <c r="J57" s="16"/>
      <c r="K57" s="16"/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/>
      <c r="B58" s="12"/>
      <c r="C58" s="14"/>
      <c r="D58" s="15"/>
      <c r="E58" s="16">
        <f>SUM(E34:E56)</f>
        <v>252290</v>
      </c>
      <c r="F58" s="16"/>
      <c r="G58" s="24"/>
      <c r="H58" s="24"/>
      <c r="I58" s="16"/>
      <c r="J58" s="16"/>
      <c r="K58" s="16">
        <f>SUM(K34:K56)</f>
        <v>48569.28571</v>
      </c>
      <c r="L58" s="30">
        <f>K58/E58</f>
        <v>0.1925137172</v>
      </c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3"/>
      <c r="F59" s="3"/>
      <c r="G59" s="2"/>
      <c r="H59" s="2"/>
      <c r="I59" s="2"/>
      <c r="J59" s="2"/>
      <c r="K59" s="3"/>
      <c r="L59" s="4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33"/>
      <c r="B60" s="34"/>
      <c r="C60" s="2"/>
      <c r="D60" s="3"/>
      <c r="E60" s="3"/>
      <c r="F60" s="3"/>
      <c r="G60" s="2"/>
      <c r="H60" s="2"/>
      <c r="I60" s="2"/>
      <c r="J60" s="2"/>
      <c r="K60" s="3"/>
      <c r="L60" s="4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33"/>
      <c r="B61" s="34"/>
      <c r="C61" s="2"/>
      <c r="D61" s="3"/>
      <c r="E61" s="3"/>
      <c r="F61" s="3"/>
      <c r="G61" s="2"/>
      <c r="H61" s="2"/>
      <c r="I61" s="2"/>
      <c r="J61" s="2"/>
      <c r="K61" s="3"/>
      <c r="L61" s="4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23" t="s">
        <v>183</v>
      </c>
      <c r="B62" s="23"/>
      <c r="C62" s="23"/>
      <c r="D62" s="25" t="s">
        <v>48</v>
      </c>
      <c r="E62" s="7">
        <v>46031.0</v>
      </c>
      <c r="G62" s="24"/>
      <c r="H62" s="24"/>
      <c r="I62" s="16"/>
      <c r="J62" s="16"/>
      <c r="K62" s="16"/>
      <c r="L62" s="29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B63" s="24"/>
      <c r="C63" s="26"/>
      <c r="D63" s="24"/>
      <c r="E63" s="24"/>
      <c r="F63" s="24"/>
      <c r="G63" s="24"/>
      <c r="H63" s="24"/>
      <c r="I63" s="16"/>
      <c r="J63" s="16"/>
      <c r="K63" s="16"/>
      <c r="L63" s="29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5" t="s">
        <v>4</v>
      </c>
      <c r="B64" s="10" t="s">
        <v>5</v>
      </c>
      <c r="C64" s="11" t="s">
        <v>6</v>
      </c>
      <c r="D64" s="12" t="s">
        <v>7</v>
      </c>
      <c r="E64" s="10" t="s">
        <v>8</v>
      </c>
      <c r="F64" s="12"/>
      <c r="G64" s="24"/>
      <c r="H64" s="24"/>
      <c r="I64" s="12" t="s">
        <v>7</v>
      </c>
      <c r="J64" s="12" t="s">
        <v>8</v>
      </c>
      <c r="K64" s="12" t="s">
        <v>10</v>
      </c>
      <c r="L64" s="29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2.0</v>
      </c>
      <c r="B65" s="12" t="s">
        <v>184</v>
      </c>
      <c r="C65" s="14" t="s">
        <v>185</v>
      </c>
      <c r="D65" s="15">
        <v>2500.0</v>
      </c>
      <c r="E65" s="15">
        <f t="shared" ref="E65:E89" si="12">A65*D65</f>
        <v>5000</v>
      </c>
      <c r="F65" s="16"/>
      <c r="G65" s="24"/>
      <c r="H65" s="24"/>
      <c r="I65" s="15">
        <f>20000/12</f>
        <v>1666.666667</v>
      </c>
      <c r="J65" s="16">
        <f t="shared" ref="J65:J89" si="13">I65*A65</f>
        <v>3333.333333</v>
      </c>
      <c r="K65" s="16">
        <f t="shared" ref="K65:K89" si="14">E65-J65</f>
        <v>1666.666667</v>
      </c>
      <c r="L65" s="31" t="s">
        <v>2</v>
      </c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2.0</v>
      </c>
      <c r="B66" s="12" t="s">
        <v>28</v>
      </c>
      <c r="C66" s="14" t="s">
        <v>74</v>
      </c>
      <c r="D66" s="15">
        <v>1000.0</v>
      </c>
      <c r="E66" s="15">
        <f t="shared" si="12"/>
        <v>2000</v>
      </c>
      <c r="F66" s="16"/>
      <c r="G66" s="24"/>
      <c r="H66" s="24"/>
      <c r="I66" s="15">
        <f>3500/6</f>
        <v>583.3333333</v>
      </c>
      <c r="J66" s="16">
        <f t="shared" si="13"/>
        <v>1166.666667</v>
      </c>
      <c r="K66" s="16">
        <f t="shared" si="14"/>
        <v>833.3333333</v>
      </c>
      <c r="L66" s="31" t="s">
        <v>2</v>
      </c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1.0</v>
      </c>
      <c r="B67" s="12" t="s">
        <v>17</v>
      </c>
      <c r="C67" s="14" t="s">
        <v>19</v>
      </c>
      <c r="D67" s="15">
        <v>3000.0</v>
      </c>
      <c r="E67" s="15">
        <f t="shared" si="12"/>
        <v>3000</v>
      </c>
      <c r="F67" s="16"/>
      <c r="G67" s="24"/>
      <c r="H67" s="24"/>
      <c r="I67" s="15">
        <v>2333.0</v>
      </c>
      <c r="J67" s="16">
        <f t="shared" si="13"/>
        <v>2333</v>
      </c>
      <c r="K67" s="16">
        <f t="shared" si="14"/>
        <v>667</v>
      </c>
      <c r="L67" s="31" t="s">
        <v>2</v>
      </c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4.0</v>
      </c>
      <c r="B68" s="12" t="s">
        <v>17</v>
      </c>
      <c r="C68" s="14" t="s">
        <v>62</v>
      </c>
      <c r="D68" s="15">
        <v>1800.0</v>
      </c>
      <c r="E68" s="15">
        <f t="shared" si="12"/>
        <v>7200</v>
      </c>
      <c r="F68" s="16"/>
      <c r="G68" s="24"/>
      <c r="H68" s="24"/>
      <c r="I68" s="15">
        <v>1000.0</v>
      </c>
      <c r="J68" s="16">
        <f t="shared" si="13"/>
        <v>4000</v>
      </c>
      <c r="K68" s="16">
        <f t="shared" si="14"/>
        <v>3200</v>
      </c>
      <c r="L68" s="31" t="s">
        <v>2</v>
      </c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1.0</v>
      </c>
      <c r="B69" s="12" t="s">
        <v>42</v>
      </c>
      <c r="C69" s="14" t="s">
        <v>66</v>
      </c>
      <c r="D69" s="15">
        <v>12000.0</v>
      </c>
      <c r="E69" s="15">
        <f t="shared" si="12"/>
        <v>12000</v>
      </c>
      <c r="F69" s="16"/>
      <c r="G69" s="24"/>
      <c r="H69" s="24"/>
      <c r="I69" s="15">
        <v>9000.0</v>
      </c>
      <c r="J69" s="16">
        <f t="shared" si="13"/>
        <v>9000</v>
      </c>
      <c r="K69" s="16">
        <f t="shared" si="14"/>
        <v>3000</v>
      </c>
      <c r="L69" s="31" t="s">
        <v>2</v>
      </c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1.0</v>
      </c>
      <c r="B70" s="12" t="s">
        <v>17</v>
      </c>
      <c r="C70" s="14" t="s">
        <v>186</v>
      </c>
      <c r="D70" s="15">
        <v>19000.0</v>
      </c>
      <c r="E70" s="15">
        <f t="shared" si="12"/>
        <v>19000</v>
      </c>
      <c r="F70" s="16"/>
      <c r="G70" s="24"/>
      <c r="H70" s="24"/>
      <c r="I70" s="15">
        <v>17000.0</v>
      </c>
      <c r="J70" s="16">
        <f t="shared" si="13"/>
        <v>17000</v>
      </c>
      <c r="K70" s="16">
        <f t="shared" si="14"/>
        <v>2000</v>
      </c>
      <c r="L70" s="31" t="s">
        <v>2</v>
      </c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1.0</v>
      </c>
      <c r="B71" s="12" t="s">
        <v>32</v>
      </c>
      <c r="C71" s="14" t="s">
        <v>67</v>
      </c>
      <c r="D71" s="15">
        <v>18000.0</v>
      </c>
      <c r="E71" s="15">
        <f t="shared" si="12"/>
        <v>18000</v>
      </c>
      <c r="F71" s="16"/>
      <c r="G71" s="24"/>
      <c r="H71" s="24"/>
      <c r="I71" s="15">
        <v>15000.0</v>
      </c>
      <c r="J71" s="16">
        <f t="shared" si="13"/>
        <v>15000</v>
      </c>
      <c r="K71" s="16">
        <f t="shared" si="14"/>
        <v>3000</v>
      </c>
      <c r="L71" s="31" t="s">
        <v>2</v>
      </c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2.25</v>
      </c>
      <c r="B72" s="12" t="s">
        <v>17</v>
      </c>
      <c r="C72" s="14" t="s">
        <v>164</v>
      </c>
      <c r="D72" s="15">
        <v>4500.0</v>
      </c>
      <c r="E72" s="15">
        <f t="shared" si="12"/>
        <v>10125</v>
      </c>
      <c r="F72" s="16"/>
      <c r="G72" s="24"/>
      <c r="H72" s="24"/>
      <c r="I72" s="15">
        <f>13000/4</f>
        <v>3250</v>
      </c>
      <c r="J72" s="16">
        <f t="shared" si="13"/>
        <v>7312.5</v>
      </c>
      <c r="K72" s="16">
        <f t="shared" si="14"/>
        <v>2812.5</v>
      </c>
      <c r="L72" s="31" t="s">
        <v>2</v>
      </c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>
        <v>2.0</v>
      </c>
      <c r="B73" s="12" t="s">
        <v>17</v>
      </c>
      <c r="C73" s="14" t="s">
        <v>144</v>
      </c>
      <c r="D73" s="15">
        <v>4000.0</v>
      </c>
      <c r="E73" s="15">
        <f t="shared" si="12"/>
        <v>8000</v>
      </c>
      <c r="F73" s="16"/>
      <c r="G73" s="24"/>
      <c r="H73" s="24"/>
      <c r="I73" s="15">
        <v>2500.0</v>
      </c>
      <c r="J73" s="16">
        <f t="shared" si="13"/>
        <v>5000</v>
      </c>
      <c r="K73" s="16">
        <f t="shared" si="14"/>
        <v>3000</v>
      </c>
      <c r="L73" s="31" t="s">
        <v>2</v>
      </c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0.5</v>
      </c>
      <c r="B74" s="12" t="s">
        <v>32</v>
      </c>
      <c r="C74" s="14" t="s">
        <v>45</v>
      </c>
      <c r="D74" s="15">
        <v>46000.0</v>
      </c>
      <c r="E74" s="15">
        <f t="shared" si="12"/>
        <v>23000</v>
      </c>
      <c r="F74" s="16"/>
      <c r="G74" s="24"/>
      <c r="H74" s="24"/>
      <c r="I74" s="15">
        <v>40000.0</v>
      </c>
      <c r="J74" s="16">
        <f t="shared" si="13"/>
        <v>20000</v>
      </c>
      <c r="K74" s="16">
        <f t="shared" si="14"/>
        <v>3000</v>
      </c>
      <c r="L74" s="31" t="s">
        <v>2</v>
      </c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1.0</v>
      </c>
      <c r="B75" s="12" t="s">
        <v>5</v>
      </c>
      <c r="C75" s="14" t="s">
        <v>55</v>
      </c>
      <c r="D75" s="15">
        <v>2500.0</v>
      </c>
      <c r="E75" s="15">
        <f t="shared" si="12"/>
        <v>2500</v>
      </c>
      <c r="F75" s="16"/>
      <c r="G75" s="24"/>
      <c r="H75" s="24"/>
      <c r="I75" s="15">
        <v>1333.0</v>
      </c>
      <c r="J75" s="16">
        <f t="shared" si="13"/>
        <v>1333</v>
      </c>
      <c r="K75" s="16">
        <f t="shared" si="14"/>
        <v>1167</v>
      </c>
      <c r="L75" s="31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1.0</v>
      </c>
      <c r="B76" s="12" t="s">
        <v>28</v>
      </c>
      <c r="C76" s="14" t="s">
        <v>143</v>
      </c>
      <c r="D76" s="15">
        <v>3000.0</v>
      </c>
      <c r="E76" s="15">
        <f t="shared" si="12"/>
        <v>3000</v>
      </c>
      <c r="F76" s="16"/>
      <c r="G76" s="24"/>
      <c r="H76" s="24"/>
      <c r="I76" s="15">
        <v>2000.0</v>
      </c>
      <c r="J76" s="16">
        <f t="shared" si="13"/>
        <v>2000</v>
      </c>
      <c r="K76" s="16">
        <f t="shared" si="14"/>
        <v>1000</v>
      </c>
      <c r="L76" s="31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2.0</v>
      </c>
      <c r="B77" s="12" t="s">
        <v>17</v>
      </c>
      <c r="C77" s="14" t="s">
        <v>43</v>
      </c>
      <c r="D77" s="15">
        <v>3000.0</v>
      </c>
      <c r="E77" s="15">
        <f t="shared" si="12"/>
        <v>6000</v>
      </c>
      <c r="F77" s="16"/>
      <c r="G77" s="24"/>
      <c r="H77" s="24"/>
      <c r="I77" s="15">
        <v>3000.0</v>
      </c>
      <c r="J77" s="16">
        <f t="shared" si="13"/>
        <v>6000</v>
      </c>
      <c r="K77" s="16">
        <f t="shared" si="14"/>
        <v>0</v>
      </c>
      <c r="L77" s="31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2.0</v>
      </c>
      <c r="B78" s="12" t="s">
        <v>17</v>
      </c>
      <c r="C78" s="14" t="s">
        <v>44</v>
      </c>
      <c r="D78" s="15">
        <v>3000.0</v>
      </c>
      <c r="E78" s="15">
        <f t="shared" si="12"/>
        <v>6000</v>
      </c>
      <c r="F78" s="16"/>
      <c r="G78" s="24"/>
      <c r="H78" s="24"/>
      <c r="I78" s="15">
        <f>12000/8</f>
        <v>1500</v>
      </c>
      <c r="J78" s="16">
        <f t="shared" si="13"/>
        <v>3000</v>
      </c>
      <c r="K78" s="16">
        <f t="shared" si="14"/>
        <v>3000</v>
      </c>
      <c r="L78" s="31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10.0</v>
      </c>
      <c r="B79" s="12" t="s">
        <v>5</v>
      </c>
      <c r="C79" s="14" t="s">
        <v>38</v>
      </c>
      <c r="D79" s="15">
        <v>1400.0</v>
      </c>
      <c r="E79" s="15">
        <f t="shared" si="12"/>
        <v>14000</v>
      </c>
      <c r="F79" s="16"/>
      <c r="G79" s="24"/>
      <c r="H79" s="24"/>
      <c r="I79" s="15">
        <f>60000/70</f>
        <v>857.1428571</v>
      </c>
      <c r="J79" s="16">
        <f t="shared" si="13"/>
        <v>8571.428571</v>
      </c>
      <c r="K79" s="16">
        <f t="shared" si="14"/>
        <v>5428.571429</v>
      </c>
      <c r="L79" s="31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>
        <v>1.0</v>
      </c>
      <c r="B80" s="12" t="s">
        <v>32</v>
      </c>
      <c r="C80" s="14" t="s">
        <v>20</v>
      </c>
      <c r="D80" s="15">
        <v>22000.0</v>
      </c>
      <c r="E80" s="15">
        <f t="shared" si="12"/>
        <v>22000</v>
      </c>
      <c r="F80" s="16"/>
      <c r="G80" s="24"/>
      <c r="H80" s="24"/>
      <c r="I80" s="15">
        <v>18000.0</v>
      </c>
      <c r="J80" s="16">
        <f t="shared" si="13"/>
        <v>18000</v>
      </c>
      <c r="K80" s="16">
        <f t="shared" si="14"/>
        <v>4000</v>
      </c>
      <c r="L80" s="31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1.0</v>
      </c>
      <c r="B81" s="12" t="s">
        <v>17</v>
      </c>
      <c r="C81" s="14" t="s">
        <v>31</v>
      </c>
      <c r="D81" s="15">
        <v>2200.0</v>
      </c>
      <c r="E81" s="15">
        <f t="shared" si="12"/>
        <v>2200</v>
      </c>
      <c r="F81" s="16"/>
      <c r="G81" s="24"/>
      <c r="H81" s="24"/>
      <c r="I81" s="15">
        <v>1500.0</v>
      </c>
      <c r="J81" s="16">
        <f t="shared" si="13"/>
        <v>1500</v>
      </c>
      <c r="K81" s="16">
        <f t="shared" si="14"/>
        <v>700</v>
      </c>
      <c r="L81" s="31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2.0</v>
      </c>
      <c r="B82" s="12" t="s">
        <v>28</v>
      </c>
      <c r="C82" s="14" t="s">
        <v>172</v>
      </c>
      <c r="D82" s="15">
        <v>5000.0</v>
      </c>
      <c r="E82" s="15">
        <f t="shared" si="12"/>
        <v>10000</v>
      </c>
      <c r="F82" s="16"/>
      <c r="G82" s="24"/>
      <c r="H82" s="24"/>
      <c r="I82" s="15">
        <v>4000.0</v>
      </c>
      <c r="J82" s="16">
        <f t="shared" si="13"/>
        <v>8000</v>
      </c>
      <c r="K82" s="16">
        <f t="shared" si="14"/>
        <v>2000</v>
      </c>
      <c r="L82" s="31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>
        <v>1.0</v>
      </c>
      <c r="B83" s="12" t="s">
        <v>5</v>
      </c>
      <c r="C83" s="14" t="s">
        <v>187</v>
      </c>
      <c r="D83" s="15">
        <v>2000.0</v>
      </c>
      <c r="E83" s="15">
        <f t="shared" si="12"/>
        <v>2000</v>
      </c>
      <c r="F83" s="16"/>
      <c r="G83" s="24"/>
      <c r="H83" s="24"/>
      <c r="I83" s="15">
        <v>1200.0</v>
      </c>
      <c r="J83" s="16">
        <f t="shared" si="13"/>
        <v>1200</v>
      </c>
      <c r="K83" s="16">
        <f t="shared" si="14"/>
        <v>800</v>
      </c>
      <c r="L83" s="31" t="s">
        <v>2</v>
      </c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>
        <v>1.0</v>
      </c>
      <c r="B84" s="12" t="s">
        <v>5</v>
      </c>
      <c r="C84" s="14" t="s">
        <v>188</v>
      </c>
      <c r="D84" s="15">
        <v>2000.0</v>
      </c>
      <c r="E84" s="15">
        <f t="shared" si="12"/>
        <v>2000</v>
      </c>
      <c r="F84" s="16"/>
      <c r="G84" s="24"/>
      <c r="H84" s="24"/>
      <c r="I84" s="15">
        <v>1200.0</v>
      </c>
      <c r="J84" s="16">
        <f t="shared" si="13"/>
        <v>1200</v>
      </c>
      <c r="K84" s="16">
        <f t="shared" si="14"/>
        <v>800</v>
      </c>
      <c r="L84" s="31" t="s">
        <v>2</v>
      </c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3">
        <v>1.0</v>
      </c>
      <c r="B85" s="12" t="s">
        <v>28</v>
      </c>
      <c r="C85" s="14" t="s">
        <v>137</v>
      </c>
      <c r="D85" s="15">
        <v>3000.0</v>
      </c>
      <c r="E85" s="15">
        <f t="shared" si="12"/>
        <v>3000</v>
      </c>
      <c r="F85" s="16"/>
      <c r="G85" s="24"/>
      <c r="H85" s="24"/>
      <c r="I85" s="15">
        <v>2000.0</v>
      </c>
      <c r="J85" s="16">
        <f t="shared" si="13"/>
        <v>2000</v>
      </c>
      <c r="K85" s="16">
        <f t="shared" si="14"/>
        <v>1000</v>
      </c>
      <c r="L85" s="31" t="s">
        <v>2</v>
      </c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>
        <v>5.0</v>
      </c>
      <c r="B86" s="12" t="s">
        <v>17</v>
      </c>
      <c r="C86" s="14" t="s">
        <v>162</v>
      </c>
      <c r="D86" s="15">
        <v>2800.0</v>
      </c>
      <c r="E86" s="15">
        <f t="shared" si="12"/>
        <v>14000</v>
      </c>
      <c r="F86" s="16"/>
      <c r="G86" s="24"/>
      <c r="H86" s="24"/>
      <c r="I86" s="15">
        <f>30000/15</f>
        <v>2000</v>
      </c>
      <c r="J86" s="16">
        <f t="shared" si="13"/>
        <v>10000</v>
      </c>
      <c r="K86" s="16">
        <f t="shared" si="14"/>
        <v>4000</v>
      </c>
      <c r="L86" s="31" t="s">
        <v>2</v>
      </c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>
        <v>7.85</v>
      </c>
      <c r="B87" s="12" t="s">
        <v>17</v>
      </c>
      <c r="C87" s="14" t="s">
        <v>189</v>
      </c>
      <c r="D87" s="15">
        <v>1200.0</v>
      </c>
      <c r="E87" s="15">
        <f t="shared" si="12"/>
        <v>9420</v>
      </c>
      <c r="F87" s="16"/>
      <c r="G87" s="24"/>
      <c r="H87" s="24"/>
      <c r="I87" s="15">
        <f>9000/15</f>
        <v>600</v>
      </c>
      <c r="J87" s="16">
        <f t="shared" si="13"/>
        <v>4710</v>
      </c>
      <c r="K87" s="16">
        <f t="shared" si="14"/>
        <v>4710</v>
      </c>
      <c r="L87" s="31" t="s">
        <v>2</v>
      </c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1.5</v>
      </c>
      <c r="B88" s="12" t="s">
        <v>17</v>
      </c>
      <c r="C88" s="14" t="s">
        <v>190</v>
      </c>
      <c r="D88" s="15">
        <v>1200.0</v>
      </c>
      <c r="E88" s="15">
        <f t="shared" si="12"/>
        <v>1800</v>
      </c>
      <c r="F88" s="16"/>
      <c r="G88" s="24"/>
      <c r="H88" s="24"/>
      <c r="I88" s="15">
        <f>10000/14</f>
        <v>714.2857143</v>
      </c>
      <c r="J88" s="16">
        <f t="shared" si="13"/>
        <v>1071.428571</v>
      </c>
      <c r="K88" s="16">
        <f t="shared" si="14"/>
        <v>728.5714286</v>
      </c>
      <c r="L88" s="31" t="s">
        <v>2</v>
      </c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3.0</v>
      </c>
      <c r="B89" s="12" t="s">
        <v>32</v>
      </c>
      <c r="C89" s="14" t="s">
        <v>152</v>
      </c>
      <c r="D89" s="15">
        <v>50000.0</v>
      </c>
      <c r="E89" s="15">
        <f t="shared" si="12"/>
        <v>150000</v>
      </c>
      <c r="F89" s="16"/>
      <c r="G89" s="24"/>
      <c r="H89" s="24"/>
      <c r="I89" s="15">
        <v>40000.0</v>
      </c>
      <c r="J89" s="16">
        <f t="shared" si="13"/>
        <v>120000</v>
      </c>
      <c r="K89" s="16">
        <f t="shared" si="14"/>
        <v>30000</v>
      </c>
      <c r="L89" s="31" t="s">
        <v>2</v>
      </c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/>
      <c r="B90" s="12"/>
      <c r="C90" s="14"/>
      <c r="D90" s="15"/>
      <c r="E90" s="16"/>
      <c r="F90" s="16"/>
      <c r="G90" s="24"/>
      <c r="H90" s="24"/>
      <c r="I90" s="16"/>
      <c r="J90" s="16"/>
      <c r="K90" s="16"/>
      <c r="L90" s="30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/>
      <c r="B91" s="12"/>
      <c r="C91" s="14"/>
      <c r="D91" s="15"/>
      <c r="E91" s="16">
        <f>SUM(E65:E89)</f>
        <v>355245</v>
      </c>
      <c r="F91" s="16"/>
      <c r="G91" s="24"/>
      <c r="H91" s="24"/>
      <c r="I91" s="16"/>
      <c r="J91" s="16"/>
      <c r="K91" s="16">
        <f>SUM(K65:K89)</f>
        <v>82513.64286</v>
      </c>
      <c r="L91" s="30">
        <f>K91/E91</f>
        <v>0.232272496</v>
      </c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33"/>
      <c r="B92" s="34"/>
      <c r="C92" s="2"/>
      <c r="D92" s="3"/>
      <c r="E92" s="3"/>
      <c r="F92" s="3"/>
      <c r="G92" s="2"/>
      <c r="H92" s="2"/>
      <c r="I92" s="2"/>
      <c r="J92" s="2"/>
      <c r="K92" s="3"/>
      <c r="L92" s="4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33"/>
      <c r="B93" s="34"/>
      <c r="C93" s="2"/>
      <c r="D93" s="3"/>
      <c r="E93" s="3"/>
      <c r="F93" s="3"/>
      <c r="G93" s="2"/>
      <c r="H93" s="2"/>
      <c r="I93" s="2"/>
      <c r="J93" s="2"/>
      <c r="K93" s="3"/>
      <c r="L93" s="4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33"/>
      <c r="B94" s="34"/>
      <c r="C94" s="2"/>
      <c r="D94" s="3"/>
      <c r="E94" s="3"/>
      <c r="F94" s="3"/>
      <c r="G94" s="2"/>
      <c r="H94" s="2"/>
      <c r="I94" s="2"/>
      <c r="J94" s="2"/>
      <c r="K94" s="3"/>
      <c r="L94" s="4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23" t="s">
        <v>80</v>
      </c>
      <c r="B95" s="23"/>
      <c r="C95" s="23"/>
      <c r="D95" s="25" t="s">
        <v>191</v>
      </c>
      <c r="E95" s="7">
        <v>46031.0</v>
      </c>
      <c r="G95" s="24"/>
      <c r="H95" s="24"/>
      <c r="I95" s="16"/>
      <c r="J95" s="16"/>
      <c r="K95" s="16"/>
      <c r="L95" s="29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B96" s="24"/>
      <c r="C96" s="26"/>
      <c r="D96" s="24"/>
      <c r="E96" s="24"/>
      <c r="F96" s="24"/>
      <c r="G96" s="24"/>
      <c r="H96" s="24"/>
      <c r="I96" s="16"/>
      <c r="J96" s="16"/>
      <c r="K96" s="16"/>
      <c r="L96" s="29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5" t="s">
        <v>4</v>
      </c>
      <c r="B97" s="10" t="s">
        <v>5</v>
      </c>
      <c r="C97" s="11" t="s">
        <v>6</v>
      </c>
      <c r="D97" s="12" t="s">
        <v>7</v>
      </c>
      <c r="E97" s="10" t="s">
        <v>8</v>
      </c>
      <c r="F97" s="12"/>
      <c r="G97" s="24"/>
      <c r="H97" s="24"/>
      <c r="I97" s="12" t="s">
        <v>7</v>
      </c>
      <c r="J97" s="12" t="s">
        <v>8</v>
      </c>
      <c r="K97" s="12" t="s">
        <v>10</v>
      </c>
      <c r="L97" s="29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1.0</v>
      </c>
      <c r="B98" s="12" t="s">
        <v>32</v>
      </c>
      <c r="C98" s="14" t="s">
        <v>147</v>
      </c>
      <c r="D98" s="15">
        <v>15000.0</v>
      </c>
      <c r="E98" s="15">
        <f t="shared" ref="E98:E102" si="15">A98*D98</f>
        <v>15000</v>
      </c>
      <c r="F98" s="16"/>
      <c r="G98" s="24"/>
      <c r="H98" s="24"/>
      <c r="I98" s="15">
        <v>6000.0</v>
      </c>
      <c r="J98" s="16">
        <f t="shared" ref="J98:J102" si="16">I98*A98</f>
        <v>6000</v>
      </c>
      <c r="K98" s="16">
        <f t="shared" ref="K98:K102" si="17">E98-J98</f>
        <v>9000</v>
      </c>
      <c r="L98" s="30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>
        <v>0.5</v>
      </c>
      <c r="B99" s="12" t="s">
        <v>32</v>
      </c>
      <c r="C99" s="14" t="s">
        <v>35</v>
      </c>
      <c r="D99" s="15">
        <v>36000.0</v>
      </c>
      <c r="E99" s="15">
        <f t="shared" si="15"/>
        <v>18000</v>
      </c>
      <c r="F99" s="16"/>
      <c r="G99" s="24"/>
      <c r="H99" s="24"/>
      <c r="I99" s="16">
        <v>30000.0</v>
      </c>
      <c r="J99" s="16">
        <f t="shared" si="16"/>
        <v>15000</v>
      </c>
      <c r="K99" s="16">
        <f t="shared" si="17"/>
        <v>3000</v>
      </c>
      <c r="L99" s="30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>
        <v>1.0</v>
      </c>
      <c r="B100" s="12" t="s">
        <v>17</v>
      </c>
      <c r="C100" s="14" t="s">
        <v>168</v>
      </c>
      <c r="D100" s="15">
        <v>4000.0</v>
      </c>
      <c r="E100" s="15">
        <f t="shared" si="15"/>
        <v>4000</v>
      </c>
      <c r="F100" s="16"/>
      <c r="G100" s="24"/>
      <c r="H100" s="24"/>
      <c r="I100" s="81">
        <v>0.0</v>
      </c>
      <c r="J100" s="16">
        <f t="shared" si="16"/>
        <v>0</v>
      </c>
      <c r="K100" s="16">
        <f t="shared" si="17"/>
        <v>4000</v>
      </c>
      <c r="L100" s="30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>
        <v>3.0</v>
      </c>
      <c r="B101" s="12" t="s">
        <v>5</v>
      </c>
      <c r="C101" s="14" t="s">
        <v>38</v>
      </c>
      <c r="D101" s="15">
        <v>1400.0</v>
      </c>
      <c r="E101" s="15">
        <f t="shared" si="15"/>
        <v>4200</v>
      </c>
      <c r="F101" s="16"/>
      <c r="G101" s="24"/>
      <c r="H101" s="24"/>
      <c r="I101" s="15">
        <f>60000/70</f>
        <v>857.1428571</v>
      </c>
      <c r="J101" s="16">
        <f t="shared" si="16"/>
        <v>2571.428571</v>
      </c>
      <c r="K101" s="16">
        <f t="shared" si="17"/>
        <v>1628.571429</v>
      </c>
      <c r="L101" s="30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>
        <v>0.25</v>
      </c>
      <c r="B102" s="12" t="s">
        <v>17</v>
      </c>
      <c r="C102" s="14" t="s">
        <v>192</v>
      </c>
      <c r="D102" s="15">
        <v>4200.0</v>
      </c>
      <c r="E102" s="15">
        <f t="shared" si="15"/>
        <v>1050</v>
      </c>
      <c r="F102" s="16"/>
      <c r="G102" s="24"/>
      <c r="H102" s="24"/>
      <c r="I102" s="16">
        <f>26000/8</f>
        <v>3250</v>
      </c>
      <c r="J102" s="16">
        <f t="shared" si="16"/>
        <v>812.5</v>
      </c>
      <c r="K102" s="16">
        <f t="shared" si="17"/>
        <v>237.5</v>
      </c>
      <c r="L102" s="31" t="s">
        <v>2</v>
      </c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/>
      <c r="B103" s="12"/>
      <c r="C103" s="14"/>
      <c r="D103" s="15"/>
      <c r="E103" s="16"/>
      <c r="F103" s="16"/>
      <c r="G103" s="24"/>
      <c r="H103" s="24"/>
      <c r="I103" s="16"/>
      <c r="J103" s="16"/>
      <c r="K103" s="16"/>
      <c r="L103" s="30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/>
      <c r="B104" s="12"/>
      <c r="C104" s="14"/>
      <c r="D104" s="15"/>
      <c r="E104" s="16">
        <f>SUM(E98:E102)</f>
        <v>42250</v>
      </c>
      <c r="F104" s="16"/>
      <c r="G104" s="24"/>
      <c r="H104" s="24"/>
      <c r="I104" s="16"/>
      <c r="J104" s="16"/>
      <c r="K104" s="16">
        <f>SUM(K98:K102)</f>
        <v>17866.07143</v>
      </c>
      <c r="L104" s="30">
        <f>K104/E104</f>
        <v>0.4228655959</v>
      </c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33"/>
      <c r="B105" s="34"/>
      <c r="C105" s="2"/>
      <c r="D105" s="3"/>
      <c r="E105" s="3"/>
      <c r="F105" s="3"/>
      <c r="G105" s="2"/>
      <c r="H105" s="2"/>
      <c r="I105" s="2"/>
      <c r="J105" s="2"/>
      <c r="K105" s="3"/>
      <c r="L105" s="4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1"/>
      <c r="P106" s="21"/>
      <c r="Q106" s="21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33"/>
      <c r="B107" s="34"/>
      <c r="C107" s="2"/>
      <c r="D107" s="3"/>
      <c r="E107" s="3"/>
      <c r="F107" s="3"/>
      <c r="G107" s="2"/>
      <c r="H107" s="2"/>
      <c r="I107" s="2"/>
      <c r="J107" s="2"/>
      <c r="K107" s="3"/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23" t="s">
        <v>83</v>
      </c>
      <c r="B108" s="23"/>
      <c r="C108" s="23"/>
      <c r="D108" s="25" t="s">
        <v>167</v>
      </c>
      <c r="E108" s="7">
        <v>46031.0</v>
      </c>
      <c r="F108" s="28"/>
      <c r="G108" s="24"/>
      <c r="H108" s="24"/>
      <c r="I108" s="16"/>
      <c r="J108" s="16"/>
      <c r="K108" s="16"/>
      <c r="L108" s="29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B109" s="24"/>
      <c r="C109" s="26"/>
      <c r="D109" s="24"/>
      <c r="E109" s="24"/>
      <c r="F109" s="24"/>
      <c r="G109" s="24"/>
      <c r="H109" s="24"/>
      <c r="I109" s="16"/>
      <c r="J109" s="16"/>
      <c r="K109" s="16"/>
      <c r="L109" s="29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5" t="s">
        <v>4</v>
      </c>
      <c r="B110" s="10" t="s">
        <v>5</v>
      </c>
      <c r="C110" s="11" t="s">
        <v>28</v>
      </c>
      <c r="D110" s="12" t="s">
        <v>7</v>
      </c>
      <c r="E110" s="10" t="s">
        <v>8</v>
      </c>
      <c r="F110" s="12"/>
      <c r="G110" s="24"/>
      <c r="H110" s="24"/>
      <c r="I110" s="12" t="s">
        <v>7</v>
      </c>
      <c r="J110" s="12" t="s">
        <v>8</v>
      </c>
      <c r="K110" s="12" t="s">
        <v>10</v>
      </c>
      <c r="L110" s="29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>
        <v>2.0</v>
      </c>
      <c r="B111" s="12" t="s">
        <v>28</v>
      </c>
      <c r="C111" s="14" t="s">
        <v>74</v>
      </c>
      <c r="D111" s="15">
        <v>1000.0</v>
      </c>
      <c r="E111" s="15">
        <f t="shared" ref="E111:E124" si="18">A111*D111</f>
        <v>2000</v>
      </c>
      <c r="F111" s="16"/>
      <c r="G111" s="24"/>
      <c r="H111" s="24"/>
      <c r="I111" s="16">
        <v>583.0</v>
      </c>
      <c r="J111" s="16">
        <f t="shared" ref="J111:J124" si="19">I111*A111</f>
        <v>1166</v>
      </c>
      <c r="K111" s="16">
        <f t="shared" ref="K111:K124" si="20">E111-J111</f>
        <v>834</v>
      </c>
      <c r="L111" s="31" t="s">
        <v>2</v>
      </c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3.0</v>
      </c>
      <c r="B112" s="12" t="s">
        <v>17</v>
      </c>
      <c r="C112" s="14" t="s">
        <v>35</v>
      </c>
      <c r="D112" s="15">
        <v>2800.0</v>
      </c>
      <c r="E112" s="15">
        <f t="shared" si="18"/>
        <v>8400</v>
      </c>
      <c r="F112" s="16"/>
      <c r="G112" s="24"/>
      <c r="H112" s="24"/>
      <c r="I112" s="16">
        <f>30000/15</f>
        <v>2000</v>
      </c>
      <c r="J112" s="16">
        <f t="shared" si="19"/>
        <v>6000</v>
      </c>
      <c r="K112" s="16">
        <f t="shared" si="20"/>
        <v>2400</v>
      </c>
      <c r="L112" s="31" t="s">
        <v>2</v>
      </c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1.0</v>
      </c>
      <c r="B113" s="12" t="s">
        <v>28</v>
      </c>
      <c r="C113" s="14" t="s">
        <v>193</v>
      </c>
      <c r="D113" s="15">
        <v>3000.0</v>
      </c>
      <c r="E113" s="15">
        <f t="shared" si="18"/>
        <v>3000</v>
      </c>
      <c r="F113" s="16"/>
      <c r="G113" s="24"/>
      <c r="H113" s="24"/>
      <c r="I113" s="16">
        <v>2000.0</v>
      </c>
      <c r="J113" s="16">
        <f t="shared" si="19"/>
        <v>2000</v>
      </c>
      <c r="K113" s="16">
        <f t="shared" si="20"/>
        <v>1000</v>
      </c>
      <c r="L113" s="31" t="s">
        <v>2</v>
      </c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1.0</v>
      </c>
      <c r="B114" s="12" t="s">
        <v>28</v>
      </c>
      <c r="C114" s="14" t="s">
        <v>138</v>
      </c>
      <c r="D114" s="15">
        <v>3000.0</v>
      </c>
      <c r="E114" s="15">
        <f t="shared" si="18"/>
        <v>3000</v>
      </c>
      <c r="F114" s="16"/>
      <c r="G114" s="24"/>
      <c r="H114" s="24"/>
      <c r="I114" s="16">
        <v>2000.0</v>
      </c>
      <c r="J114" s="16">
        <f t="shared" si="19"/>
        <v>2000</v>
      </c>
      <c r="K114" s="16">
        <f t="shared" si="20"/>
        <v>1000</v>
      </c>
      <c r="L114" s="31" t="s">
        <v>2</v>
      </c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1.0</v>
      </c>
      <c r="B115" s="12" t="s">
        <v>28</v>
      </c>
      <c r="C115" s="14" t="s">
        <v>78</v>
      </c>
      <c r="D115" s="15">
        <v>4000.0</v>
      </c>
      <c r="E115" s="15">
        <f t="shared" si="18"/>
        <v>4000</v>
      </c>
      <c r="F115" s="16"/>
      <c r="G115" s="24"/>
      <c r="H115" s="24"/>
      <c r="I115" s="16">
        <v>3000.0</v>
      </c>
      <c r="J115" s="16">
        <f t="shared" si="19"/>
        <v>3000</v>
      </c>
      <c r="K115" s="16">
        <f t="shared" si="20"/>
        <v>1000</v>
      </c>
      <c r="L115" s="31" t="s">
        <v>2</v>
      </c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2.0</v>
      </c>
      <c r="B116" s="12" t="s">
        <v>17</v>
      </c>
      <c r="C116" s="14" t="s">
        <v>194</v>
      </c>
      <c r="D116" s="15">
        <v>3000.0</v>
      </c>
      <c r="E116" s="15">
        <f t="shared" si="18"/>
        <v>6000</v>
      </c>
      <c r="F116" s="16"/>
      <c r="G116" s="24"/>
      <c r="H116" s="24"/>
      <c r="I116" s="16">
        <f>12000/8</f>
        <v>1500</v>
      </c>
      <c r="J116" s="16">
        <f t="shared" si="19"/>
        <v>3000</v>
      </c>
      <c r="K116" s="16">
        <f t="shared" si="20"/>
        <v>3000</v>
      </c>
      <c r="L116" s="31" t="s">
        <v>2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>
        <v>2.0</v>
      </c>
      <c r="B117" s="12" t="s">
        <v>17</v>
      </c>
      <c r="C117" s="14" t="s">
        <v>195</v>
      </c>
      <c r="D117" s="15">
        <v>3000.0</v>
      </c>
      <c r="E117" s="15">
        <f t="shared" si="18"/>
        <v>6000</v>
      </c>
      <c r="F117" s="16"/>
      <c r="G117" s="24"/>
      <c r="H117" s="24"/>
      <c r="I117" s="16">
        <v>2000.0</v>
      </c>
      <c r="J117" s="16">
        <f t="shared" si="19"/>
        <v>4000</v>
      </c>
      <c r="K117" s="16">
        <f t="shared" si="20"/>
        <v>2000</v>
      </c>
      <c r="L117" s="31" t="s">
        <v>2</v>
      </c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>
        <v>1.0</v>
      </c>
      <c r="B118" s="12" t="s">
        <v>42</v>
      </c>
      <c r="C118" s="14" t="s">
        <v>180</v>
      </c>
      <c r="D118" s="15">
        <v>21000.0</v>
      </c>
      <c r="E118" s="15">
        <f t="shared" si="18"/>
        <v>21000</v>
      </c>
      <c r="F118" s="16"/>
      <c r="G118" s="24"/>
      <c r="H118" s="24"/>
      <c r="I118" s="16">
        <v>18000.0</v>
      </c>
      <c r="J118" s="16">
        <f t="shared" si="19"/>
        <v>18000</v>
      </c>
      <c r="K118" s="16">
        <f t="shared" si="20"/>
        <v>3000</v>
      </c>
      <c r="L118" s="31" t="s">
        <v>2</v>
      </c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3">
        <v>1.0</v>
      </c>
      <c r="B119" s="12" t="s">
        <v>32</v>
      </c>
      <c r="C119" s="14" t="s">
        <v>147</v>
      </c>
      <c r="D119" s="15">
        <v>12000.0</v>
      </c>
      <c r="E119" s="15">
        <f t="shared" si="18"/>
        <v>12000</v>
      </c>
      <c r="F119" s="16"/>
      <c r="G119" s="24"/>
      <c r="H119" s="24"/>
      <c r="I119" s="16">
        <v>6000.0</v>
      </c>
      <c r="J119" s="16">
        <f t="shared" si="19"/>
        <v>6000</v>
      </c>
      <c r="K119" s="16">
        <f t="shared" si="20"/>
        <v>6000</v>
      </c>
      <c r="L119" s="31" t="s">
        <v>2</v>
      </c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>
        <v>0.5</v>
      </c>
      <c r="B120" s="12" t="s">
        <v>32</v>
      </c>
      <c r="C120" s="14" t="s">
        <v>168</v>
      </c>
      <c r="D120" s="15">
        <v>14000.0</v>
      </c>
      <c r="E120" s="15">
        <f t="shared" si="18"/>
        <v>7000</v>
      </c>
      <c r="F120" s="16"/>
      <c r="G120" s="24"/>
      <c r="H120" s="24"/>
      <c r="I120" s="16">
        <v>10000.0</v>
      </c>
      <c r="J120" s="16">
        <f t="shared" si="19"/>
        <v>5000</v>
      </c>
      <c r="K120" s="16">
        <f t="shared" si="20"/>
        <v>2000</v>
      </c>
      <c r="L120" s="31" t="s">
        <v>2</v>
      </c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>
        <v>0.5</v>
      </c>
      <c r="B121" s="12" t="s">
        <v>32</v>
      </c>
      <c r="C121" s="14" t="s">
        <v>196</v>
      </c>
      <c r="D121" s="15">
        <v>9000.0</v>
      </c>
      <c r="E121" s="15">
        <f t="shared" si="18"/>
        <v>4500</v>
      </c>
      <c r="F121" s="16"/>
      <c r="G121" s="24"/>
      <c r="H121" s="24"/>
      <c r="I121" s="16">
        <v>5000.0</v>
      </c>
      <c r="J121" s="16">
        <f t="shared" si="19"/>
        <v>2500</v>
      </c>
      <c r="K121" s="16">
        <f t="shared" si="20"/>
        <v>2000</v>
      </c>
      <c r="L121" s="31" t="s">
        <v>2</v>
      </c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3">
        <v>1.0</v>
      </c>
      <c r="B122" s="12" t="s">
        <v>28</v>
      </c>
      <c r="C122" s="14" t="s">
        <v>197</v>
      </c>
      <c r="D122" s="15">
        <v>3000.0</v>
      </c>
      <c r="E122" s="15">
        <f t="shared" si="18"/>
        <v>3000</v>
      </c>
      <c r="F122" s="16"/>
      <c r="G122" s="24"/>
      <c r="H122" s="24"/>
      <c r="I122" s="16">
        <v>2000.0</v>
      </c>
      <c r="J122" s="16">
        <f t="shared" si="19"/>
        <v>2000</v>
      </c>
      <c r="K122" s="16">
        <f t="shared" si="20"/>
        <v>1000</v>
      </c>
      <c r="L122" s="31" t="s">
        <v>2</v>
      </c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>
        <v>2.0</v>
      </c>
      <c r="B123" s="12" t="s">
        <v>17</v>
      </c>
      <c r="C123" s="14" t="s">
        <v>198</v>
      </c>
      <c r="D123" s="15">
        <v>1200.0</v>
      </c>
      <c r="E123" s="15">
        <f t="shared" si="18"/>
        <v>2400</v>
      </c>
      <c r="F123" s="16"/>
      <c r="G123" s="24"/>
      <c r="H123" s="24"/>
      <c r="I123" s="16">
        <f>10000/14</f>
        <v>714.2857143</v>
      </c>
      <c r="J123" s="16">
        <f t="shared" si="19"/>
        <v>1428.571429</v>
      </c>
      <c r="K123" s="16">
        <f t="shared" si="20"/>
        <v>971.4285714</v>
      </c>
      <c r="L123" s="31" t="s">
        <v>2</v>
      </c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>
        <v>1.0</v>
      </c>
      <c r="B124" s="12" t="s">
        <v>32</v>
      </c>
      <c r="C124" s="14" t="s">
        <v>182</v>
      </c>
      <c r="D124" s="15">
        <v>46000.0</v>
      </c>
      <c r="E124" s="15">
        <f t="shared" si="18"/>
        <v>46000</v>
      </c>
      <c r="F124" s="16"/>
      <c r="G124" s="24"/>
      <c r="H124" s="24"/>
      <c r="I124" s="16">
        <v>40000.0</v>
      </c>
      <c r="J124" s="16">
        <f t="shared" si="19"/>
        <v>40000</v>
      </c>
      <c r="K124" s="16">
        <f t="shared" si="20"/>
        <v>6000</v>
      </c>
      <c r="L124" s="31" t="s">
        <v>2</v>
      </c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/>
      <c r="B125" s="12"/>
      <c r="C125" s="14"/>
      <c r="D125" s="15"/>
      <c r="E125" s="16"/>
      <c r="F125" s="16"/>
      <c r="H125" s="24"/>
      <c r="I125" s="16"/>
      <c r="J125" s="16"/>
      <c r="K125" s="16"/>
      <c r="L125" s="30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3"/>
      <c r="B126" s="12"/>
      <c r="C126" s="14"/>
      <c r="D126" s="15"/>
      <c r="E126" s="16">
        <f>SUM(E111:E125)</f>
        <v>128300</v>
      </c>
      <c r="F126" s="16"/>
      <c r="G126" s="24"/>
      <c r="H126" s="24"/>
      <c r="I126" s="16"/>
      <c r="J126" s="16"/>
      <c r="K126" s="16">
        <f>SUM(K111:K124)</f>
        <v>32205.42857</v>
      </c>
      <c r="L126" s="30">
        <f>K126/E126</f>
        <v>0.2510165906</v>
      </c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13"/>
      <c r="B127" s="12"/>
      <c r="C127" s="14"/>
      <c r="D127" s="15"/>
      <c r="E127" s="3"/>
      <c r="F127" s="3"/>
      <c r="G127" s="2"/>
      <c r="H127" s="2"/>
      <c r="I127" s="2"/>
      <c r="J127" s="2"/>
      <c r="K127" s="3"/>
      <c r="L127" s="4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3"/>
      <c r="B128" s="12"/>
      <c r="C128" s="14"/>
      <c r="D128" s="15"/>
      <c r="E128" s="3"/>
      <c r="F128" s="3"/>
      <c r="G128" s="2"/>
      <c r="H128" s="2"/>
      <c r="I128" s="2"/>
      <c r="J128" s="2"/>
      <c r="K128" s="3"/>
      <c r="L128" s="4"/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23"/>
      <c r="B129" s="23"/>
      <c r="C129" s="23"/>
      <c r="D129" s="25"/>
      <c r="E129" s="7"/>
      <c r="F129" s="28"/>
      <c r="G129" s="24"/>
      <c r="H129" s="24"/>
      <c r="I129" s="16"/>
      <c r="J129" s="16"/>
      <c r="K129" s="16"/>
      <c r="L129" s="29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23" t="s">
        <v>199</v>
      </c>
      <c r="B130" s="23"/>
      <c r="C130" s="23"/>
      <c r="D130" s="25" t="s">
        <v>200</v>
      </c>
      <c r="E130" s="7">
        <v>46031.0</v>
      </c>
      <c r="F130" s="28"/>
      <c r="G130" s="24"/>
      <c r="H130" s="24"/>
      <c r="I130" s="16"/>
      <c r="J130" s="16"/>
      <c r="K130" s="16"/>
      <c r="L130" s="29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B131" s="24"/>
      <c r="C131" s="26"/>
      <c r="D131" s="24"/>
      <c r="E131" s="24"/>
      <c r="F131" s="24"/>
      <c r="G131" s="24"/>
      <c r="H131" s="24"/>
      <c r="I131" s="16"/>
      <c r="J131" s="16"/>
      <c r="K131" s="16"/>
      <c r="L131" s="29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5" t="s">
        <v>4</v>
      </c>
      <c r="B132" s="10" t="s">
        <v>5</v>
      </c>
      <c r="C132" s="11" t="s">
        <v>6</v>
      </c>
      <c r="D132" s="12" t="s">
        <v>7</v>
      </c>
      <c r="E132" s="10" t="s">
        <v>8</v>
      </c>
      <c r="F132" s="12"/>
      <c r="G132" s="24"/>
      <c r="H132" s="24"/>
      <c r="I132" s="12" t="s">
        <v>7</v>
      </c>
      <c r="J132" s="12" t="s">
        <v>8</v>
      </c>
      <c r="K132" s="12" t="s">
        <v>10</v>
      </c>
      <c r="L132" s="29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3">
        <v>1.0</v>
      </c>
      <c r="B133" s="12" t="s">
        <v>13</v>
      </c>
      <c r="C133" s="14" t="s">
        <v>201</v>
      </c>
      <c r="D133" s="15">
        <v>20000.0</v>
      </c>
      <c r="E133" s="15">
        <f t="shared" ref="E133:E143" si="21">A133*D133</f>
        <v>20000</v>
      </c>
      <c r="F133" s="16"/>
      <c r="G133" s="24"/>
      <c r="H133" s="24"/>
      <c r="I133" s="16">
        <v>13000.0</v>
      </c>
      <c r="J133" s="16">
        <f t="shared" ref="J133:J143" si="22">I133*A133</f>
        <v>13000</v>
      </c>
      <c r="K133" s="16">
        <f t="shared" ref="K133:K143" si="23">E133-J133</f>
        <v>7000</v>
      </c>
      <c r="L133" s="31" t="s">
        <v>2</v>
      </c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3">
        <v>30.0</v>
      </c>
      <c r="B134" s="12" t="s">
        <v>5</v>
      </c>
      <c r="C134" s="14" t="s">
        <v>38</v>
      </c>
      <c r="D134" s="15">
        <v>1400.0</v>
      </c>
      <c r="E134" s="15">
        <f t="shared" si="21"/>
        <v>42000</v>
      </c>
      <c r="F134" s="16"/>
      <c r="G134" s="24"/>
      <c r="H134" s="24"/>
      <c r="I134" s="16">
        <f>60000/70</f>
        <v>857.1428571</v>
      </c>
      <c r="J134" s="16">
        <f t="shared" si="22"/>
        <v>25714.28571</v>
      </c>
      <c r="K134" s="16">
        <f t="shared" si="23"/>
        <v>16285.71429</v>
      </c>
      <c r="L134" s="31" t="s">
        <v>2</v>
      </c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13">
        <v>1.0</v>
      </c>
      <c r="B135" s="12" t="s">
        <v>5</v>
      </c>
      <c r="C135" s="14" t="s">
        <v>187</v>
      </c>
      <c r="D135" s="15">
        <v>2000.0</v>
      </c>
      <c r="E135" s="15">
        <f t="shared" si="21"/>
        <v>2000</v>
      </c>
      <c r="F135" s="16"/>
      <c r="G135" s="24"/>
      <c r="H135" s="24"/>
      <c r="I135" s="16">
        <v>1200.0</v>
      </c>
      <c r="J135" s="16">
        <f t="shared" si="22"/>
        <v>1200</v>
      </c>
      <c r="K135" s="16">
        <f t="shared" si="23"/>
        <v>800</v>
      </c>
      <c r="L135" s="31" t="s">
        <v>2</v>
      </c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>
        <v>3.0</v>
      </c>
      <c r="B136" s="12" t="s">
        <v>17</v>
      </c>
      <c r="C136" s="14" t="s">
        <v>19</v>
      </c>
      <c r="D136" s="15">
        <v>3000.0</v>
      </c>
      <c r="E136" s="15">
        <f t="shared" si="21"/>
        <v>9000</v>
      </c>
      <c r="F136" s="16"/>
      <c r="G136" s="24"/>
      <c r="H136" s="24"/>
      <c r="I136" s="16">
        <f>35000/17</f>
        <v>2058.823529</v>
      </c>
      <c r="J136" s="16">
        <f t="shared" si="22"/>
        <v>6176.470588</v>
      </c>
      <c r="K136" s="16">
        <f t="shared" si="23"/>
        <v>2823.529412</v>
      </c>
      <c r="L136" s="31" t="s">
        <v>2</v>
      </c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>
        <v>2.0</v>
      </c>
      <c r="B137" s="12" t="s">
        <v>17</v>
      </c>
      <c r="C137" s="14" t="s">
        <v>145</v>
      </c>
      <c r="D137" s="15">
        <v>4000.0</v>
      </c>
      <c r="E137" s="15">
        <f t="shared" si="21"/>
        <v>8000</v>
      </c>
      <c r="F137" s="16"/>
      <c r="G137" s="24"/>
      <c r="H137" s="24"/>
      <c r="I137" s="16">
        <v>3000.0</v>
      </c>
      <c r="J137" s="16">
        <f t="shared" si="22"/>
        <v>6000</v>
      </c>
      <c r="K137" s="16">
        <f t="shared" si="23"/>
        <v>2000</v>
      </c>
      <c r="L137" s="31" t="s">
        <v>2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>
        <v>6.0</v>
      </c>
      <c r="B138" s="12" t="s">
        <v>28</v>
      </c>
      <c r="C138" s="14" t="s">
        <v>147</v>
      </c>
      <c r="D138" s="15">
        <v>800.0</v>
      </c>
      <c r="E138" s="15">
        <f t="shared" si="21"/>
        <v>4800</v>
      </c>
      <c r="F138" s="16"/>
      <c r="G138" s="24"/>
      <c r="H138" s="24"/>
      <c r="I138" s="16">
        <v>250.0</v>
      </c>
      <c r="J138" s="16">
        <f t="shared" si="22"/>
        <v>1500</v>
      </c>
      <c r="K138" s="16">
        <f t="shared" si="23"/>
        <v>3300</v>
      </c>
      <c r="L138" s="31" t="s">
        <v>2</v>
      </c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>
        <v>2.0</v>
      </c>
      <c r="B139" s="12" t="s">
        <v>32</v>
      </c>
      <c r="C139" s="14" t="s">
        <v>20</v>
      </c>
      <c r="D139" s="15">
        <v>22000.0</v>
      </c>
      <c r="E139" s="15">
        <f t="shared" si="21"/>
        <v>44000</v>
      </c>
      <c r="F139" s="16"/>
      <c r="G139" s="24"/>
      <c r="H139" s="24"/>
      <c r="I139" s="16">
        <v>18000.0</v>
      </c>
      <c r="J139" s="16">
        <f t="shared" si="22"/>
        <v>36000</v>
      </c>
      <c r="K139" s="16">
        <f t="shared" si="23"/>
        <v>8000</v>
      </c>
      <c r="L139" s="31" t="s">
        <v>2</v>
      </c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>
        <v>1.0</v>
      </c>
      <c r="B140" s="12" t="s">
        <v>13</v>
      </c>
      <c r="C140" s="14" t="s">
        <v>45</v>
      </c>
      <c r="D140" s="15">
        <v>50000.0</v>
      </c>
      <c r="E140" s="15">
        <f t="shared" si="21"/>
        <v>50000</v>
      </c>
      <c r="F140" s="16"/>
      <c r="G140" s="24"/>
      <c r="H140" s="24"/>
      <c r="I140" s="16">
        <v>45000.0</v>
      </c>
      <c r="J140" s="16">
        <f t="shared" si="22"/>
        <v>45000</v>
      </c>
      <c r="K140" s="16">
        <f t="shared" si="23"/>
        <v>5000</v>
      </c>
      <c r="L140" s="31" t="s">
        <v>2</v>
      </c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13">
        <v>1.0</v>
      </c>
      <c r="B141" s="12" t="s">
        <v>17</v>
      </c>
      <c r="C141" s="14" t="s">
        <v>144</v>
      </c>
      <c r="D141" s="15">
        <v>4000.0</v>
      </c>
      <c r="E141" s="15">
        <f t="shared" si="21"/>
        <v>4000</v>
      </c>
      <c r="F141" s="16"/>
      <c r="G141" s="24"/>
      <c r="H141" s="24"/>
      <c r="I141" s="16">
        <v>2500.0</v>
      </c>
      <c r="J141" s="16">
        <f t="shared" si="22"/>
        <v>2500</v>
      </c>
      <c r="K141" s="16">
        <f t="shared" si="23"/>
        <v>1500</v>
      </c>
      <c r="L141" s="31" t="s">
        <v>2</v>
      </c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3">
        <v>1.0</v>
      </c>
      <c r="B142" s="12" t="s">
        <v>13</v>
      </c>
      <c r="C142" s="14" t="s">
        <v>182</v>
      </c>
      <c r="D142" s="15">
        <v>46000.0</v>
      </c>
      <c r="E142" s="15">
        <f t="shared" si="21"/>
        <v>46000</v>
      </c>
      <c r="F142" s="16"/>
      <c r="G142" s="24"/>
      <c r="H142" s="24"/>
      <c r="I142" s="16">
        <v>40000.0</v>
      </c>
      <c r="J142" s="16">
        <f t="shared" si="22"/>
        <v>40000</v>
      </c>
      <c r="K142" s="16">
        <f t="shared" si="23"/>
        <v>6000</v>
      </c>
      <c r="L142" s="31" t="s">
        <v>2</v>
      </c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13">
        <v>1.0</v>
      </c>
      <c r="B143" s="12" t="s">
        <v>17</v>
      </c>
      <c r="C143" s="14" t="s">
        <v>31</v>
      </c>
      <c r="D143" s="15">
        <v>2000.0</v>
      </c>
      <c r="E143" s="15">
        <f t="shared" si="21"/>
        <v>2000</v>
      </c>
      <c r="F143" s="16"/>
      <c r="G143" s="24"/>
      <c r="H143" s="24"/>
      <c r="I143" s="16">
        <v>1500.0</v>
      </c>
      <c r="J143" s="16">
        <f t="shared" si="22"/>
        <v>1500</v>
      </c>
      <c r="K143" s="16">
        <f t="shared" si="23"/>
        <v>500</v>
      </c>
      <c r="L143" s="31" t="s">
        <v>2</v>
      </c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13"/>
      <c r="B144" s="12"/>
      <c r="C144" s="14"/>
      <c r="D144" s="15"/>
      <c r="E144" s="16"/>
      <c r="F144" s="16"/>
      <c r="H144" s="24"/>
      <c r="I144" s="16"/>
      <c r="J144" s="16"/>
      <c r="K144" s="16"/>
      <c r="L144" s="30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13"/>
      <c r="B145" s="12"/>
      <c r="C145" s="14"/>
      <c r="D145" s="15"/>
      <c r="E145" s="16">
        <f>SUM(E133:E144)</f>
        <v>231800</v>
      </c>
      <c r="F145" s="16"/>
      <c r="G145" s="24"/>
      <c r="H145" s="24"/>
      <c r="I145" s="16"/>
      <c r="J145" s="16"/>
      <c r="K145" s="16">
        <f>SUM(K133:K143)</f>
        <v>53209.2437</v>
      </c>
      <c r="L145" s="30">
        <f>K145/E145</f>
        <v>0.2295480746</v>
      </c>
      <c r="M145" s="2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3"/>
      <c r="B146" s="12"/>
      <c r="C146" s="14"/>
      <c r="D146" s="15"/>
      <c r="E146" s="3"/>
      <c r="F146" s="3"/>
      <c r="G146" s="2"/>
      <c r="H146" s="2"/>
      <c r="I146" s="2"/>
      <c r="J146" s="2"/>
      <c r="K146" s="3"/>
      <c r="L146" s="4"/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13"/>
      <c r="B147" s="12"/>
      <c r="C147" s="14"/>
      <c r="D147" s="15"/>
      <c r="E147" s="3"/>
      <c r="F147" s="3"/>
      <c r="G147" s="2"/>
      <c r="H147" s="2"/>
      <c r="I147" s="2"/>
      <c r="J147" s="2"/>
      <c r="K147" s="3"/>
      <c r="L147" s="4"/>
      <c r="M147" s="2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13"/>
      <c r="B148" s="12"/>
      <c r="C148" s="14"/>
      <c r="D148" s="15"/>
      <c r="E148" s="3"/>
      <c r="F148" s="3"/>
      <c r="G148" s="2"/>
      <c r="H148" s="2"/>
      <c r="I148" s="2"/>
      <c r="J148" s="2"/>
      <c r="K148" s="3"/>
      <c r="L148" s="4"/>
      <c r="M148" s="2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13"/>
      <c r="B149" s="12"/>
      <c r="C149" s="14"/>
      <c r="D149" s="15"/>
      <c r="E149" s="3"/>
      <c r="F149" s="3"/>
      <c r="G149" s="2"/>
      <c r="H149" s="2"/>
      <c r="I149" s="2"/>
      <c r="J149" s="2"/>
      <c r="K149" s="3"/>
      <c r="L149" s="4"/>
      <c r="M149" s="2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13"/>
      <c r="B150" s="12"/>
      <c r="C150" s="14"/>
      <c r="D150" s="15"/>
      <c r="E150" s="3"/>
      <c r="F150" s="3"/>
      <c r="G150" s="2"/>
      <c r="H150" s="2"/>
      <c r="I150" s="2"/>
      <c r="J150" s="2"/>
      <c r="K150" s="3"/>
      <c r="L150" s="4"/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33" t="s">
        <v>88</v>
      </c>
      <c r="B151" s="34">
        <f>E145+E126+E104+E91+E58+E28+F14</f>
        <v>1875850</v>
      </c>
      <c r="C151" s="2"/>
      <c r="D151" s="3"/>
      <c r="E151" s="3"/>
      <c r="F151" s="3"/>
      <c r="G151" s="2"/>
      <c r="H151" s="2"/>
      <c r="I151" s="2"/>
      <c r="J151" s="2"/>
      <c r="K151" s="3"/>
      <c r="L151" s="4"/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1"/>
      <c r="B152" s="2"/>
      <c r="C152" s="2"/>
      <c r="D152" s="3"/>
      <c r="E152" s="3"/>
      <c r="F152" s="3"/>
      <c r="G152" s="2"/>
      <c r="H152" s="2"/>
      <c r="I152" s="2"/>
      <c r="J152" s="2"/>
      <c r="K152" s="3"/>
      <c r="L152" s="4"/>
      <c r="M152" s="2"/>
      <c r="N152" s="2"/>
      <c r="O152" s="2"/>
      <c r="P152" s="2"/>
      <c r="Q152" s="3"/>
      <c r="R152" s="9"/>
      <c r="S152" s="3"/>
      <c r="T152" s="3"/>
      <c r="U152" s="1"/>
      <c r="V152" s="3"/>
      <c r="W152" s="3"/>
      <c r="X152" s="3"/>
      <c r="Y152" s="3"/>
      <c r="Z152" s="3"/>
    </row>
    <row r="153">
      <c r="A153" s="33" t="s">
        <v>89</v>
      </c>
      <c r="B153" s="34">
        <f>K145+K126+K104+K91+K58+K28+K14</f>
        <v>610328.6723</v>
      </c>
      <c r="C153" s="2"/>
      <c r="D153" s="3"/>
      <c r="E153" s="3"/>
      <c r="F153" s="3"/>
      <c r="G153" s="2"/>
      <c r="H153" s="2"/>
      <c r="I153" s="2"/>
      <c r="J153" s="2"/>
      <c r="K153" s="3"/>
      <c r="L153" s="4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1"/>
      <c r="B154" s="2"/>
      <c r="C154" s="2"/>
      <c r="D154" s="3"/>
      <c r="E154" s="3"/>
      <c r="F154" s="3"/>
      <c r="G154" s="2"/>
      <c r="H154" s="2"/>
      <c r="I154" s="2"/>
      <c r="J154" s="2"/>
      <c r="K154" s="3"/>
      <c r="L154" s="4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33" t="s">
        <v>90</v>
      </c>
      <c r="B155" s="35">
        <f>B153/B151</f>
        <v>0.3253611282</v>
      </c>
      <c r="C155" s="2"/>
      <c r="D155" s="3"/>
      <c r="E155" s="3"/>
      <c r="F155" s="3"/>
      <c r="G155" s="2"/>
      <c r="H155" s="2"/>
      <c r="I155" s="2"/>
      <c r="J155" s="2"/>
      <c r="K155" s="3"/>
      <c r="L155" s="4"/>
      <c r="M155" s="2"/>
      <c r="N155" s="2"/>
      <c r="O155" s="2"/>
      <c r="P155" s="2"/>
      <c r="Q155" s="2"/>
      <c r="R155" s="2"/>
      <c r="S155" s="3"/>
      <c r="T155" s="3"/>
      <c r="U155" s="1"/>
      <c r="V155" s="3"/>
      <c r="W155" s="3"/>
      <c r="X155" s="2"/>
      <c r="Y155" s="2"/>
      <c r="Z155" s="2"/>
    </row>
    <row r="156">
      <c r="A156" s="1"/>
      <c r="B156" s="2"/>
      <c r="C156" s="2"/>
      <c r="D156" s="3"/>
      <c r="E156" s="3"/>
      <c r="F156" s="3"/>
      <c r="G156" s="2"/>
      <c r="H156" s="2"/>
      <c r="I156" s="2"/>
      <c r="J156" s="2"/>
      <c r="K156" s="3"/>
      <c r="L156" s="4"/>
      <c r="M156" s="2"/>
      <c r="N156" s="2"/>
      <c r="O156" s="2"/>
      <c r="P156" s="2"/>
      <c r="Q156" s="3"/>
      <c r="R156" s="9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36" t="s">
        <v>91</v>
      </c>
      <c r="C157" s="37">
        <v>31.0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9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"/>
      <c r="B159" s="2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"/>
      <c r="B160" s="1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X161" s="3"/>
      <c r="Y161" s="3"/>
      <c r="Z161" s="3"/>
    </row>
    <row r="162" ht="15.75" customHeight="1">
      <c r="A162" s="39"/>
      <c r="B162" s="40" t="s">
        <v>92</v>
      </c>
      <c r="C162" s="41" t="s">
        <v>93</v>
      </c>
      <c r="D162" s="42" t="s">
        <v>94</v>
      </c>
      <c r="E162" s="42" t="s">
        <v>95</v>
      </c>
      <c r="F162" s="42" t="s">
        <v>96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9"/>
      <c r="X162" s="3"/>
      <c r="Y162" s="3"/>
      <c r="Z162" s="3"/>
    </row>
    <row r="163" ht="15.75" customHeight="1">
      <c r="A163" s="43"/>
      <c r="B163" s="44">
        <f>'08-01-2026 '!B107</f>
        <v>2705950</v>
      </c>
      <c r="C163" s="45">
        <f>'08-01-2026 '!C107</f>
        <v>72603</v>
      </c>
      <c r="D163" s="45">
        <f>'08-01-2026 '!D107</f>
        <v>1112765.675</v>
      </c>
      <c r="E163" s="45"/>
      <c r="F163" s="45">
        <f>'08-01-2026 '!F107</f>
        <v>4500000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1"/>
      <c r="B164" s="46"/>
      <c r="C164" s="46"/>
      <c r="D164" s="46"/>
      <c r="E164" s="4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40" t="s">
        <v>97</v>
      </c>
      <c r="B165" s="47"/>
      <c r="C165" s="47"/>
      <c r="D165" s="47"/>
      <c r="E165" s="47"/>
      <c r="F165" s="4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13" t="s">
        <v>98</v>
      </c>
      <c r="B166" s="49">
        <f>375000+432000+42000</f>
        <v>849000</v>
      </c>
      <c r="C166" s="49">
        <v>638910.0</v>
      </c>
      <c r="D166" s="49">
        <f>4331.45+450000</f>
        <v>454331.45</v>
      </c>
      <c r="E166" s="49">
        <v>0.0</v>
      </c>
      <c r="F166" s="49">
        <v>0.0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13" t="s">
        <v>99</v>
      </c>
      <c r="B167" s="49">
        <v>0.0</v>
      </c>
      <c r="C167" s="49">
        <v>54.23</v>
      </c>
      <c r="D167" s="49">
        <v>0.0</v>
      </c>
      <c r="E167" s="49">
        <v>0.0</v>
      </c>
      <c r="F167" s="49">
        <v>0.0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13" t="s">
        <v>100</v>
      </c>
      <c r="B168" s="49">
        <v>0.0</v>
      </c>
      <c r="C168" s="49">
        <v>0.0</v>
      </c>
      <c r="D168" s="49">
        <v>1500000.0</v>
      </c>
      <c r="E168" s="49">
        <v>0.0</v>
      </c>
      <c r="F168" s="49">
        <v>1500000.0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3" t="s">
        <v>101</v>
      </c>
      <c r="B169" s="49">
        <v>0.0</v>
      </c>
      <c r="C169" s="49">
        <v>0.0</v>
      </c>
      <c r="D169" s="49">
        <v>0.0</v>
      </c>
      <c r="E169" s="49">
        <v>0.0</v>
      </c>
      <c r="F169" s="49">
        <v>0.0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102</v>
      </c>
      <c r="B170" s="49">
        <v>0.0</v>
      </c>
      <c r="C170" s="49">
        <v>0.0</v>
      </c>
      <c r="D170" s="49">
        <v>0.0</v>
      </c>
      <c r="E170" s="49">
        <v>0.0</v>
      </c>
      <c r="F170" s="49">
        <v>0.0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202</v>
      </c>
      <c r="B171" s="49">
        <v>0.0</v>
      </c>
      <c r="C171" s="49">
        <v>0.0</v>
      </c>
      <c r="D171" s="49">
        <v>9839.18</v>
      </c>
      <c r="E171" s="49">
        <v>0.0</v>
      </c>
      <c r="F171" s="49">
        <v>0.0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203</v>
      </c>
      <c r="B172" s="49">
        <v>0.0</v>
      </c>
      <c r="C172" s="50">
        <f>C166*2%</f>
        <v>12778.2</v>
      </c>
      <c r="D172" s="49">
        <f>SUM(D166:D167)*2%</f>
        <v>9086.629</v>
      </c>
      <c r="E172" s="49">
        <v>0.0</v>
      </c>
      <c r="F172" s="49">
        <v>0.0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103</v>
      </c>
      <c r="B173" s="49">
        <v>0.0</v>
      </c>
      <c r="C173" s="50">
        <f>C166*0.6%+C169*0.6%</f>
        <v>3833.46</v>
      </c>
      <c r="D173" s="49">
        <f>SUM(D166:D168)*0.6%</f>
        <v>11725.9887</v>
      </c>
      <c r="E173" s="49">
        <v>0.0</v>
      </c>
      <c r="F173" s="49">
        <v>0.0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"/>
      <c r="B174" s="46"/>
      <c r="C174" s="46"/>
      <c r="D174" s="46"/>
      <c r="E174" s="4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51" t="s">
        <v>8</v>
      </c>
      <c r="B175" s="52">
        <f>SUM(B163:B173)</f>
        <v>3554950</v>
      </c>
      <c r="C175" s="52">
        <f>C163+C166+C169+C170-C173+C167-C172</f>
        <v>694955.57</v>
      </c>
      <c r="D175" s="53">
        <f>D163+D166+D169+D170-D173+D168-D172-D171</f>
        <v>3036445.327</v>
      </c>
      <c r="E175" s="52">
        <f>E163+E166+E169+E170-E173</f>
        <v>0</v>
      </c>
      <c r="F175" s="54">
        <f>F163+F166+F169+F170-F173-D168</f>
        <v>3000000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"/>
      <c r="B176" s="1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40" t="s">
        <v>104</v>
      </c>
      <c r="B177" s="47"/>
      <c r="C177" s="47"/>
      <c r="D177" s="47"/>
      <c r="E177" s="47"/>
      <c r="F177" s="4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105</v>
      </c>
      <c r="B178" s="55">
        <v>4000.0</v>
      </c>
      <c r="C178" s="55">
        <v>0.0</v>
      </c>
      <c r="D178" s="55">
        <v>0.0</v>
      </c>
      <c r="E178" s="55">
        <v>0.0</v>
      </c>
      <c r="F178" s="2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106</v>
      </c>
      <c r="B179" s="49">
        <v>0.0</v>
      </c>
      <c r="C179" s="49">
        <v>0.0</v>
      </c>
      <c r="D179" s="49">
        <v>0.0</v>
      </c>
      <c r="E179" s="49">
        <v>0.0</v>
      </c>
      <c r="F179" s="2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107</v>
      </c>
      <c r="B180" s="55">
        <v>0.0</v>
      </c>
      <c r="C180" s="55">
        <v>0.0</v>
      </c>
      <c r="D180" s="49">
        <v>400000.0</v>
      </c>
      <c r="E180" s="55">
        <v>0.0</v>
      </c>
      <c r="F180" s="2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108</v>
      </c>
      <c r="B181" s="55">
        <v>8000.0</v>
      </c>
      <c r="C181" s="55">
        <v>0.0</v>
      </c>
      <c r="D181" s="55">
        <v>0.0</v>
      </c>
      <c r="E181" s="55">
        <v>0.0</v>
      </c>
      <c r="F181" s="2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109</v>
      </c>
      <c r="B182" s="55">
        <v>131000.0</v>
      </c>
      <c r="C182" s="55">
        <v>35230.0</v>
      </c>
      <c r="D182" s="55">
        <v>0.0</v>
      </c>
      <c r="E182" s="55">
        <v>0.0</v>
      </c>
      <c r="F182" s="2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3" t="s">
        <v>110</v>
      </c>
      <c r="B183" s="55">
        <v>30000.0</v>
      </c>
      <c r="C183" s="55">
        <f>45000+25000</f>
        <v>70000</v>
      </c>
      <c r="D183" s="55">
        <v>0.0</v>
      </c>
      <c r="E183" s="55">
        <v>0.0</v>
      </c>
      <c r="F183" s="26"/>
      <c r="G183" s="2"/>
      <c r="H183" s="56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13" t="s">
        <v>111</v>
      </c>
      <c r="B184" s="49">
        <v>0.0</v>
      </c>
      <c r="C184" s="49">
        <v>0.0</v>
      </c>
      <c r="D184" s="49">
        <v>0.0</v>
      </c>
      <c r="E184" s="49">
        <v>0.0</v>
      </c>
      <c r="F184" s="2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3" t="s">
        <v>112</v>
      </c>
      <c r="B185" s="49">
        <v>0.0</v>
      </c>
      <c r="C185" s="49">
        <v>0.0</v>
      </c>
      <c r="D185" s="49">
        <v>0.0</v>
      </c>
      <c r="E185" s="49">
        <v>0.0</v>
      </c>
      <c r="F185" s="26"/>
      <c r="G185" s="2"/>
      <c r="H185" s="56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13" t="s">
        <v>113</v>
      </c>
      <c r="B186" s="49">
        <v>0.0</v>
      </c>
      <c r="C186" s="49">
        <v>0.0</v>
      </c>
      <c r="D186" s="49">
        <v>0.0</v>
      </c>
      <c r="E186" s="49">
        <v>0.0</v>
      </c>
      <c r="F186" s="26"/>
      <c r="G186" s="2"/>
      <c r="H186" s="56"/>
      <c r="I186" s="2"/>
      <c r="J186" s="2"/>
      <c r="K186" s="2"/>
      <c r="L186" s="2"/>
      <c r="M186" s="2"/>
      <c r="N186" s="2"/>
      <c r="O186" s="2"/>
      <c r="P186" s="2"/>
      <c r="Q186" s="3"/>
      <c r="R186" s="9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114</v>
      </c>
      <c r="B187" s="55">
        <v>0.0</v>
      </c>
      <c r="C187" s="55">
        <v>0.0</v>
      </c>
      <c r="D187" s="55">
        <v>0.0</v>
      </c>
      <c r="E187" s="55">
        <v>0.0</v>
      </c>
      <c r="F187" s="26"/>
      <c r="G187" s="2"/>
      <c r="H187" s="56"/>
      <c r="I187" s="2"/>
      <c r="J187" s="2"/>
      <c r="K187" s="2"/>
      <c r="L187" s="2"/>
      <c r="M187" s="2"/>
      <c r="N187" s="2"/>
      <c r="O187" s="2"/>
      <c r="P187" s="2"/>
      <c r="Q187" s="3"/>
      <c r="R187" s="9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115</v>
      </c>
      <c r="B188" s="55">
        <v>0.0</v>
      </c>
      <c r="C188" s="55">
        <v>0.0</v>
      </c>
      <c r="D188" s="55">
        <v>0.0</v>
      </c>
      <c r="E188" s="55">
        <v>0.0</v>
      </c>
      <c r="F188" s="26"/>
      <c r="G188" s="2"/>
      <c r="H188" s="56"/>
      <c r="I188" s="2"/>
      <c r="J188" s="2"/>
      <c r="K188" s="2"/>
      <c r="L188" s="2"/>
      <c r="M188" s="2"/>
      <c r="N188" s="2"/>
      <c r="O188" s="2"/>
      <c r="P188" s="2"/>
      <c r="Q188" s="3"/>
      <c r="R188" s="9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116</v>
      </c>
      <c r="B189" s="50">
        <v>0.0</v>
      </c>
      <c r="C189" s="50">
        <v>0.0</v>
      </c>
      <c r="D189" s="49">
        <v>0.0</v>
      </c>
      <c r="E189" s="49">
        <v>0.0</v>
      </c>
      <c r="F189" s="2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13" t="s">
        <v>117</v>
      </c>
      <c r="B190" s="50">
        <v>0.0</v>
      </c>
      <c r="C190" s="50">
        <v>0.0</v>
      </c>
      <c r="D190" s="49">
        <v>2000000.0</v>
      </c>
      <c r="E190" s="49">
        <v>0.0</v>
      </c>
      <c r="F190" s="26"/>
      <c r="G190" s="2"/>
      <c r="H190" s="56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118</v>
      </c>
      <c r="B191" s="50">
        <v>0.0</v>
      </c>
      <c r="C191" s="50">
        <v>0.0</v>
      </c>
      <c r="D191" s="49">
        <v>0.0</v>
      </c>
      <c r="E191" s="49">
        <v>0.0</v>
      </c>
      <c r="F191" s="2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119</v>
      </c>
      <c r="B192" s="50">
        <v>0.0</v>
      </c>
      <c r="C192" s="50">
        <v>0.0</v>
      </c>
      <c r="D192" s="49">
        <v>0.0</v>
      </c>
      <c r="E192" s="49">
        <v>0.0</v>
      </c>
      <c r="F192" s="2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9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13" t="s">
        <v>120</v>
      </c>
      <c r="B193" s="50">
        <v>0.0</v>
      </c>
      <c r="C193" s="50">
        <v>0.0</v>
      </c>
      <c r="D193" s="49">
        <v>0.0</v>
      </c>
      <c r="E193" s="49">
        <v>0.0</v>
      </c>
      <c r="F193" s="2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9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13" t="s">
        <v>121</v>
      </c>
      <c r="B194" s="50">
        <v>0.0</v>
      </c>
      <c r="C194" s="50">
        <v>0.0</v>
      </c>
      <c r="D194" s="49">
        <v>0.0</v>
      </c>
      <c r="E194" s="49">
        <v>0.0</v>
      </c>
      <c r="F194" s="2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13" t="s">
        <v>122</v>
      </c>
      <c r="B195" s="49">
        <v>0.0</v>
      </c>
      <c r="C195" s="49">
        <v>0.0</v>
      </c>
      <c r="D195" s="49">
        <v>0.0</v>
      </c>
      <c r="E195" s="49">
        <v>0.0</v>
      </c>
      <c r="F195" s="2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13" t="s">
        <v>123</v>
      </c>
      <c r="B196" s="49">
        <v>0.0</v>
      </c>
      <c r="C196" s="49">
        <v>0.0</v>
      </c>
      <c r="D196" s="49">
        <v>0.0</v>
      </c>
      <c r="E196" s="49">
        <v>0.0</v>
      </c>
      <c r="F196" s="2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13" t="s">
        <v>124</v>
      </c>
      <c r="B197" s="49">
        <v>0.0</v>
      </c>
      <c r="C197" s="49">
        <v>45700.74</v>
      </c>
      <c r="D197" s="49">
        <v>0.0</v>
      </c>
      <c r="E197" s="49">
        <v>0.0</v>
      </c>
      <c r="F197" s="2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13" t="s">
        <v>125</v>
      </c>
      <c r="B198" s="50">
        <v>0.0</v>
      </c>
      <c r="C198" s="50">
        <v>0.0</v>
      </c>
      <c r="D198" s="49">
        <v>0.0</v>
      </c>
      <c r="E198" s="49">
        <v>0.0</v>
      </c>
      <c r="F198" s="2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13" t="s">
        <v>126</v>
      </c>
      <c r="B199" s="49">
        <v>0.0</v>
      </c>
      <c r="C199" s="49">
        <v>0.0</v>
      </c>
      <c r="D199" s="49">
        <v>0.0</v>
      </c>
      <c r="E199" s="49">
        <v>0.0</v>
      </c>
      <c r="F199" s="2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13" t="s">
        <v>127</v>
      </c>
      <c r="B200" s="49">
        <v>0.0</v>
      </c>
      <c r="C200" s="49">
        <v>0.0</v>
      </c>
      <c r="D200" s="49">
        <v>0.0</v>
      </c>
      <c r="E200" s="49">
        <v>0.0</v>
      </c>
      <c r="F200" s="2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13" t="s">
        <v>128</v>
      </c>
      <c r="B201" s="49">
        <v>0.0</v>
      </c>
      <c r="C201" s="49">
        <v>0.0</v>
      </c>
      <c r="D201" s="49">
        <v>0.0</v>
      </c>
      <c r="E201" s="49">
        <v>0.0</v>
      </c>
      <c r="F201" s="2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13" t="s">
        <v>129</v>
      </c>
      <c r="B202" s="49">
        <v>0.0</v>
      </c>
      <c r="C202" s="49">
        <v>0.0</v>
      </c>
      <c r="D202" s="49">
        <v>0.0</v>
      </c>
      <c r="E202" s="49">
        <v>0.0</v>
      </c>
      <c r="F202" s="2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57"/>
      <c r="B203" s="49"/>
      <c r="C203" s="49"/>
      <c r="D203" s="49"/>
      <c r="E203" s="49"/>
      <c r="F203" s="2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13" t="s">
        <v>130</v>
      </c>
      <c r="B204" s="50">
        <v>0.0</v>
      </c>
      <c r="C204" s="50">
        <f>SUM(C178:C201)*0.6%</f>
        <v>905.58444</v>
      </c>
      <c r="D204" s="50">
        <f>SUM(D178:D201)*0.6%+(D205*0.6%)</f>
        <v>15000</v>
      </c>
      <c r="E204" s="50">
        <f>(E182*0.6%)+(E183*0.6%)+(E184*0.6%)+(E187*0.6%)+(E188*0.6%)</f>
        <v>0</v>
      </c>
      <c r="F204" s="2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13" t="s">
        <v>131</v>
      </c>
      <c r="B205" s="50">
        <v>450000.0</v>
      </c>
      <c r="C205" s="50">
        <v>100000.0</v>
      </c>
      <c r="D205" s="50">
        <v>100000.0</v>
      </c>
      <c r="E205" s="50">
        <f>SUM(E179:E203)*0.6%+(E206*0.6%)</f>
        <v>0</v>
      </c>
      <c r="F205" s="5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57"/>
      <c r="B206" s="57"/>
      <c r="C206" s="26"/>
      <c r="D206" s="2"/>
      <c r="E206" s="26"/>
      <c r="F206" s="2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59" t="s">
        <v>132</v>
      </c>
      <c r="B207" s="60">
        <f>SUM(B178:B206)</f>
        <v>623000</v>
      </c>
      <c r="C207" s="60">
        <f>SUM(C178:C204)</f>
        <v>151836.3244</v>
      </c>
      <c r="D207" s="60">
        <f>SUM(D178:D205)</f>
        <v>2515000</v>
      </c>
      <c r="E207" s="60">
        <f>E189+E193+E204-E205</f>
        <v>0</v>
      </c>
      <c r="F207" s="61" t="str">
        <f>F182</f>
        <v/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57"/>
      <c r="B208" s="57"/>
      <c r="C208" s="26"/>
      <c r="D208" s="26"/>
      <c r="E208" s="26"/>
      <c r="F208" s="2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59" t="s">
        <v>133</v>
      </c>
      <c r="B209" s="62">
        <f>B175-B207</f>
        <v>2931950</v>
      </c>
      <c r="C209" s="63">
        <f>C175-C207+C205</f>
        <v>643119.2456</v>
      </c>
      <c r="D209" s="63">
        <f t="shared" ref="D209:F209" si="24">D175-D207</f>
        <v>521445.3272</v>
      </c>
      <c r="E209" s="64">
        <f t="shared" si="24"/>
        <v>0</v>
      </c>
      <c r="F209" s="64">
        <f t="shared" si="24"/>
        <v>3000000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65" t="s">
        <v>134</v>
      </c>
      <c r="B211" s="66">
        <f>159600-1000-4000-B182</f>
        <v>23600</v>
      </c>
      <c r="C211" s="46"/>
      <c r="D211" s="46"/>
      <c r="E211" s="46"/>
      <c r="F211" s="4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9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65" t="s">
        <v>135</v>
      </c>
      <c r="B212" s="66">
        <f>2546350+B166-3000-4000-B183-B205</f>
        <v>2908350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46" t="s">
        <v>2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46">
        <f>SUM(B211:B212)</f>
        <v>2931950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9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9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9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9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9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9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1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1"/>
      <c r="V253" s="3"/>
      <c r="W253" s="9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9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9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9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9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9"/>
      <c r="S278" s="3"/>
      <c r="T278" s="3"/>
      <c r="U278" s="1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9"/>
      <c r="S279" s="3"/>
      <c r="T279" s="3"/>
      <c r="U279" s="1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9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9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3"/>
      <c r="T288" s="3"/>
      <c r="U288" s="9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9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9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9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9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9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9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9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9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3"/>
      <c r="T330" s="3"/>
      <c r="U330" s="9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9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9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9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46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46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46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46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46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46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46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46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46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46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46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46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46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46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46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46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9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46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46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46"/>
      <c r="R375" s="46"/>
      <c r="S375" s="3"/>
      <c r="T375" s="3"/>
      <c r="U375" s="9"/>
      <c r="V375" s="3"/>
      <c r="W375" s="3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9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9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46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46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46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46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46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46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46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9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9"/>
      <c r="T421" s="3"/>
      <c r="U421" s="2"/>
      <c r="V421" s="3"/>
      <c r="W421" s="3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9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9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9"/>
      <c r="T438" s="3"/>
      <c r="U438" s="2"/>
      <c r="V438" s="3"/>
      <c r="W438" s="3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9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9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9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9"/>
      <c r="T449" s="3"/>
      <c r="U449" s="2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9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9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3"/>
      <c r="T465" s="3"/>
      <c r="U465" s="9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9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9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3"/>
      <c r="T479" s="9"/>
      <c r="U479" s="2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9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2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9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9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9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3"/>
      <c r="T491" s="9"/>
      <c r="U491" s="2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2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9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2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9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2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2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7"/>
      <c r="R506" s="2"/>
      <c r="S506" s="2"/>
      <c r="T506" s="3"/>
      <c r="U506" s="2"/>
      <c r="V506" s="2"/>
      <c r="W506" s="2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3"/>
      <c r="T507" s="3"/>
      <c r="U507" s="3"/>
      <c r="V507" s="2"/>
      <c r="W507" s="2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8"/>
      <c r="R509" s="38"/>
      <c r="S509" s="38"/>
      <c r="T509" s="38"/>
      <c r="U509" s="38"/>
      <c r="V509" s="38"/>
      <c r="W509" s="38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3"/>
      <c r="T510" s="3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"/>
      <c r="R511" s="2"/>
      <c r="S511" s="3"/>
      <c r="T511" s="3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68"/>
      <c r="R513" s="69"/>
      <c r="S513" s="70"/>
      <c r="T513" s="70"/>
      <c r="U513" s="70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1"/>
      <c r="R514" s="71"/>
      <c r="S514" s="71"/>
      <c r="T514" s="71"/>
      <c r="U514" s="71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46"/>
      <c r="R515" s="46"/>
      <c r="S515" s="46"/>
      <c r="T515" s="46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46"/>
      <c r="R517" s="46"/>
      <c r="S517" s="46"/>
      <c r="T517" s="46"/>
      <c r="U517" s="46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46"/>
      <c r="R518" s="46"/>
      <c r="S518" s="46"/>
      <c r="T518" s="46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46"/>
      <c r="R519" s="46"/>
      <c r="S519" s="46"/>
      <c r="T519" s="46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46"/>
      <c r="R520" s="46"/>
      <c r="S520" s="46"/>
      <c r="T520" s="46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46"/>
      <c r="R521" s="46"/>
      <c r="S521" s="46"/>
      <c r="T521" s="46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2"/>
      <c r="R522" s="72"/>
      <c r="S522" s="72"/>
      <c r="T522" s="72"/>
      <c r="U522" s="73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"/>
      <c r="R523" s="2"/>
      <c r="S523" s="3"/>
      <c r="T523" s="3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56"/>
      <c r="R525" s="56"/>
      <c r="S525" s="56"/>
      <c r="T525" s="56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56"/>
      <c r="R526" s="56"/>
      <c r="S526" s="56"/>
      <c r="T526" s="56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56"/>
      <c r="R527" s="56"/>
      <c r="S527" s="56"/>
      <c r="T527" s="56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56"/>
      <c r="R528" s="56"/>
      <c r="S528" s="56"/>
      <c r="T528" s="56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56"/>
      <c r="R529" s="56"/>
      <c r="S529" s="56"/>
      <c r="T529" s="56"/>
      <c r="U529" s="2"/>
      <c r="V529" s="2"/>
      <c r="W529" s="56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56"/>
      <c r="R530" s="56"/>
      <c r="S530" s="56"/>
      <c r="T530" s="56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56"/>
      <c r="R531" s="56"/>
      <c r="S531" s="56"/>
      <c r="T531" s="56"/>
      <c r="U531" s="2"/>
      <c r="V531" s="2"/>
      <c r="W531" s="56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56"/>
      <c r="R532" s="56"/>
      <c r="S532" s="56"/>
      <c r="T532" s="56"/>
      <c r="U532" s="2"/>
      <c r="V532" s="2"/>
      <c r="W532" s="56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46"/>
      <c r="R533" s="46"/>
      <c r="S533" s="46"/>
      <c r="T533" s="46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46"/>
      <c r="R534" s="46"/>
      <c r="S534" s="46"/>
      <c r="T534" s="46"/>
      <c r="U534" s="2"/>
      <c r="V534" s="2"/>
      <c r="W534" s="56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46"/>
      <c r="R535" s="46"/>
      <c r="S535" s="46"/>
      <c r="T535" s="46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46"/>
      <c r="R536" s="46"/>
      <c r="S536" s="46"/>
      <c r="T536" s="46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46"/>
      <c r="R537" s="46"/>
      <c r="S537" s="46"/>
      <c r="T537" s="46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46"/>
      <c r="R538" s="46"/>
      <c r="S538" s="46"/>
      <c r="T538" s="46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46"/>
      <c r="R539" s="46"/>
      <c r="S539" s="46"/>
      <c r="T539" s="46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46"/>
      <c r="R540" s="46"/>
      <c r="S540" s="46"/>
      <c r="T540" s="46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46"/>
      <c r="R541" s="46"/>
      <c r="S541" s="46"/>
      <c r="T541" s="46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"/>
      <c r="R542" s="46"/>
      <c r="S542" s="46"/>
      <c r="T542" s="46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2"/>
      <c r="R544" s="72"/>
      <c r="S544" s="72"/>
      <c r="T544" s="72"/>
      <c r="U544" s="73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1"/>
      <c r="R546" s="72"/>
      <c r="S546" s="72"/>
      <c r="T546" s="74"/>
      <c r="U546" s="74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46"/>
      <c r="R548" s="46"/>
      <c r="S548" s="46"/>
      <c r="T548" s="46"/>
      <c r="U548" s="46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46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</sheetData>
  <mergeCells count="9">
    <mergeCell ref="U217:W217"/>
    <mergeCell ref="U252:W252"/>
    <mergeCell ref="I3:K3"/>
    <mergeCell ref="I17:K17"/>
    <mergeCell ref="A157:B157"/>
    <mergeCell ref="U161:W161"/>
    <mergeCell ref="A162:A163"/>
    <mergeCell ref="A165:F165"/>
    <mergeCell ref="A177:F177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204</v>
      </c>
      <c r="F3" s="7">
        <v>46034.0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4.0</v>
      </c>
      <c r="B6" s="12" t="s">
        <v>13</v>
      </c>
      <c r="C6" s="14" t="s">
        <v>19</v>
      </c>
      <c r="D6" s="15">
        <v>38000.0</v>
      </c>
      <c r="E6" s="15">
        <f t="shared" ref="E6:E23" si="1">A6*D6</f>
        <v>152000</v>
      </c>
      <c r="F6" s="15">
        <f t="shared" ref="F6:F13" si="2">E6*1.105</f>
        <v>167960</v>
      </c>
      <c r="G6" s="3"/>
      <c r="H6" s="3" t="s">
        <v>2</v>
      </c>
      <c r="I6" s="16">
        <v>30000.0</v>
      </c>
      <c r="J6" s="15">
        <f t="shared" ref="J6:J23" si="3">I6*A6</f>
        <v>120000</v>
      </c>
      <c r="K6" s="15">
        <f t="shared" ref="K6:K23" si="4">F6-J6</f>
        <v>47960</v>
      </c>
      <c r="L6" s="25" t="s">
        <v>2</v>
      </c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3.0</v>
      </c>
      <c r="B7" s="12" t="s">
        <v>32</v>
      </c>
      <c r="C7" s="14" t="s">
        <v>20</v>
      </c>
      <c r="D7" s="15">
        <v>22000.0</v>
      </c>
      <c r="E7" s="15">
        <f t="shared" si="1"/>
        <v>66000</v>
      </c>
      <c r="F7" s="15">
        <f t="shared" si="2"/>
        <v>72930</v>
      </c>
      <c r="G7" s="3"/>
      <c r="H7" s="3"/>
      <c r="I7" s="16">
        <v>18000.0</v>
      </c>
      <c r="J7" s="15">
        <f t="shared" si="3"/>
        <v>54000</v>
      </c>
      <c r="K7" s="15">
        <f t="shared" si="4"/>
        <v>18930</v>
      </c>
      <c r="L7" s="25" t="s">
        <v>2</v>
      </c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32.0</v>
      </c>
      <c r="B8" s="12" t="s">
        <v>17</v>
      </c>
      <c r="C8" s="14" t="s">
        <v>156</v>
      </c>
      <c r="D8" s="15">
        <v>1200.0</v>
      </c>
      <c r="E8" s="15">
        <f t="shared" si="1"/>
        <v>38400</v>
      </c>
      <c r="F8" s="15">
        <f t="shared" si="2"/>
        <v>42432</v>
      </c>
      <c r="G8" s="6" t="s">
        <v>205</v>
      </c>
      <c r="H8" s="6" t="s">
        <v>2</v>
      </c>
      <c r="I8" s="16">
        <v>800.0</v>
      </c>
      <c r="J8" s="15">
        <f t="shared" si="3"/>
        <v>25600</v>
      </c>
      <c r="K8" s="15">
        <f t="shared" si="4"/>
        <v>16832</v>
      </c>
      <c r="L8" s="25" t="s">
        <v>2</v>
      </c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3.0</v>
      </c>
      <c r="B9" s="12" t="s">
        <v>32</v>
      </c>
      <c r="C9" s="14" t="s">
        <v>155</v>
      </c>
      <c r="D9" s="15">
        <v>28000.0</v>
      </c>
      <c r="E9" s="15">
        <f t="shared" si="1"/>
        <v>84000</v>
      </c>
      <c r="F9" s="15">
        <f t="shared" si="2"/>
        <v>92820</v>
      </c>
      <c r="G9" s="3"/>
      <c r="H9" s="3"/>
      <c r="I9" s="16">
        <v>20000.0</v>
      </c>
      <c r="J9" s="15">
        <f t="shared" si="3"/>
        <v>60000</v>
      </c>
      <c r="K9" s="15">
        <f t="shared" si="4"/>
        <v>32820</v>
      </c>
      <c r="L9" s="25" t="s">
        <v>2</v>
      </c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2.0</v>
      </c>
      <c r="B10" s="12" t="s">
        <v>13</v>
      </c>
      <c r="C10" s="14" t="s">
        <v>206</v>
      </c>
      <c r="D10" s="15">
        <v>70000.0</v>
      </c>
      <c r="E10" s="15">
        <f t="shared" si="1"/>
        <v>140000</v>
      </c>
      <c r="F10" s="15">
        <f t="shared" si="2"/>
        <v>154700</v>
      </c>
      <c r="G10" s="3"/>
      <c r="H10" s="3"/>
      <c r="I10" s="16">
        <v>42000.0</v>
      </c>
      <c r="J10" s="15">
        <f t="shared" si="3"/>
        <v>84000</v>
      </c>
      <c r="K10" s="15">
        <f t="shared" si="4"/>
        <v>70700</v>
      </c>
      <c r="L10" s="25" t="s">
        <v>2</v>
      </c>
      <c r="M10" s="20"/>
      <c r="N10" s="21"/>
      <c r="P10" s="21"/>
      <c r="Q10" s="21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2.0</v>
      </c>
      <c r="B11" s="12" t="s">
        <v>13</v>
      </c>
      <c r="C11" s="14" t="s">
        <v>15</v>
      </c>
      <c r="D11" s="15">
        <v>35000.0</v>
      </c>
      <c r="E11" s="15">
        <f t="shared" si="1"/>
        <v>70000</v>
      </c>
      <c r="F11" s="15">
        <f t="shared" si="2"/>
        <v>77350</v>
      </c>
      <c r="G11" s="3"/>
      <c r="H11" s="3"/>
      <c r="I11" s="16">
        <v>30000.0</v>
      </c>
      <c r="J11" s="15">
        <f t="shared" si="3"/>
        <v>60000</v>
      </c>
      <c r="K11" s="15">
        <f t="shared" si="4"/>
        <v>17350</v>
      </c>
      <c r="L11" s="25" t="s">
        <v>2</v>
      </c>
      <c r="M11" s="20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32</v>
      </c>
      <c r="C12" s="14" t="s">
        <v>207</v>
      </c>
      <c r="D12" s="15">
        <v>32000.0</v>
      </c>
      <c r="E12" s="15">
        <f t="shared" si="1"/>
        <v>64000</v>
      </c>
      <c r="F12" s="15">
        <f t="shared" si="2"/>
        <v>70720</v>
      </c>
      <c r="G12" s="3"/>
      <c r="H12" s="3"/>
      <c r="I12" s="16">
        <v>27000.0</v>
      </c>
      <c r="J12" s="15">
        <f t="shared" si="3"/>
        <v>54000</v>
      </c>
      <c r="K12" s="15">
        <f t="shared" si="4"/>
        <v>16720</v>
      </c>
      <c r="L12" s="25" t="s">
        <v>2</v>
      </c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2.0</v>
      </c>
      <c r="B13" s="12" t="s">
        <v>13</v>
      </c>
      <c r="C13" s="14" t="s">
        <v>175</v>
      </c>
      <c r="D13" s="15">
        <v>38000.0</v>
      </c>
      <c r="E13" s="15">
        <f t="shared" si="1"/>
        <v>76000</v>
      </c>
      <c r="F13" s="15">
        <f t="shared" si="2"/>
        <v>83980</v>
      </c>
      <c r="G13" s="3"/>
      <c r="H13" s="3"/>
      <c r="I13" s="16">
        <v>30000.0</v>
      </c>
      <c r="J13" s="15">
        <f t="shared" si="3"/>
        <v>60000</v>
      </c>
      <c r="K13" s="15">
        <f t="shared" si="4"/>
        <v>23980</v>
      </c>
      <c r="L13" s="25" t="s">
        <v>2</v>
      </c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32</v>
      </c>
      <c r="C14" s="14" t="s">
        <v>152</v>
      </c>
      <c r="D14" s="15">
        <v>50000.0</v>
      </c>
      <c r="E14" s="15">
        <f t="shared" si="1"/>
        <v>50000</v>
      </c>
      <c r="F14" s="15">
        <f>E14*1.21</f>
        <v>60500</v>
      </c>
      <c r="G14" s="3"/>
      <c r="H14" s="3" t="s">
        <v>2</v>
      </c>
      <c r="I14" s="16">
        <v>38000.0</v>
      </c>
      <c r="J14" s="15">
        <f t="shared" si="3"/>
        <v>38000</v>
      </c>
      <c r="K14" s="15">
        <f t="shared" si="4"/>
        <v>22500</v>
      </c>
      <c r="L14" s="25" t="s">
        <v>2</v>
      </c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32</v>
      </c>
      <c r="C15" s="14" t="s">
        <v>44</v>
      </c>
      <c r="D15" s="15">
        <v>20000.0</v>
      </c>
      <c r="E15" s="15">
        <f t="shared" si="1"/>
        <v>20000</v>
      </c>
      <c r="F15" s="15">
        <f t="shared" ref="F15:F23" si="5">E15*1.105</f>
        <v>22100</v>
      </c>
      <c r="G15" s="3"/>
      <c r="H15" s="6" t="s">
        <v>2</v>
      </c>
      <c r="I15" s="16">
        <v>12000.0</v>
      </c>
      <c r="J15" s="15">
        <f t="shared" si="3"/>
        <v>12000</v>
      </c>
      <c r="K15" s="15">
        <f t="shared" si="4"/>
        <v>10100</v>
      </c>
      <c r="L15" s="25" t="s">
        <v>2</v>
      </c>
      <c r="M15" s="20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32</v>
      </c>
      <c r="C16" s="14" t="s">
        <v>43</v>
      </c>
      <c r="D16" s="15">
        <v>20000.0</v>
      </c>
      <c r="E16" s="15">
        <f t="shared" si="1"/>
        <v>20000</v>
      </c>
      <c r="F16" s="15">
        <f t="shared" si="5"/>
        <v>22100</v>
      </c>
      <c r="G16" s="3"/>
      <c r="H16" s="3" t="s">
        <v>2</v>
      </c>
      <c r="I16" s="16">
        <v>15000.0</v>
      </c>
      <c r="J16" s="15">
        <f t="shared" si="3"/>
        <v>15000</v>
      </c>
      <c r="K16" s="15">
        <f t="shared" si="4"/>
        <v>7100</v>
      </c>
      <c r="L16" s="25" t="s">
        <v>2</v>
      </c>
      <c r="M16" s="17"/>
      <c r="N16" s="18"/>
      <c r="O16" s="19"/>
      <c r="P16" s="18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32</v>
      </c>
      <c r="C17" s="14" t="s">
        <v>208</v>
      </c>
      <c r="D17" s="15">
        <v>30000.0</v>
      </c>
      <c r="E17" s="15">
        <f t="shared" si="1"/>
        <v>30000</v>
      </c>
      <c r="F17" s="15">
        <f t="shared" si="5"/>
        <v>33150</v>
      </c>
      <c r="G17" s="3"/>
      <c r="H17" s="3" t="s">
        <v>2</v>
      </c>
      <c r="I17" s="16">
        <v>16000.0</v>
      </c>
      <c r="J17" s="15">
        <f t="shared" si="3"/>
        <v>16000</v>
      </c>
      <c r="K17" s="15">
        <f t="shared" si="4"/>
        <v>17150</v>
      </c>
      <c r="L17" s="25" t="s">
        <v>2</v>
      </c>
      <c r="M17" s="17"/>
      <c r="N17" s="18"/>
      <c r="O17" s="19"/>
      <c r="P17" s="18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15.0</v>
      </c>
      <c r="B18" s="12" t="s">
        <v>5</v>
      </c>
      <c r="C18" s="14" t="s">
        <v>38</v>
      </c>
      <c r="D18" s="15">
        <v>1300.0</v>
      </c>
      <c r="E18" s="15">
        <f t="shared" si="1"/>
        <v>19500</v>
      </c>
      <c r="F18" s="15">
        <f t="shared" si="5"/>
        <v>21547.5</v>
      </c>
      <c r="G18" s="3"/>
      <c r="H18" s="3" t="s">
        <v>2</v>
      </c>
      <c r="I18" s="16">
        <f>60000/70</f>
        <v>857.1428571</v>
      </c>
      <c r="J18" s="15">
        <f t="shared" si="3"/>
        <v>12857.14286</v>
      </c>
      <c r="K18" s="15">
        <f t="shared" si="4"/>
        <v>8690.357143</v>
      </c>
      <c r="L18" s="25" t="s">
        <v>2</v>
      </c>
      <c r="M18" s="20"/>
      <c r="N18" s="21"/>
      <c r="P18" s="21"/>
      <c r="Q18" s="21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1.0</v>
      </c>
      <c r="B19" s="12" t="s">
        <v>32</v>
      </c>
      <c r="C19" s="14" t="s">
        <v>19</v>
      </c>
      <c r="D19" s="15">
        <v>38000.0</v>
      </c>
      <c r="E19" s="15">
        <f t="shared" si="1"/>
        <v>38000</v>
      </c>
      <c r="F19" s="15">
        <f t="shared" si="5"/>
        <v>41990</v>
      </c>
      <c r="G19" s="6" t="s">
        <v>42</v>
      </c>
      <c r="H19" s="3"/>
      <c r="I19" s="16"/>
      <c r="J19" s="15">
        <f t="shared" si="3"/>
        <v>0</v>
      </c>
      <c r="K19" s="15">
        <f t="shared" si="4"/>
        <v>41990</v>
      </c>
      <c r="L19" s="4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2.0</v>
      </c>
      <c r="B20" s="12" t="s">
        <v>32</v>
      </c>
      <c r="C20" s="14" t="s">
        <v>20</v>
      </c>
      <c r="D20" s="15">
        <v>22000.0</v>
      </c>
      <c r="E20" s="15">
        <f t="shared" si="1"/>
        <v>44000</v>
      </c>
      <c r="F20" s="15">
        <f t="shared" si="5"/>
        <v>48620</v>
      </c>
      <c r="G20" s="6" t="s">
        <v>42</v>
      </c>
      <c r="H20" s="3"/>
      <c r="I20" s="16"/>
      <c r="J20" s="15">
        <f t="shared" si="3"/>
        <v>0</v>
      </c>
      <c r="K20" s="15">
        <f t="shared" si="4"/>
        <v>48620</v>
      </c>
      <c r="L20" s="4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1.0</v>
      </c>
      <c r="B21" s="12" t="s">
        <v>32</v>
      </c>
      <c r="C21" s="14" t="s">
        <v>15</v>
      </c>
      <c r="D21" s="15">
        <v>35000.0</v>
      </c>
      <c r="E21" s="15">
        <f t="shared" si="1"/>
        <v>35000</v>
      </c>
      <c r="F21" s="15">
        <f t="shared" si="5"/>
        <v>38675</v>
      </c>
      <c r="G21" s="6" t="s">
        <v>42</v>
      </c>
      <c r="H21" s="3"/>
      <c r="I21" s="16"/>
      <c r="J21" s="15">
        <f t="shared" si="3"/>
        <v>0</v>
      </c>
      <c r="K21" s="15">
        <f t="shared" si="4"/>
        <v>38675</v>
      </c>
      <c r="L21" s="4"/>
      <c r="N21" s="21"/>
      <c r="P21" s="21"/>
      <c r="Q21" s="21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1.0</v>
      </c>
      <c r="B22" s="12" t="s">
        <v>32</v>
      </c>
      <c r="C22" s="14" t="s">
        <v>175</v>
      </c>
      <c r="D22" s="15">
        <v>38000.0</v>
      </c>
      <c r="E22" s="15">
        <f t="shared" si="1"/>
        <v>38000</v>
      </c>
      <c r="F22" s="15">
        <f t="shared" si="5"/>
        <v>41990</v>
      </c>
      <c r="G22" s="6" t="s">
        <v>42</v>
      </c>
      <c r="H22" s="3"/>
      <c r="I22" s="16"/>
      <c r="J22" s="15">
        <f t="shared" si="3"/>
        <v>0</v>
      </c>
      <c r="K22" s="15">
        <f t="shared" si="4"/>
        <v>41990</v>
      </c>
      <c r="L22" s="4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1.0</v>
      </c>
      <c r="B23" s="12" t="s">
        <v>32</v>
      </c>
      <c r="C23" s="14" t="s">
        <v>207</v>
      </c>
      <c r="D23" s="15">
        <v>32000.0</v>
      </c>
      <c r="E23" s="15">
        <f t="shared" si="1"/>
        <v>32000</v>
      </c>
      <c r="F23" s="15">
        <f t="shared" si="5"/>
        <v>35360</v>
      </c>
      <c r="G23" s="6" t="s">
        <v>46</v>
      </c>
      <c r="H23" s="3"/>
      <c r="I23" s="16"/>
      <c r="J23" s="15">
        <f t="shared" si="3"/>
        <v>0</v>
      </c>
      <c r="K23" s="15">
        <f t="shared" si="4"/>
        <v>35360</v>
      </c>
      <c r="L23" s="4"/>
      <c r="N23" s="21"/>
      <c r="P23" s="21"/>
      <c r="Q23" s="21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/>
      <c r="B24" s="12"/>
      <c r="C24" s="14"/>
      <c r="D24" s="15"/>
      <c r="E24" s="15"/>
      <c r="F24" s="15"/>
      <c r="G24" s="3"/>
      <c r="H24" s="3"/>
      <c r="I24" s="3"/>
      <c r="J24" s="3"/>
      <c r="K24" s="15"/>
      <c r="L24" s="22"/>
      <c r="M24" s="2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/>
      <c r="B25" s="12"/>
      <c r="C25" s="14"/>
      <c r="D25" s="15"/>
      <c r="E25" s="15">
        <f t="shared" ref="E25:F25" si="6">SUM(E6:E23)</f>
        <v>1016900</v>
      </c>
      <c r="F25" s="15">
        <f t="shared" si="6"/>
        <v>1128924.5</v>
      </c>
      <c r="G25" s="3"/>
      <c r="H25" s="3"/>
      <c r="I25" s="3"/>
      <c r="J25" s="3"/>
      <c r="K25" s="15">
        <f>SUM(K6:K23)</f>
        <v>517467.3571</v>
      </c>
      <c r="L25" s="22">
        <f>K25/F25</f>
        <v>0.4583719789</v>
      </c>
      <c r="M25" s="2"/>
      <c r="N25" s="21"/>
      <c r="P25" s="21"/>
      <c r="Q25" s="21"/>
      <c r="R25" s="2"/>
      <c r="S25" s="3"/>
      <c r="T25" s="3"/>
      <c r="U25" s="1"/>
      <c r="V25" s="3"/>
      <c r="W25" s="3"/>
      <c r="X25" s="3"/>
      <c r="Y25" s="3"/>
      <c r="Z25" s="3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1"/>
      <c r="P26" s="21"/>
      <c r="Q26" s="21"/>
      <c r="R26" s="2"/>
      <c r="S26" s="3"/>
      <c r="T26" s="3"/>
      <c r="U26" s="1"/>
      <c r="V26" s="3"/>
      <c r="W26" s="3"/>
      <c r="X26" s="3"/>
      <c r="Y26" s="3"/>
      <c r="Z26" s="3"/>
    </row>
    <row r="27">
      <c r="A27" s="23"/>
      <c r="B27" s="23"/>
      <c r="C27" s="23"/>
      <c r="D27" s="7"/>
      <c r="E27" s="24"/>
      <c r="F27" s="7"/>
      <c r="G27" s="6"/>
      <c r="H27" s="3"/>
      <c r="I27" s="8"/>
      <c r="J27" s="8"/>
      <c r="K27" s="8"/>
      <c r="L27" s="4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23" t="s">
        <v>57</v>
      </c>
      <c r="B28" s="23"/>
      <c r="C28" s="23"/>
      <c r="D28" s="25" t="s">
        <v>209</v>
      </c>
      <c r="E28" s="7">
        <v>46034.0</v>
      </c>
      <c r="F28" s="28"/>
      <c r="G28" s="24"/>
      <c r="H28" s="24"/>
      <c r="I28" s="16"/>
      <c r="J28" s="16"/>
      <c r="K28" s="16"/>
      <c r="L28" s="29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B29" s="24"/>
      <c r="C29" s="26"/>
      <c r="D29" s="24"/>
      <c r="E29" s="24"/>
      <c r="F29" s="24"/>
      <c r="G29" s="24"/>
      <c r="H29" s="24"/>
      <c r="I29" s="16"/>
      <c r="J29" s="16"/>
      <c r="K29" s="16"/>
      <c r="L29" s="29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5" t="s">
        <v>4</v>
      </c>
      <c r="B30" s="10" t="s">
        <v>5</v>
      </c>
      <c r="C30" s="11" t="s">
        <v>6</v>
      </c>
      <c r="D30" s="12" t="s">
        <v>7</v>
      </c>
      <c r="E30" s="10" t="s">
        <v>8</v>
      </c>
      <c r="F30" s="12"/>
      <c r="G30" s="24"/>
      <c r="H30" s="24"/>
      <c r="I30" s="12" t="s">
        <v>7</v>
      </c>
      <c r="J30" s="12" t="s">
        <v>8</v>
      </c>
      <c r="K30" s="12" t="s">
        <v>10</v>
      </c>
      <c r="L30" s="29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3.0</v>
      </c>
      <c r="B31" s="12" t="s">
        <v>210</v>
      </c>
      <c r="C31" s="14" t="s">
        <v>180</v>
      </c>
      <c r="D31" s="15">
        <v>23000.0</v>
      </c>
      <c r="E31" s="15">
        <f t="shared" ref="E31:E42" si="7">A31*D31</f>
        <v>69000</v>
      </c>
      <c r="F31" s="16"/>
      <c r="G31" s="24"/>
      <c r="H31" s="24"/>
      <c r="I31" s="16">
        <v>20000.0</v>
      </c>
      <c r="J31" s="16">
        <f t="shared" ref="J31:J42" si="8">I31*A31</f>
        <v>60000</v>
      </c>
      <c r="K31" s="16">
        <f t="shared" ref="K31:K42" si="9">E31-J31</f>
        <v>9000</v>
      </c>
      <c r="L31" s="31" t="s">
        <v>2</v>
      </c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32</v>
      </c>
      <c r="C32" s="14" t="s">
        <v>192</v>
      </c>
      <c r="D32" s="15">
        <v>34000.0</v>
      </c>
      <c r="E32" s="15">
        <f t="shared" si="7"/>
        <v>34000</v>
      </c>
      <c r="F32" s="16"/>
      <c r="G32" s="24"/>
      <c r="H32" s="24"/>
      <c r="I32" s="16">
        <v>26000.0</v>
      </c>
      <c r="J32" s="16">
        <f t="shared" si="8"/>
        <v>26000</v>
      </c>
      <c r="K32" s="16">
        <f t="shared" si="9"/>
        <v>8000</v>
      </c>
      <c r="L32" s="31" t="s">
        <v>2</v>
      </c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3.0</v>
      </c>
      <c r="B33" s="12" t="s">
        <v>5</v>
      </c>
      <c r="C33" s="14" t="s">
        <v>69</v>
      </c>
      <c r="D33" s="15">
        <v>1200.0</v>
      </c>
      <c r="E33" s="15">
        <f t="shared" si="7"/>
        <v>3600</v>
      </c>
      <c r="F33" s="16"/>
      <c r="G33" s="24"/>
      <c r="H33" s="24"/>
      <c r="I33" s="16">
        <f>30000/50</f>
        <v>600</v>
      </c>
      <c r="J33" s="16">
        <f t="shared" si="8"/>
        <v>1800</v>
      </c>
      <c r="K33" s="16">
        <f t="shared" si="9"/>
        <v>1800</v>
      </c>
      <c r="L33" s="31" t="s">
        <v>2</v>
      </c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3.0</v>
      </c>
      <c r="B34" s="12" t="s">
        <v>5</v>
      </c>
      <c r="C34" s="14" t="s">
        <v>55</v>
      </c>
      <c r="D34" s="15">
        <v>2200.0</v>
      </c>
      <c r="E34" s="15">
        <f t="shared" si="7"/>
        <v>6600</v>
      </c>
      <c r="F34" s="16"/>
      <c r="G34" s="24"/>
      <c r="H34" s="24"/>
      <c r="I34" s="16">
        <f>15000/9</f>
        <v>1666.666667</v>
      </c>
      <c r="J34" s="16">
        <f t="shared" si="8"/>
        <v>5000</v>
      </c>
      <c r="K34" s="16">
        <f t="shared" si="9"/>
        <v>1600</v>
      </c>
      <c r="L34" s="31" t="s">
        <v>2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1.0</v>
      </c>
      <c r="B35" s="12" t="s">
        <v>32</v>
      </c>
      <c r="C35" s="14" t="s">
        <v>147</v>
      </c>
      <c r="D35" s="15">
        <v>12000.0</v>
      </c>
      <c r="E35" s="15">
        <f t="shared" si="7"/>
        <v>12000</v>
      </c>
      <c r="F35" s="16"/>
      <c r="G35" s="24"/>
      <c r="H35" s="24"/>
      <c r="I35" s="16">
        <v>8000.0</v>
      </c>
      <c r="J35" s="16">
        <f t="shared" si="8"/>
        <v>8000</v>
      </c>
      <c r="K35" s="16">
        <f t="shared" si="9"/>
        <v>4000</v>
      </c>
      <c r="L35" s="31" t="s">
        <v>2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1.0</v>
      </c>
      <c r="B36" s="12" t="s">
        <v>17</v>
      </c>
      <c r="C36" s="14" t="s">
        <v>186</v>
      </c>
      <c r="D36" s="15">
        <v>19000.0</v>
      </c>
      <c r="E36" s="15">
        <f t="shared" si="7"/>
        <v>19000</v>
      </c>
      <c r="F36" s="16"/>
      <c r="G36" s="24"/>
      <c r="H36" s="24"/>
      <c r="I36" s="16">
        <v>16000.0</v>
      </c>
      <c r="J36" s="16">
        <f t="shared" si="8"/>
        <v>16000</v>
      </c>
      <c r="K36" s="16">
        <f t="shared" si="9"/>
        <v>3000</v>
      </c>
      <c r="L36" s="31" t="s">
        <v>2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17</v>
      </c>
      <c r="C37" s="14" t="s">
        <v>211</v>
      </c>
      <c r="D37" s="15">
        <v>20000.0</v>
      </c>
      <c r="E37" s="15">
        <f t="shared" si="7"/>
        <v>20000</v>
      </c>
      <c r="F37" s="16"/>
      <c r="G37" s="24"/>
      <c r="H37" s="24"/>
      <c r="I37" s="16">
        <v>17000.0</v>
      </c>
      <c r="J37" s="16">
        <f t="shared" si="8"/>
        <v>17000</v>
      </c>
      <c r="K37" s="16">
        <f t="shared" si="9"/>
        <v>3000</v>
      </c>
      <c r="L37" s="31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2.0</v>
      </c>
      <c r="B38" s="12" t="s">
        <v>28</v>
      </c>
      <c r="C38" s="14" t="s">
        <v>74</v>
      </c>
      <c r="D38" s="15">
        <v>1200.0</v>
      </c>
      <c r="E38" s="15">
        <f t="shared" si="7"/>
        <v>2400</v>
      </c>
      <c r="F38" s="16"/>
      <c r="G38" s="24"/>
      <c r="H38" s="24"/>
      <c r="I38" s="16">
        <f>4000/6</f>
        <v>666.6666667</v>
      </c>
      <c r="J38" s="16">
        <f t="shared" si="8"/>
        <v>1333.333333</v>
      </c>
      <c r="K38" s="16">
        <f t="shared" si="9"/>
        <v>1066.666667</v>
      </c>
      <c r="L38" s="31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1.0</v>
      </c>
      <c r="B39" s="12" t="s">
        <v>28</v>
      </c>
      <c r="C39" s="14" t="s">
        <v>193</v>
      </c>
      <c r="D39" s="15">
        <v>3000.0</v>
      </c>
      <c r="E39" s="15">
        <f t="shared" si="7"/>
        <v>3000</v>
      </c>
      <c r="F39" s="16"/>
      <c r="G39" s="24"/>
      <c r="H39" s="24"/>
      <c r="I39" s="16">
        <v>2000.0</v>
      </c>
      <c r="J39" s="16">
        <f t="shared" si="8"/>
        <v>2000</v>
      </c>
      <c r="K39" s="16">
        <f t="shared" si="9"/>
        <v>1000</v>
      </c>
      <c r="L39" s="31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0.5</v>
      </c>
      <c r="B40" s="12" t="s">
        <v>32</v>
      </c>
      <c r="C40" s="14" t="s">
        <v>20</v>
      </c>
      <c r="D40" s="15">
        <v>22000.0</v>
      </c>
      <c r="E40" s="15">
        <f t="shared" si="7"/>
        <v>11000</v>
      </c>
      <c r="F40" s="16"/>
      <c r="G40" s="24"/>
      <c r="H40" s="24"/>
      <c r="I40" s="16">
        <v>18000.0</v>
      </c>
      <c r="J40" s="16">
        <f t="shared" si="8"/>
        <v>9000</v>
      </c>
      <c r="K40" s="16">
        <f t="shared" si="9"/>
        <v>2000</v>
      </c>
      <c r="L40" s="31" t="s">
        <v>2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0.5</v>
      </c>
      <c r="B41" s="12" t="s">
        <v>32</v>
      </c>
      <c r="C41" s="14" t="s">
        <v>182</v>
      </c>
      <c r="D41" s="15">
        <v>46000.0</v>
      </c>
      <c r="E41" s="15">
        <f t="shared" si="7"/>
        <v>23000</v>
      </c>
      <c r="F41" s="16"/>
      <c r="G41" s="24"/>
      <c r="H41" s="24"/>
      <c r="I41" s="16">
        <v>40000.0</v>
      </c>
      <c r="J41" s="16">
        <f t="shared" si="8"/>
        <v>20000</v>
      </c>
      <c r="K41" s="16">
        <f t="shared" si="9"/>
        <v>3000</v>
      </c>
      <c r="L41" s="31" t="s">
        <v>2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0.5</v>
      </c>
      <c r="B42" s="12" t="s">
        <v>32</v>
      </c>
      <c r="C42" s="14" t="s">
        <v>45</v>
      </c>
      <c r="D42" s="15">
        <v>46000.0</v>
      </c>
      <c r="E42" s="15">
        <f t="shared" si="7"/>
        <v>23000</v>
      </c>
      <c r="F42" s="16"/>
      <c r="G42" s="24"/>
      <c r="H42" s="24"/>
      <c r="I42" s="16">
        <v>40000.0</v>
      </c>
      <c r="J42" s="16">
        <f t="shared" si="8"/>
        <v>20000</v>
      </c>
      <c r="K42" s="16">
        <f t="shared" si="9"/>
        <v>3000</v>
      </c>
      <c r="L42" s="31" t="s">
        <v>2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/>
      <c r="B43" s="12"/>
      <c r="C43" s="14"/>
      <c r="D43" s="15"/>
      <c r="E43" s="16"/>
      <c r="F43" s="16"/>
      <c r="G43" s="24"/>
      <c r="H43" s="24"/>
      <c r="I43" s="16"/>
      <c r="J43" s="16"/>
      <c r="K43" s="16"/>
      <c r="L43" s="30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/>
      <c r="B44" s="12"/>
      <c r="C44" s="14"/>
      <c r="D44" s="15"/>
      <c r="E44" s="16">
        <f>SUM(E31:E42)</f>
        <v>226600</v>
      </c>
      <c r="F44" s="16"/>
      <c r="G44" s="24"/>
      <c r="H44" s="24"/>
      <c r="I44" s="16"/>
      <c r="J44" s="16"/>
      <c r="K44" s="16">
        <f>SUM(K31:K42)</f>
        <v>40466.66667</v>
      </c>
      <c r="L44" s="30">
        <f>K44/E44</f>
        <v>0.1785819359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/>
      <c r="B45" s="12"/>
      <c r="C45" s="14"/>
      <c r="D45" s="15"/>
      <c r="E45" s="3"/>
      <c r="F45" s="3"/>
      <c r="G45" s="2"/>
      <c r="H45" s="2"/>
      <c r="I45" s="2"/>
      <c r="J45" s="2"/>
      <c r="K45" s="3"/>
      <c r="L45" s="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33"/>
      <c r="B46" s="34"/>
      <c r="C46" s="2"/>
      <c r="D46" s="3"/>
      <c r="E46" s="3"/>
      <c r="F46" s="3"/>
      <c r="G46" s="2"/>
      <c r="H46" s="2"/>
      <c r="I46" s="2"/>
      <c r="J46" s="2"/>
      <c r="K46" s="3"/>
      <c r="L46" s="4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33"/>
      <c r="B47" s="34"/>
      <c r="C47" s="2"/>
      <c r="D47" s="3"/>
      <c r="E47" s="3"/>
      <c r="F47" s="3"/>
      <c r="G47" s="2"/>
      <c r="H47" s="2"/>
      <c r="I47" s="2"/>
      <c r="J47" s="2"/>
      <c r="K47" s="3"/>
      <c r="L47" s="4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23" t="s">
        <v>212</v>
      </c>
      <c r="B48" s="23"/>
      <c r="C48" s="23"/>
      <c r="D48" s="25" t="s">
        <v>171</v>
      </c>
      <c r="E48" s="7">
        <v>46031.0</v>
      </c>
      <c r="G48" s="24"/>
      <c r="H48" s="24"/>
      <c r="I48" s="16"/>
      <c r="J48" s="16"/>
      <c r="K48" s="16"/>
      <c r="L48" s="29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B49" s="24"/>
      <c r="C49" s="26"/>
      <c r="D49" s="24"/>
      <c r="E49" s="24"/>
      <c r="F49" s="24"/>
      <c r="G49" s="24"/>
      <c r="H49" s="24"/>
      <c r="I49" s="16"/>
      <c r="J49" s="16"/>
      <c r="K49" s="16"/>
      <c r="L49" s="29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5" t="s">
        <v>4</v>
      </c>
      <c r="B50" s="10" t="s">
        <v>5</v>
      </c>
      <c r="C50" s="11" t="s">
        <v>6</v>
      </c>
      <c r="D50" s="12" t="s">
        <v>7</v>
      </c>
      <c r="E50" s="10" t="s">
        <v>8</v>
      </c>
      <c r="F50" s="12"/>
      <c r="G50" s="24"/>
      <c r="H50" s="24"/>
      <c r="I50" s="12" t="s">
        <v>7</v>
      </c>
      <c r="J50" s="12" t="s">
        <v>8</v>
      </c>
      <c r="K50" s="12" t="s">
        <v>10</v>
      </c>
      <c r="L50" s="29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1.0</v>
      </c>
      <c r="B51" s="12" t="s">
        <v>42</v>
      </c>
      <c r="C51" s="14" t="s">
        <v>66</v>
      </c>
      <c r="D51" s="15">
        <v>13000.0</v>
      </c>
      <c r="E51" s="15">
        <f t="shared" ref="E51:E65" si="10">A51*D51</f>
        <v>13000</v>
      </c>
      <c r="F51" s="16"/>
      <c r="G51" s="24"/>
      <c r="H51" s="24"/>
      <c r="I51" s="15">
        <v>10000.0</v>
      </c>
      <c r="J51" s="16">
        <f t="shared" ref="J51:J65" si="11">I51*A51</f>
        <v>10000</v>
      </c>
      <c r="K51" s="16">
        <f t="shared" ref="K51:K65" si="12">E51-J51</f>
        <v>3000</v>
      </c>
      <c r="L51" s="31" t="s">
        <v>2</v>
      </c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1.0</v>
      </c>
      <c r="B52" s="12" t="s">
        <v>42</v>
      </c>
      <c r="C52" s="14" t="s">
        <v>180</v>
      </c>
      <c r="D52" s="15">
        <v>20000.0</v>
      </c>
      <c r="E52" s="15">
        <f t="shared" si="10"/>
        <v>20000</v>
      </c>
      <c r="F52" s="16"/>
      <c r="G52" s="24"/>
      <c r="H52" s="24"/>
      <c r="I52" s="15">
        <v>18000.0</v>
      </c>
      <c r="J52" s="16">
        <f t="shared" si="11"/>
        <v>18000</v>
      </c>
      <c r="K52" s="16">
        <f t="shared" si="12"/>
        <v>2000</v>
      </c>
      <c r="L52" s="31" t="s">
        <v>2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1.0</v>
      </c>
      <c r="B53" s="12" t="s">
        <v>42</v>
      </c>
      <c r="C53" s="14" t="s">
        <v>76</v>
      </c>
      <c r="D53" s="15">
        <v>18000.0</v>
      </c>
      <c r="E53" s="15">
        <f t="shared" si="10"/>
        <v>18000</v>
      </c>
      <c r="F53" s="16"/>
      <c r="G53" s="24"/>
      <c r="H53" s="24"/>
      <c r="I53" s="15">
        <v>15000.0</v>
      </c>
      <c r="J53" s="16">
        <f t="shared" si="11"/>
        <v>15000</v>
      </c>
      <c r="K53" s="16">
        <f t="shared" si="12"/>
        <v>3000</v>
      </c>
      <c r="L53" s="31" t="s">
        <v>2</v>
      </c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1.0</v>
      </c>
      <c r="B54" s="12" t="s">
        <v>42</v>
      </c>
      <c r="C54" s="14" t="s">
        <v>86</v>
      </c>
      <c r="D54" s="15">
        <v>14000.0</v>
      </c>
      <c r="E54" s="15">
        <f t="shared" si="10"/>
        <v>14000</v>
      </c>
      <c r="F54" s="16"/>
      <c r="G54" s="24"/>
      <c r="H54" s="24"/>
      <c r="I54" s="15">
        <v>11000.0</v>
      </c>
      <c r="J54" s="16">
        <f t="shared" si="11"/>
        <v>11000</v>
      </c>
      <c r="K54" s="16">
        <f t="shared" si="12"/>
        <v>3000</v>
      </c>
      <c r="L54" s="31" t="s">
        <v>2</v>
      </c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2.0</v>
      </c>
      <c r="B55" s="12" t="s">
        <v>17</v>
      </c>
      <c r="C55" s="14" t="s">
        <v>213</v>
      </c>
      <c r="D55" s="15">
        <v>1200.0</v>
      </c>
      <c r="E55" s="15">
        <f t="shared" si="10"/>
        <v>2400</v>
      </c>
      <c r="F55" s="16"/>
      <c r="G55" s="24"/>
      <c r="H55" s="24"/>
      <c r="I55" s="15">
        <v>1000.0</v>
      </c>
      <c r="J55" s="16">
        <f t="shared" si="11"/>
        <v>2000</v>
      </c>
      <c r="K55" s="16">
        <f t="shared" si="12"/>
        <v>400</v>
      </c>
      <c r="L55" s="31" t="s">
        <v>2</v>
      </c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2.0</v>
      </c>
      <c r="B56" s="12" t="s">
        <v>17</v>
      </c>
      <c r="C56" s="14" t="s">
        <v>62</v>
      </c>
      <c r="D56" s="15">
        <v>2000.0</v>
      </c>
      <c r="E56" s="15">
        <f t="shared" si="10"/>
        <v>4000</v>
      </c>
      <c r="F56" s="16"/>
      <c r="G56" s="24"/>
      <c r="H56" s="24"/>
      <c r="I56" s="15">
        <f>10000/8</f>
        <v>1250</v>
      </c>
      <c r="J56" s="16">
        <f t="shared" si="11"/>
        <v>2500</v>
      </c>
      <c r="K56" s="16">
        <f t="shared" si="12"/>
        <v>1500</v>
      </c>
      <c r="L56" s="31" t="s">
        <v>2</v>
      </c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1.0</v>
      </c>
      <c r="B57" s="12" t="s">
        <v>5</v>
      </c>
      <c r="C57" s="14" t="s">
        <v>187</v>
      </c>
      <c r="D57" s="15">
        <v>1800.0</v>
      </c>
      <c r="E57" s="15">
        <f t="shared" si="10"/>
        <v>1800</v>
      </c>
      <c r="F57" s="16"/>
      <c r="G57" s="24"/>
      <c r="H57" s="24"/>
      <c r="I57" s="15">
        <v>1200.0</v>
      </c>
      <c r="J57" s="16">
        <f t="shared" si="11"/>
        <v>1200</v>
      </c>
      <c r="K57" s="16">
        <f t="shared" si="12"/>
        <v>600</v>
      </c>
      <c r="L57" s="31" t="s">
        <v>2</v>
      </c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2.4</v>
      </c>
      <c r="B58" s="12" t="s">
        <v>17</v>
      </c>
      <c r="C58" s="14" t="s">
        <v>19</v>
      </c>
      <c r="D58" s="15">
        <v>3000.0</v>
      </c>
      <c r="E58" s="15">
        <f t="shared" si="10"/>
        <v>7200</v>
      </c>
      <c r="F58" s="16"/>
      <c r="G58" s="24"/>
      <c r="H58" s="24"/>
      <c r="I58" s="15">
        <v>0.0</v>
      </c>
      <c r="J58" s="16">
        <f t="shared" si="11"/>
        <v>0</v>
      </c>
      <c r="K58" s="16">
        <f t="shared" si="12"/>
        <v>7200</v>
      </c>
      <c r="L58" s="31" t="s">
        <v>2</v>
      </c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3.0</v>
      </c>
      <c r="B59" s="12" t="s">
        <v>28</v>
      </c>
      <c r="C59" s="14" t="s">
        <v>147</v>
      </c>
      <c r="D59" s="15">
        <v>500.0</v>
      </c>
      <c r="E59" s="15">
        <f t="shared" si="10"/>
        <v>1500</v>
      </c>
      <c r="F59" s="16"/>
      <c r="G59" s="24"/>
      <c r="H59" s="24"/>
      <c r="I59" s="15">
        <f>8000/24</f>
        <v>333.3333333</v>
      </c>
      <c r="J59" s="16">
        <f t="shared" si="11"/>
        <v>1000</v>
      </c>
      <c r="K59" s="16">
        <f t="shared" si="12"/>
        <v>500</v>
      </c>
      <c r="L59" s="31" t="s">
        <v>2</v>
      </c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1.0</v>
      </c>
      <c r="B60" s="12" t="s">
        <v>17</v>
      </c>
      <c r="C60" s="14" t="s">
        <v>214</v>
      </c>
      <c r="D60" s="15">
        <v>3000.0</v>
      </c>
      <c r="E60" s="15">
        <f t="shared" si="10"/>
        <v>3000</v>
      </c>
      <c r="F60" s="16"/>
      <c r="G60" s="24"/>
      <c r="H60" s="24"/>
      <c r="I60" s="15">
        <f>15000/5</f>
        <v>3000</v>
      </c>
      <c r="J60" s="16">
        <f t="shared" si="11"/>
        <v>3000</v>
      </c>
      <c r="K60" s="16">
        <f t="shared" si="12"/>
        <v>0</v>
      </c>
      <c r="L60" s="31" t="s">
        <v>2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2.0</v>
      </c>
      <c r="B61" s="12" t="s">
        <v>17</v>
      </c>
      <c r="C61" s="14" t="s">
        <v>162</v>
      </c>
      <c r="D61" s="15">
        <v>2600.0</v>
      </c>
      <c r="E61" s="15">
        <f t="shared" si="10"/>
        <v>5200</v>
      </c>
      <c r="F61" s="16"/>
      <c r="G61" s="24"/>
      <c r="H61" s="24"/>
      <c r="I61" s="15">
        <f>30000/15</f>
        <v>2000</v>
      </c>
      <c r="J61" s="16">
        <f t="shared" si="11"/>
        <v>4000</v>
      </c>
      <c r="K61" s="16">
        <f t="shared" si="12"/>
        <v>1200</v>
      </c>
      <c r="L61" s="31" t="s">
        <v>2</v>
      </c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1.0</v>
      </c>
      <c r="B62" s="12" t="s">
        <v>5</v>
      </c>
      <c r="C62" s="14" t="s">
        <v>188</v>
      </c>
      <c r="D62" s="15">
        <v>1800.0</v>
      </c>
      <c r="E62" s="15">
        <f t="shared" si="10"/>
        <v>1800</v>
      </c>
      <c r="F62" s="16"/>
      <c r="G62" s="24"/>
      <c r="H62" s="24"/>
      <c r="I62" s="15">
        <v>1200.0</v>
      </c>
      <c r="J62" s="16">
        <f t="shared" si="11"/>
        <v>1200</v>
      </c>
      <c r="K62" s="16">
        <f t="shared" si="12"/>
        <v>600</v>
      </c>
      <c r="L62" s="31" t="s">
        <v>2</v>
      </c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8.0</v>
      </c>
      <c r="B63" s="12" t="s">
        <v>5</v>
      </c>
      <c r="C63" s="14" t="s">
        <v>38</v>
      </c>
      <c r="D63" s="15">
        <v>1200.0</v>
      </c>
      <c r="E63" s="15">
        <f t="shared" si="10"/>
        <v>9600</v>
      </c>
      <c r="F63" s="16"/>
      <c r="G63" s="24"/>
      <c r="H63" s="24"/>
      <c r="I63" s="15">
        <f>60000/70</f>
        <v>857.1428571</v>
      </c>
      <c r="J63" s="16">
        <f t="shared" si="11"/>
        <v>6857.142857</v>
      </c>
      <c r="K63" s="16">
        <f t="shared" si="12"/>
        <v>2742.857143</v>
      </c>
      <c r="L63" s="31" t="s">
        <v>2</v>
      </c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1.0</v>
      </c>
      <c r="B64" s="12" t="s">
        <v>17</v>
      </c>
      <c r="C64" s="14" t="s">
        <v>192</v>
      </c>
      <c r="D64" s="15">
        <v>3700.0</v>
      </c>
      <c r="E64" s="15">
        <f t="shared" si="10"/>
        <v>3700</v>
      </c>
      <c r="F64" s="16"/>
      <c r="G64" s="24"/>
      <c r="H64" s="24"/>
      <c r="I64" s="15">
        <f>25000/8</f>
        <v>3125</v>
      </c>
      <c r="J64" s="16">
        <f t="shared" si="11"/>
        <v>3125</v>
      </c>
      <c r="K64" s="16">
        <f t="shared" si="12"/>
        <v>575</v>
      </c>
      <c r="L64" s="31" t="s">
        <v>2</v>
      </c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0.3</v>
      </c>
      <c r="B65" s="12" t="s">
        <v>17</v>
      </c>
      <c r="C65" s="14" t="s">
        <v>196</v>
      </c>
      <c r="D65" s="15">
        <v>3500.0</v>
      </c>
      <c r="E65" s="15">
        <f t="shared" si="10"/>
        <v>1050</v>
      </c>
      <c r="F65" s="16"/>
      <c r="G65" s="24"/>
      <c r="H65" s="24"/>
      <c r="I65" s="15">
        <v>0.0</v>
      </c>
      <c r="J65" s="16">
        <f t="shared" si="11"/>
        <v>0</v>
      </c>
      <c r="K65" s="16">
        <f t="shared" si="12"/>
        <v>1050</v>
      </c>
      <c r="L65" s="31" t="s">
        <v>2</v>
      </c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/>
      <c r="B66" s="12"/>
      <c r="C66" s="14"/>
      <c r="D66" s="15"/>
      <c r="E66" s="16"/>
      <c r="F66" s="16"/>
      <c r="G66" s="24"/>
      <c r="H66" s="24"/>
      <c r="I66" s="16"/>
      <c r="J66" s="16"/>
      <c r="K66" s="16"/>
      <c r="L66" s="30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/>
      <c r="B67" s="12"/>
      <c r="C67" s="14"/>
      <c r="D67" s="15"/>
      <c r="E67" s="16">
        <f>SUM(E51:E65)</f>
        <v>106250</v>
      </c>
      <c r="F67" s="16"/>
      <c r="G67" s="24"/>
      <c r="H67" s="24"/>
      <c r="I67" s="16"/>
      <c r="J67" s="16"/>
      <c r="K67" s="16">
        <f>SUM(K51:K65)</f>
        <v>27367.85714</v>
      </c>
      <c r="L67" s="30">
        <f>K67/E67</f>
        <v>0.2575798319</v>
      </c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33"/>
      <c r="B68" s="34"/>
      <c r="C68" s="2"/>
      <c r="D68" s="3"/>
      <c r="E68" s="3"/>
      <c r="F68" s="3"/>
      <c r="G68" s="2"/>
      <c r="H68" s="2"/>
      <c r="I68" s="2"/>
      <c r="J68" s="2"/>
      <c r="K68" s="3"/>
      <c r="L68" s="4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33"/>
      <c r="B69" s="34"/>
      <c r="C69" s="2"/>
      <c r="D69" s="3"/>
      <c r="E69" s="3"/>
      <c r="F69" s="3"/>
      <c r="G69" s="2"/>
      <c r="H69" s="2"/>
      <c r="I69" s="2"/>
      <c r="J69" s="2"/>
      <c r="K69" s="3"/>
      <c r="L69" s="4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33"/>
      <c r="B70" s="34"/>
      <c r="C70" s="2"/>
      <c r="D70" s="3"/>
      <c r="E70" s="3"/>
      <c r="F70" s="3"/>
      <c r="G70" s="2"/>
      <c r="H70" s="2"/>
      <c r="I70" s="2"/>
      <c r="J70" s="2"/>
      <c r="K70" s="3"/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23" t="s">
        <v>80</v>
      </c>
      <c r="B71" s="23"/>
      <c r="C71" s="23"/>
      <c r="D71" s="25" t="s">
        <v>215</v>
      </c>
      <c r="E71" s="7">
        <v>46034.0</v>
      </c>
      <c r="G71" s="24"/>
      <c r="H71" s="24"/>
      <c r="I71" s="16"/>
      <c r="J71" s="16"/>
      <c r="K71" s="16"/>
      <c r="L71" s="29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B72" s="24"/>
      <c r="C72" s="26"/>
      <c r="D72" s="24"/>
      <c r="E72" s="24"/>
      <c r="F72" s="24"/>
      <c r="G72" s="24"/>
      <c r="H72" s="24"/>
      <c r="I72" s="16"/>
      <c r="J72" s="16"/>
      <c r="K72" s="16"/>
      <c r="L72" s="29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5" t="s">
        <v>4</v>
      </c>
      <c r="B73" s="10" t="s">
        <v>5</v>
      </c>
      <c r="C73" s="11" t="s">
        <v>6</v>
      </c>
      <c r="D73" s="12" t="s">
        <v>7</v>
      </c>
      <c r="E73" s="10" t="s">
        <v>8</v>
      </c>
      <c r="F73" s="12"/>
      <c r="G73" s="24"/>
      <c r="H73" s="24"/>
      <c r="I73" s="12" t="s">
        <v>7</v>
      </c>
      <c r="J73" s="12" t="s">
        <v>8</v>
      </c>
      <c r="K73" s="12" t="s">
        <v>10</v>
      </c>
      <c r="L73" s="29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3.0</v>
      </c>
      <c r="B74" s="12" t="s">
        <v>17</v>
      </c>
      <c r="C74" s="14" t="s">
        <v>35</v>
      </c>
      <c r="D74" s="15">
        <v>2600.0</v>
      </c>
      <c r="E74" s="15">
        <f t="shared" ref="E74:E82" si="13">A74*D74</f>
        <v>7800</v>
      </c>
      <c r="F74" s="16"/>
      <c r="G74" s="24"/>
      <c r="H74" s="24"/>
      <c r="I74" s="15">
        <v>2000.0</v>
      </c>
      <c r="J74" s="16">
        <f t="shared" ref="J74:J82" si="14">I74*A74</f>
        <v>6000</v>
      </c>
      <c r="K74" s="16">
        <f t="shared" ref="K74:K82" si="15">E74-J74</f>
        <v>1800</v>
      </c>
      <c r="L74" s="30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0.5</v>
      </c>
      <c r="B75" s="12" t="s">
        <v>32</v>
      </c>
      <c r="C75" s="14" t="s">
        <v>147</v>
      </c>
      <c r="D75" s="15">
        <v>15000.0</v>
      </c>
      <c r="E75" s="15">
        <f t="shared" si="13"/>
        <v>7500</v>
      </c>
      <c r="F75" s="16"/>
      <c r="G75" s="24"/>
      <c r="H75" s="24"/>
      <c r="I75" s="15">
        <v>8000.0</v>
      </c>
      <c r="J75" s="16">
        <f t="shared" si="14"/>
        <v>4000</v>
      </c>
      <c r="K75" s="16">
        <f t="shared" si="15"/>
        <v>3500</v>
      </c>
      <c r="L75" s="30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3.0</v>
      </c>
      <c r="B76" s="12" t="s">
        <v>5</v>
      </c>
      <c r="C76" s="14" t="s">
        <v>38</v>
      </c>
      <c r="D76" s="15">
        <v>1300.0</v>
      </c>
      <c r="E76" s="15">
        <f t="shared" si="13"/>
        <v>3900</v>
      </c>
      <c r="F76" s="16"/>
      <c r="G76" s="24"/>
      <c r="H76" s="24"/>
      <c r="I76" s="15">
        <f>60000/70</f>
        <v>857.1428571</v>
      </c>
      <c r="J76" s="16">
        <f t="shared" si="14"/>
        <v>2571.428571</v>
      </c>
      <c r="K76" s="16">
        <f t="shared" si="15"/>
        <v>1328.571429</v>
      </c>
      <c r="L76" s="30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1.0</v>
      </c>
      <c r="B77" s="12" t="s">
        <v>17</v>
      </c>
      <c r="C77" s="14" t="s">
        <v>216</v>
      </c>
      <c r="D77" s="15">
        <v>4500.0</v>
      </c>
      <c r="E77" s="15">
        <f t="shared" si="13"/>
        <v>4500</v>
      </c>
      <c r="F77" s="16"/>
      <c r="G77" s="24"/>
      <c r="H77" s="24"/>
      <c r="I77" s="15">
        <v>0.0</v>
      </c>
      <c r="J77" s="16">
        <f t="shared" si="14"/>
        <v>0</v>
      </c>
      <c r="K77" s="16">
        <f t="shared" si="15"/>
        <v>4500</v>
      </c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2.0</v>
      </c>
      <c r="B78" s="12" t="s">
        <v>17</v>
      </c>
      <c r="C78" s="14" t="s">
        <v>19</v>
      </c>
      <c r="D78" s="15">
        <v>3000.0</v>
      </c>
      <c r="E78" s="15">
        <f t="shared" si="13"/>
        <v>6000</v>
      </c>
      <c r="F78" s="16"/>
      <c r="G78" s="24"/>
      <c r="H78" s="24"/>
      <c r="I78" s="15"/>
      <c r="J78" s="16">
        <f t="shared" si="14"/>
        <v>0</v>
      </c>
      <c r="K78" s="16">
        <f t="shared" si="15"/>
        <v>6000</v>
      </c>
      <c r="L78" s="30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1.0</v>
      </c>
      <c r="B79" s="12" t="s">
        <v>17</v>
      </c>
      <c r="C79" s="14" t="s">
        <v>164</v>
      </c>
      <c r="D79" s="15">
        <v>10000.0</v>
      </c>
      <c r="E79" s="15">
        <f t="shared" si="13"/>
        <v>10000</v>
      </c>
      <c r="F79" s="16"/>
      <c r="G79" s="24"/>
      <c r="H79" s="24"/>
      <c r="I79" s="15">
        <v>9000.0</v>
      </c>
      <c r="J79" s="16">
        <f t="shared" si="14"/>
        <v>9000</v>
      </c>
      <c r="K79" s="16">
        <f t="shared" si="15"/>
        <v>1000</v>
      </c>
      <c r="L79" s="30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>
        <v>1.0</v>
      </c>
      <c r="B80" s="12" t="s">
        <v>17</v>
      </c>
      <c r="C80" s="14" t="s">
        <v>20</v>
      </c>
      <c r="D80" s="15">
        <v>1600.0</v>
      </c>
      <c r="E80" s="15">
        <f t="shared" si="13"/>
        <v>1600</v>
      </c>
      <c r="F80" s="16"/>
      <c r="G80" s="24"/>
      <c r="H80" s="24"/>
      <c r="I80" s="15">
        <f>18000/15</f>
        <v>1200</v>
      </c>
      <c r="J80" s="16">
        <f t="shared" si="14"/>
        <v>1200</v>
      </c>
      <c r="K80" s="16">
        <f t="shared" si="15"/>
        <v>400</v>
      </c>
      <c r="L80" s="30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3.0</v>
      </c>
      <c r="B81" s="12" t="s">
        <v>184</v>
      </c>
      <c r="C81" s="14" t="s">
        <v>185</v>
      </c>
      <c r="D81" s="15">
        <v>2500.0</v>
      </c>
      <c r="E81" s="15">
        <f t="shared" si="13"/>
        <v>7500</v>
      </c>
      <c r="F81" s="16"/>
      <c r="G81" s="24"/>
      <c r="H81" s="24"/>
      <c r="I81" s="15">
        <f>20000/12</f>
        <v>1666.666667</v>
      </c>
      <c r="J81" s="16">
        <f t="shared" si="14"/>
        <v>5000</v>
      </c>
      <c r="K81" s="16">
        <f t="shared" si="15"/>
        <v>2500</v>
      </c>
      <c r="L81" s="30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0.2</v>
      </c>
      <c r="B82" s="12" t="s">
        <v>17</v>
      </c>
      <c r="C82" s="14" t="s">
        <v>165</v>
      </c>
      <c r="D82" s="15">
        <v>13000.0</v>
      </c>
      <c r="E82" s="15">
        <f t="shared" si="13"/>
        <v>2600</v>
      </c>
      <c r="F82" s="16"/>
      <c r="G82" s="24"/>
      <c r="H82" s="24"/>
      <c r="I82" s="15">
        <f>70000/7</f>
        <v>10000</v>
      </c>
      <c r="J82" s="16">
        <f t="shared" si="14"/>
        <v>2000</v>
      </c>
      <c r="K82" s="16">
        <f t="shared" si="15"/>
        <v>600</v>
      </c>
      <c r="L82" s="30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/>
      <c r="B83" s="12"/>
      <c r="C83" s="14"/>
      <c r="D83" s="15"/>
      <c r="E83" s="16"/>
      <c r="F83" s="16"/>
      <c r="G83" s="24"/>
      <c r="H83" s="24"/>
      <c r="I83" s="16"/>
      <c r="J83" s="16"/>
      <c r="K83" s="16"/>
      <c r="L83" s="30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/>
      <c r="B84" s="12"/>
      <c r="C84" s="14"/>
      <c r="D84" s="15"/>
      <c r="E84" s="16">
        <f>SUM(E74:E82)</f>
        <v>51400</v>
      </c>
      <c r="F84" s="16"/>
      <c r="G84" s="24"/>
      <c r="H84" s="24"/>
      <c r="I84" s="16"/>
      <c r="J84" s="16"/>
      <c r="K84" s="16">
        <f>SUM(K74:K82)</f>
        <v>21628.57143</v>
      </c>
      <c r="L84" s="30">
        <f>K84/E84</f>
        <v>0.4207893274</v>
      </c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33"/>
      <c r="B85" s="34"/>
      <c r="C85" s="2"/>
      <c r="D85" s="3"/>
      <c r="E85" s="3"/>
      <c r="F85" s="3"/>
      <c r="G85" s="2"/>
      <c r="H85" s="2"/>
      <c r="I85" s="2"/>
      <c r="J85" s="2"/>
      <c r="K85" s="3"/>
      <c r="L85" s="4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1"/>
      <c r="P86" s="21"/>
      <c r="Q86" s="21"/>
      <c r="R86" s="2"/>
      <c r="S86" s="3"/>
      <c r="T86" s="3"/>
      <c r="U86" s="1"/>
      <c r="V86" s="3"/>
      <c r="W86" s="3"/>
      <c r="X86" s="3"/>
      <c r="Y86" s="3"/>
      <c r="Z86" s="3"/>
    </row>
    <row r="87">
      <c r="A87" s="33"/>
      <c r="B87" s="34"/>
      <c r="C87" s="2"/>
      <c r="D87" s="3"/>
      <c r="E87" s="3"/>
      <c r="F87" s="3"/>
      <c r="G87" s="2"/>
      <c r="H87" s="2"/>
      <c r="I87" s="2"/>
      <c r="J87" s="2"/>
      <c r="K87" s="3"/>
      <c r="L87" s="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23" t="s">
        <v>83</v>
      </c>
      <c r="B88" s="23"/>
      <c r="C88" s="23"/>
      <c r="D88" s="25" t="s">
        <v>171</v>
      </c>
      <c r="E88" s="7">
        <v>46034.0</v>
      </c>
      <c r="F88" s="28"/>
      <c r="G88" s="24"/>
      <c r="H88" s="24"/>
      <c r="I88" s="16"/>
      <c r="J88" s="16"/>
      <c r="K88" s="16"/>
      <c r="L88" s="29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B89" s="24"/>
      <c r="C89" s="26"/>
      <c r="D89" s="24"/>
      <c r="E89" s="24"/>
      <c r="F89" s="24"/>
      <c r="G89" s="24"/>
      <c r="H89" s="24"/>
      <c r="I89" s="16"/>
      <c r="J89" s="16"/>
      <c r="K89" s="16"/>
      <c r="L89" s="29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5" t="s">
        <v>4</v>
      </c>
      <c r="B90" s="10" t="s">
        <v>5</v>
      </c>
      <c r="C90" s="11" t="s">
        <v>28</v>
      </c>
      <c r="D90" s="12" t="s">
        <v>7</v>
      </c>
      <c r="E90" s="10" t="s">
        <v>8</v>
      </c>
      <c r="F90" s="12"/>
      <c r="G90" s="24"/>
      <c r="H90" s="24"/>
      <c r="I90" s="12" t="s">
        <v>7</v>
      </c>
      <c r="J90" s="12" t="s">
        <v>8</v>
      </c>
      <c r="K90" s="12" t="s">
        <v>10</v>
      </c>
      <c r="L90" s="29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2.0</v>
      </c>
      <c r="B91" s="12" t="s">
        <v>42</v>
      </c>
      <c r="C91" s="14" t="s">
        <v>180</v>
      </c>
      <c r="D91" s="15">
        <v>23000.0</v>
      </c>
      <c r="E91" s="15">
        <f t="shared" ref="E91:E105" si="16">A91*D91</f>
        <v>46000</v>
      </c>
      <c r="F91" s="16"/>
      <c r="G91" s="24"/>
      <c r="H91" s="24"/>
      <c r="I91" s="16">
        <v>20000.0</v>
      </c>
      <c r="J91" s="16">
        <f t="shared" ref="J91:J105" si="17">I91*A91</f>
        <v>40000</v>
      </c>
      <c r="K91" s="16">
        <f t="shared" ref="K91:K105" si="18">E91-J91</f>
        <v>6000</v>
      </c>
      <c r="L91" s="31" t="s">
        <v>2</v>
      </c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1.0</v>
      </c>
      <c r="B92" s="12" t="s">
        <v>28</v>
      </c>
      <c r="C92" s="14" t="s">
        <v>74</v>
      </c>
      <c r="D92" s="15">
        <v>1200.0</v>
      </c>
      <c r="E92" s="15">
        <f t="shared" si="16"/>
        <v>1200</v>
      </c>
      <c r="F92" s="16"/>
      <c r="G92" s="24"/>
      <c r="H92" s="24"/>
      <c r="I92" s="16">
        <f>4000/6</f>
        <v>666.6666667</v>
      </c>
      <c r="J92" s="16">
        <f t="shared" si="17"/>
        <v>666.6666667</v>
      </c>
      <c r="K92" s="16">
        <f t="shared" si="18"/>
        <v>533.3333333</v>
      </c>
      <c r="L92" s="31" t="s">
        <v>2</v>
      </c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1.0</v>
      </c>
      <c r="B93" s="12" t="s">
        <v>32</v>
      </c>
      <c r="C93" s="14" t="s">
        <v>152</v>
      </c>
      <c r="D93" s="15">
        <v>52000.0</v>
      </c>
      <c r="E93" s="15">
        <f t="shared" si="16"/>
        <v>52000</v>
      </c>
      <c r="F93" s="16"/>
      <c r="G93" s="24"/>
      <c r="H93" s="24"/>
      <c r="I93" s="16">
        <v>38000.0</v>
      </c>
      <c r="J93" s="16">
        <f t="shared" si="17"/>
        <v>38000</v>
      </c>
      <c r="K93" s="16">
        <f t="shared" si="18"/>
        <v>14000</v>
      </c>
      <c r="L93" s="31" t="s">
        <v>2</v>
      </c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1.0</v>
      </c>
      <c r="B94" s="12" t="s">
        <v>32</v>
      </c>
      <c r="C94" s="14" t="s">
        <v>168</v>
      </c>
      <c r="D94" s="15">
        <v>15000.0</v>
      </c>
      <c r="E94" s="15">
        <f t="shared" si="16"/>
        <v>15000</v>
      </c>
      <c r="F94" s="16"/>
      <c r="G94" s="24"/>
      <c r="H94" s="24"/>
      <c r="I94" s="16">
        <v>15000.0</v>
      </c>
      <c r="J94" s="16">
        <f t="shared" si="17"/>
        <v>15000</v>
      </c>
      <c r="K94" s="16">
        <f t="shared" si="18"/>
        <v>0</v>
      </c>
      <c r="L94" s="31" t="s">
        <v>2</v>
      </c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1.0</v>
      </c>
      <c r="B95" s="12" t="s">
        <v>32</v>
      </c>
      <c r="C95" s="14" t="s">
        <v>147</v>
      </c>
      <c r="D95" s="15">
        <v>12000.0</v>
      </c>
      <c r="E95" s="15">
        <f t="shared" si="16"/>
        <v>12000</v>
      </c>
      <c r="F95" s="16"/>
      <c r="G95" s="24"/>
      <c r="H95" s="24"/>
      <c r="I95" s="16">
        <v>8000.0</v>
      </c>
      <c r="J95" s="16">
        <f t="shared" si="17"/>
        <v>8000</v>
      </c>
      <c r="K95" s="16">
        <f t="shared" si="18"/>
        <v>4000</v>
      </c>
      <c r="L95" s="31" t="s">
        <v>2</v>
      </c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1.0</v>
      </c>
      <c r="B96" s="12" t="s">
        <v>32</v>
      </c>
      <c r="C96" s="14" t="s">
        <v>196</v>
      </c>
      <c r="D96" s="15">
        <v>12000.0</v>
      </c>
      <c r="E96" s="15">
        <f t="shared" si="16"/>
        <v>12000</v>
      </c>
      <c r="F96" s="16"/>
      <c r="G96" s="24"/>
      <c r="H96" s="24"/>
      <c r="I96" s="16">
        <v>7000.0</v>
      </c>
      <c r="J96" s="16">
        <f t="shared" si="17"/>
        <v>7000</v>
      </c>
      <c r="K96" s="16">
        <f t="shared" si="18"/>
        <v>5000</v>
      </c>
      <c r="L96" s="31" t="s">
        <v>2</v>
      </c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1.0</v>
      </c>
      <c r="B97" s="12" t="s">
        <v>39</v>
      </c>
      <c r="C97" s="14" t="s">
        <v>217</v>
      </c>
      <c r="D97" s="15">
        <v>2500.0</v>
      </c>
      <c r="E97" s="15">
        <f t="shared" si="16"/>
        <v>2500</v>
      </c>
      <c r="F97" s="16"/>
      <c r="G97" s="24"/>
      <c r="H97" s="24"/>
      <c r="I97" s="16">
        <v>1500.0</v>
      </c>
      <c r="J97" s="16">
        <f t="shared" si="17"/>
        <v>1500</v>
      </c>
      <c r="K97" s="16">
        <f t="shared" si="18"/>
        <v>1000</v>
      </c>
      <c r="L97" s="31" t="s">
        <v>2</v>
      </c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1.0</v>
      </c>
      <c r="B98" s="12" t="s">
        <v>28</v>
      </c>
      <c r="C98" s="14" t="s">
        <v>53</v>
      </c>
      <c r="D98" s="15">
        <v>4000.0</v>
      </c>
      <c r="E98" s="15">
        <f t="shared" si="16"/>
        <v>4000</v>
      </c>
      <c r="F98" s="16"/>
      <c r="G98" s="24"/>
      <c r="H98" s="24"/>
      <c r="I98" s="16">
        <v>2000.0</v>
      </c>
      <c r="J98" s="16">
        <f t="shared" si="17"/>
        <v>2000</v>
      </c>
      <c r="K98" s="16">
        <f t="shared" si="18"/>
        <v>2000</v>
      </c>
      <c r="L98" s="31" t="s">
        <v>2</v>
      </c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>
        <v>3.0</v>
      </c>
      <c r="B99" s="12" t="s">
        <v>17</v>
      </c>
      <c r="C99" s="14" t="s">
        <v>178</v>
      </c>
      <c r="D99" s="15">
        <v>2800.0</v>
      </c>
      <c r="E99" s="15">
        <f t="shared" si="16"/>
        <v>8400</v>
      </c>
      <c r="F99" s="16"/>
      <c r="G99" s="24"/>
      <c r="H99" s="24"/>
      <c r="I99" s="16">
        <v>2000.0</v>
      </c>
      <c r="J99" s="16">
        <f t="shared" si="17"/>
        <v>6000</v>
      </c>
      <c r="K99" s="16">
        <f t="shared" si="18"/>
        <v>2400</v>
      </c>
      <c r="L99" s="31" t="s">
        <v>2</v>
      </c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>
        <v>1.0</v>
      </c>
      <c r="B100" s="12" t="s">
        <v>32</v>
      </c>
      <c r="C100" s="14" t="s">
        <v>67</v>
      </c>
      <c r="D100" s="15">
        <v>22000.0</v>
      </c>
      <c r="E100" s="15">
        <f t="shared" si="16"/>
        <v>22000</v>
      </c>
      <c r="F100" s="16"/>
      <c r="G100" s="24"/>
      <c r="H100" s="24"/>
      <c r="I100" s="16">
        <v>18000.0</v>
      </c>
      <c r="J100" s="16">
        <f t="shared" si="17"/>
        <v>18000</v>
      </c>
      <c r="K100" s="16">
        <f t="shared" si="18"/>
        <v>4000</v>
      </c>
      <c r="L100" s="31" t="s">
        <v>2</v>
      </c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>
        <v>1.0</v>
      </c>
      <c r="B101" s="12" t="s">
        <v>17</v>
      </c>
      <c r="C101" s="14" t="s">
        <v>68</v>
      </c>
      <c r="D101" s="15">
        <v>1800.0</v>
      </c>
      <c r="E101" s="15">
        <f t="shared" si="16"/>
        <v>1800</v>
      </c>
      <c r="F101" s="16"/>
      <c r="G101" s="24"/>
      <c r="H101" s="24"/>
      <c r="I101" s="16">
        <f>13000/9</f>
        <v>1444.444444</v>
      </c>
      <c r="J101" s="16">
        <f t="shared" si="17"/>
        <v>1444.444444</v>
      </c>
      <c r="K101" s="16">
        <f t="shared" si="18"/>
        <v>355.5555556</v>
      </c>
      <c r="L101" s="31" t="s">
        <v>2</v>
      </c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>
        <v>1.0</v>
      </c>
      <c r="B102" s="12" t="s">
        <v>28</v>
      </c>
      <c r="C102" s="14" t="s">
        <v>138</v>
      </c>
      <c r="D102" s="15">
        <v>3000.0</v>
      </c>
      <c r="E102" s="15">
        <f t="shared" si="16"/>
        <v>3000</v>
      </c>
      <c r="F102" s="16"/>
      <c r="G102" s="24"/>
      <c r="H102" s="24"/>
      <c r="I102" s="16">
        <v>2000.0</v>
      </c>
      <c r="J102" s="16">
        <f t="shared" si="17"/>
        <v>2000</v>
      </c>
      <c r="K102" s="16">
        <f t="shared" si="18"/>
        <v>1000</v>
      </c>
      <c r="L102" s="31" t="s">
        <v>2</v>
      </c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>
        <v>1.0</v>
      </c>
      <c r="B103" s="12" t="s">
        <v>32</v>
      </c>
      <c r="C103" s="14" t="s">
        <v>44</v>
      </c>
      <c r="D103" s="15">
        <v>20000.0</v>
      </c>
      <c r="E103" s="15">
        <f t="shared" si="16"/>
        <v>20000</v>
      </c>
      <c r="F103" s="16"/>
      <c r="G103" s="24"/>
      <c r="H103" s="24"/>
      <c r="I103" s="16">
        <v>12000.0</v>
      </c>
      <c r="J103" s="16">
        <f t="shared" si="17"/>
        <v>12000</v>
      </c>
      <c r="K103" s="16">
        <f t="shared" si="18"/>
        <v>8000</v>
      </c>
      <c r="L103" s="31" t="s">
        <v>2</v>
      </c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>
        <v>1.0</v>
      </c>
      <c r="B104" s="12" t="s">
        <v>13</v>
      </c>
      <c r="C104" s="14" t="s">
        <v>45</v>
      </c>
      <c r="D104" s="15">
        <v>46000.0</v>
      </c>
      <c r="E104" s="15">
        <f t="shared" si="16"/>
        <v>46000</v>
      </c>
      <c r="F104" s="16"/>
      <c r="G104" s="24"/>
      <c r="H104" s="24"/>
      <c r="I104" s="16">
        <v>40000.0</v>
      </c>
      <c r="J104" s="16">
        <f t="shared" si="17"/>
        <v>40000</v>
      </c>
      <c r="K104" s="16">
        <f t="shared" si="18"/>
        <v>6000</v>
      </c>
      <c r="L104" s="31" t="s">
        <v>2</v>
      </c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3">
        <v>0.5</v>
      </c>
      <c r="B105" s="12" t="s">
        <v>32</v>
      </c>
      <c r="C105" s="14" t="s">
        <v>20</v>
      </c>
      <c r="D105" s="15">
        <v>22000.0</v>
      </c>
      <c r="E105" s="15">
        <f t="shared" si="16"/>
        <v>11000</v>
      </c>
      <c r="F105" s="16"/>
      <c r="H105" s="24"/>
      <c r="I105" s="16">
        <v>18000.0</v>
      </c>
      <c r="J105" s="16">
        <f t="shared" si="17"/>
        <v>9000</v>
      </c>
      <c r="K105" s="16">
        <f t="shared" si="18"/>
        <v>2000</v>
      </c>
      <c r="L105" s="30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13"/>
      <c r="B106" s="12"/>
      <c r="C106" s="14"/>
      <c r="D106" s="15"/>
      <c r="E106" s="16"/>
      <c r="F106" s="16"/>
      <c r="G106" s="24"/>
      <c r="H106" s="24"/>
      <c r="I106" s="16"/>
      <c r="J106" s="16"/>
      <c r="K106" s="16"/>
      <c r="L106" s="30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3"/>
      <c r="B107" s="12"/>
      <c r="C107" s="14"/>
      <c r="D107" s="15"/>
      <c r="E107" s="16">
        <f>SUM(E91:E105)</f>
        <v>256900</v>
      </c>
      <c r="F107" s="16"/>
      <c r="G107" s="24"/>
      <c r="H107" s="24"/>
      <c r="I107" s="16"/>
      <c r="J107" s="16"/>
      <c r="K107" s="16">
        <f>SUM(K91:K105)</f>
        <v>56288.88889</v>
      </c>
      <c r="L107" s="30">
        <f>K107/E107</f>
        <v>0.2191081701</v>
      </c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13"/>
      <c r="B108" s="12"/>
      <c r="C108" s="14"/>
      <c r="D108" s="15"/>
      <c r="E108" s="3"/>
      <c r="F108" s="3"/>
      <c r="G108" s="2"/>
      <c r="H108" s="2"/>
      <c r="I108" s="2"/>
      <c r="J108" s="2"/>
      <c r="K108" s="3"/>
      <c r="L108" s="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13"/>
      <c r="B109" s="12"/>
      <c r="C109" s="14"/>
      <c r="D109" s="15"/>
      <c r="E109" s="3"/>
      <c r="F109" s="3"/>
      <c r="G109" s="2"/>
      <c r="H109" s="2"/>
      <c r="I109" s="2"/>
      <c r="J109" s="2"/>
      <c r="K109" s="3"/>
      <c r="L109" s="4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23"/>
      <c r="B110" s="23"/>
      <c r="C110" s="23"/>
      <c r="D110" s="25"/>
      <c r="E110" s="7"/>
      <c r="F110" s="28"/>
      <c r="G110" s="24"/>
      <c r="H110" s="24"/>
      <c r="I110" s="16"/>
      <c r="J110" s="16"/>
      <c r="K110" s="16"/>
      <c r="L110" s="29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23" t="s">
        <v>71</v>
      </c>
      <c r="B111" s="23"/>
      <c r="C111" s="23"/>
      <c r="D111" s="25" t="s">
        <v>167</v>
      </c>
      <c r="E111" s="7">
        <v>46034.0</v>
      </c>
      <c r="F111" s="28"/>
      <c r="G111" s="24"/>
      <c r="H111" s="24"/>
      <c r="I111" s="16"/>
      <c r="J111" s="16"/>
      <c r="K111" s="16"/>
      <c r="L111" s="29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B112" s="24"/>
      <c r="C112" s="26"/>
      <c r="D112" s="24"/>
      <c r="E112" s="24"/>
      <c r="F112" s="24"/>
      <c r="G112" s="24"/>
      <c r="H112" s="24"/>
      <c r="I112" s="16"/>
      <c r="J112" s="16"/>
      <c r="K112" s="16"/>
      <c r="L112" s="29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5" t="s">
        <v>4</v>
      </c>
      <c r="B113" s="10" t="s">
        <v>5</v>
      </c>
      <c r="C113" s="11" t="s">
        <v>6</v>
      </c>
      <c r="D113" s="12" t="s">
        <v>7</v>
      </c>
      <c r="E113" s="10" t="s">
        <v>8</v>
      </c>
      <c r="F113" s="12"/>
      <c r="G113" s="24"/>
      <c r="H113" s="24"/>
      <c r="I113" s="12" t="s">
        <v>7</v>
      </c>
      <c r="J113" s="12" t="s">
        <v>8</v>
      </c>
      <c r="K113" s="12" t="s">
        <v>10</v>
      </c>
      <c r="L113" s="29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12.0</v>
      </c>
      <c r="B114" s="12" t="s">
        <v>17</v>
      </c>
      <c r="C114" s="14" t="s">
        <v>162</v>
      </c>
      <c r="D114" s="15">
        <v>2700.0</v>
      </c>
      <c r="E114" s="15">
        <f t="shared" ref="E114:E120" si="19">A114*D114</f>
        <v>32400</v>
      </c>
      <c r="F114" s="16"/>
      <c r="G114" s="24"/>
      <c r="H114" s="24"/>
      <c r="I114" s="16">
        <v>2000.0</v>
      </c>
      <c r="J114" s="16">
        <f t="shared" ref="J114:J120" si="20">I114*A114</f>
        <v>24000</v>
      </c>
      <c r="K114" s="16">
        <f t="shared" ref="K114:K120" si="21">E114-J114</f>
        <v>8400</v>
      </c>
      <c r="L114" s="31" t="s">
        <v>2</v>
      </c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2.0</v>
      </c>
      <c r="B115" s="12" t="s">
        <v>17</v>
      </c>
      <c r="C115" s="14" t="s">
        <v>79</v>
      </c>
      <c r="D115" s="15">
        <v>3500.0</v>
      </c>
      <c r="E115" s="15">
        <f t="shared" si="19"/>
        <v>7000</v>
      </c>
      <c r="F115" s="16"/>
      <c r="G115" s="24"/>
      <c r="H115" s="24"/>
      <c r="I115" s="16">
        <v>3000.0</v>
      </c>
      <c r="J115" s="16">
        <f t="shared" si="20"/>
        <v>6000</v>
      </c>
      <c r="K115" s="16">
        <f t="shared" si="21"/>
        <v>1000</v>
      </c>
      <c r="L115" s="31" t="s">
        <v>2</v>
      </c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1.0</v>
      </c>
      <c r="B116" s="12" t="s">
        <v>42</v>
      </c>
      <c r="C116" s="14" t="s">
        <v>68</v>
      </c>
      <c r="D116" s="15">
        <v>16000.0</v>
      </c>
      <c r="E116" s="15">
        <f t="shared" si="19"/>
        <v>16000</v>
      </c>
      <c r="F116" s="16"/>
      <c r="G116" s="24"/>
      <c r="H116" s="24"/>
      <c r="I116" s="16">
        <v>13000.0</v>
      </c>
      <c r="J116" s="16">
        <f t="shared" si="20"/>
        <v>13000</v>
      </c>
      <c r="K116" s="16">
        <f t="shared" si="21"/>
        <v>3000</v>
      </c>
      <c r="L116" s="31" t="s">
        <v>2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>
        <v>2.0</v>
      </c>
      <c r="B117" s="12" t="s">
        <v>13</v>
      </c>
      <c r="C117" s="14" t="s">
        <v>19</v>
      </c>
      <c r="D117" s="15">
        <v>44000.0</v>
      </c>
      <c r="E117" s="15">
        <f t="shared" si="19"/>
        <v>88000</v>
      </c>
      <c r="F117" s="16"/>
      <c r="G117" s="24"/>
      <c r="H117" s="24"/>
      <c r="I117" s="16">
        <v>30000.0</v>
      </c>
      <c r="J117" s="16">
        <f t="shared" si="20"/>
        <v>60000</v>
      </c>
      <c r="K117" s="16">
        <f t="shared" si="21"/>
        <v>28000</v>
      </c>
      <c r="L117" s="31" t="s">
        <v>2</v>
      </c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>
        <v>2.0</v>
      </c>
      <c r="B118" s="12" t="s">
        <v>42</v>
      </c>
      <c r="C118" s="14" t="s">
        <v>76</v>
      </c>
      <c r="D118" s="15">
        <v>18000.0</v>
      </c>
      <c r="E118" s="15">
        <f t="shared" si="19"/>
        <v>36000</v>
      </c>
      <c r="F118" s="16"/>
      <c r="G118" s="24"/>
      <c r="H118" s="24"/>
      <c r="I118" s="16">
        <v>15000.0</v>
      </c>
      <c r="J118" s="16">
        <f t="shared" si="20"/>
        <v>30000</v>
      </c>
      <c r="K118" s="16">
        <f t="shared" si="21"/>
        <v>6000</v>
      </c>
      <c r="L118" s="31" t="s">
        <v>2</v>
      </c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3">
        <v>7.1</v>
      </c>
      <c r="B119" s="12" t="s">
        <v>17</v>
      </c>
      <c r="C119" s="14" t="s">
        <v>156</v>
      </c>
      <c r="D119" s="15">
        <v>1000.0</v>
      </c>
      <c r="E119" s="15">
        <f t="shared" si="19"/>
        <v>7100</v>
      </c>
      <c r="F119" s="16"/>
      <c r="G119" s="24"/>
      <c r="H119" s="24"/>
      <c r="I119" s="16">
        <v>600.0</v>
      </c>
      <c r="J119" s="16">
        <f t="shared" si="20"/>
        <v>4260</v>
      </c>
      <c r="K119" s="16">
        <f t="shared" si="21"/>
        <v>2840</v>
      </c>
      <c r="L119" s="31" t="s">
        <v>2</v>
      </c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>
        <v>1.0</v>
      </c>
      <c r="B120" s="12" t="s">
        <v>17</v>
      </c>
      <c r="C120" s="14" t="s">
        <v>45</v>
      </c>
      <c r="D120" s="15">
        <v>3200.0</v>
      </c>
      <c r="E120" s="15">
        <f t="shared" si="19"/>
        <v>3200</v>
      </c>
      <c r="F120" s="16"/>
      <c r="G120" s="24"/>
      <c r="H120" s="24"/>
      <c r="I120" s="16">
        <f>40000/15</f>
        <v>2666.666667</v>
      </c>
      <c r="J120" s="16">
        <f t="shared" si="20"/>
        <v>2666.666667</v>
      </c>
      <c r="K120" s="16">
        <f t="shared" si="21"/>
        <v>533.3333333</v>
      </c>
      <c r="L120" s="31" t="s">
        <v>2</v>
      </c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/>
      <c r="B121" s="12"/>
      <c r="C121" s="14"/>
      <c r="D121" s="15"/>
      <c r="E121" s="16"/>
      <c r="F121" s="16"/>
      <c r="H121" s="24"/>
      <c r="I121" s="16"/>
      <c r="J121" s="16"/>
      <c r="K121" s="16"/>
      <c r="L121" s="30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3"/>
      <c r="B122" s="12"/>
      <c r="C122" s="14"/>
      <c r="D122" s="15"/>
      <c r="E122" s="16">
        <f>SUM(E114:E121)</f>
        <v>189700</v>
      </c>
      <c r="F122" s="16"/>
      <c r="G122" s="24"/>
      <c r="H122" s="24"/>
      <c r="I122" s="16"/>
      <c r="J122" s="16"/>
      <c r="K122" s="16">
        <f>SUM(K114:K120)</f>
        <v>49773.33333</v>
      </c>
      <c r="L122" s="30">
        <f>K122/E122</f>
        <v>0.2623791952</v>
      </c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/>
      <c r="B123" s="12"/>
      <c r="C123" s="14"/>
      <c r="D123" s="15"/>
      <c r="E123" s="3"/>
      <c r="F123" s="3"/>
      <c r="G123" s="2"/>
      <c r="H123" s="2"/>
      <c r="I123" s="2"/>
      <c r="J123" s="2"/>
      <c r="K123" s="3"/>
      <c r="L123" s="4"/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/>
      <c r="B124" s="12"/>
      <c r="C124" s="14"/>
      <c r="D124" s="15"/>
      <c r="E124" s="3"/>
      <c r="F124" s="3"/>
      <c r="G124" s="2"/>
      <c r="H124" s="2"/>
      <c r="I124" s="2"/>
      <c r="J124" s="2"/>
      <c r="K124" s="3"/>
      <c r="L124" s="4"/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/>
      <c r="B125" s="12"/>
      <c r="C125" s="14"/>
      <c r="D125" s="15"/>
      <c r="E125" s="3"/>
      <c r="F125" s="3"/>
      <c r="G125" s="2"/>
      <c r="H125" s="2"/>
      <c r="I125" s="2"/>
      <c r="J125" s="2"/>
      <c r="K125" s="3"/>
      <c r="L125" s="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23" t="s">
        <v>47</v>
      </c>
      <c r="B126" s="23"/>
      <c r="C126" s="23"/>
      <c r="D126" s="25" t="s">
        <v>171</v>
      </c>
      <c r="E126" s="7">
        <v>46034.0</v>
      </c>
      <c r="F126" s="28"/>
      <c r="G126" s="24"/>
      <c r="H126" s="24"/>
      <c r="I126" s="16"/>
      <c r="J126" s="16"/>
      <c r="K126" s="16"/>
      <c r="L126" s="29"/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B127" s="24"/>
      <c r="C127" s="26"/>
      <c r="D127" s="24"/>
      <c r="E127" s="24"/>
      <c r="F127" s="24"/>
      <c r="G127" s="24"/>
      <c r="H127" s="24"/>
      <c r="I127" s="16"/>
      <c r="J127" s="16"/>
      <c r="K127" s="16"/>
      <c r="L127" s="29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5" t="s">
        <v>4</v>
      </c>
      <c r="B128" s="10" t="s">
        <v>5</v>
      </c>
      <c r="C128" s="11" t="s">
        <v>6</v>
      </c>
      <c r="D128" s="12" t="s">
        <v>7</v>
      </c>
      <c r="E128" s="10" t="s">
        <v>8</v>
      </c>
      <c r="F128" s="12"/>
      <c r="G128" s="24"/>
      <c r="H128" s="24"/>
      <c r="I128" s="12" t="s">
        <v>7</v>
      </c>
      <c r="J128" s="12" t="s">
        <v>8</v>
      </c>
      <c r="K128" s="12" t="s">
        <v>10</v>
      </c>
      <c r="L128" s="29"/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3">
        <v>1.0</v>
      </c>
      <c r="B129" s="12" t="s">
        <v>13</v>
      </c>
      <c r="C129" s="14" t="s">
        <v>45</v>
      </c>
      <c r="D129" s="15">
        <v>46000.0</v>
      </c>
      <c r="E129" s="15">
        <f t="shared" ref="E129:E134" si="22">A129*D129</f>
        <v>46000</v>
      </c>
      <c r="F129" s="16"/>
      <c r="G129" s="24"/>
      <c r="H129" s="24"/>
      <c r="I129" s="16">
        <v>40000.0</v>
      </c>
      <c r="J129" s="16">
        <f t="shared" ref="J129:J134" si="23">I129*A129</f>
        <v>40000</v>
      </c>
      <c r="K129" s="16">
        <f t="shared" ref="K129:K134" si="24">E129-J129</f>
        <v>6000</v>
      </c>
      <c r="L129" s="31" t="s">
        <v>2</v>
      </c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13">
        <v>1.0</v>
      </c>
      <c r="B130" s="12" t="s">
        <v>42</v>
      </c>
      <c r="C130" s="14" t="s">
        <v>76</v>
      </c>
      <c r="D130" s="15">
        <v>18000.0</v>
      </c>
      <c r="E130" s="15">
        <f t="shared" si="22"/>
        <v>18000</v>
      </c>
      <c r="F130" s="16"/>
      <c r="G130" s="24"/>
      <c r="H130" s="24"/>
      <c r="I130" s="16">
        <v>15000.0</v>
      </c>
      <c r="J130" s="16">
        <f t="shared" si="23"/>
        <v>15000</v>
      </c>
      <c r="K130" s="16">
        <f t="shared" si="24"/>
        <v>3000</v>
      </c>
      <c r="L130" s="31" t="s">
        <v>2</v>
      </c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3">
        <v>1.0</v>
      </c>
      <c r="B131" s="12" t="s">
        <v>13</v>
      </c>
      <c r="C131" s="14" t="s">
        <v>38</v>
      </c>
      <c r="D131" s="15">
        <v>60000.0</v>
      </c>
      <c r="E131" s="15">
        <f t="shared" si="22"/>
        <v>60000</v>
      </c>
      <c r="F131" s="16"/>
      <c r="G131" s="24"/>
      <c r="H131" s="24"/>
      <c r="I131" s="16">
        <v>45000.0</v>
      </c>
      <c r="J131" s="16">
        <f t="shared" si="23"/>
        <v>45000</v>
      </c>
      <c r="K131" s="16">
        <f t="shared" si="24"/>
        <v>15000</v>
      </c>
      <c r="L131" s="31" t="s">
        <v>2</v>
      </c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13">
        <v>1.5</v>
      </c>
      <c r="B132" s="12" t="s">
        <v>17</v>
      </c>
      <c r="C132" s="14" t="s">
        <v>144</v>
      </c>
      <c r="D132" s="15">
        <v>3500.0</v>
      </c>
      <c r="E132" s="15">
        <f t="shared" si="22"/>
        <v>5250</v>
      </c>
      <c r="F132" s="16"/>
      <c r="G132" s="24"/>
      <c r="H132" s="24"/>
      <c r="I132" s="16">
        <v>2500.0</v>
      </c>
      <c r="J132" s="16">
        <f t="shared" si="23"/>
        <v>3750</v>
      </c>
      <c r="K132" s="16">
        <f t="shared" si="24"/>
        <v>1500</v>
      </c>
      <c r="L132" s="31" t="s">
        <v>2</v>
      </c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3">
        <v>1.0</v>
      </c>
      <c r="B133" s="12" t="s">
        <v>17</v>
      </c>
      <c r="C133" s="14" t="s">
        <v>37</v>
      </c>
      <c r="D133" s="15">
        <v>5000.0</v>
      </c>
      <c r="E133" s="15">
        <f t="shared" si="22"/>
        <v>5000</v>
      </c>
      <c r="F133" s="16"/>
      <c r="G133" s="24"/>
      <c r="H133" s="24"/>
      <c r="I133" s="16">
        <v>4000.0</v>
      </c>
      <c r="J133" s="16">
        <f t="shared" si="23"/>
        <v>4000</v>
      </c>
      <c r="K133" s="16">
        <f t="shared" si="24"/>
        <v>1000</v>
      </c>
      <c r="L133" s="31" t="s">
        <v>2</v>
      </c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3">
        <v>1.0</v>
      </c>
      <c r="B134" s="12" t="s">
        <v>42</v>
      </c>
      <c r="C134" s="14" t="s">
        <v>159</v>
      </c>
      <c r="D134" s="15">
        <v>29000.0</v>
      </c>
      <c r="E134" s="15">
        <f t="shared" si="22"/>
        <v>29000</v>
      </c>
      <c r="F134" s="16"/>
      <c r="G134" s="24"/>
      <c r="H134" s="24"/>
      <c r="I134" s="16">
        <v>25000.0</v>
      </c>
      <c r="J134" s="16">
        <f t="shared" si="23"/>
        <v>25000</v>
      </c>
      <c r="K134" s="16">
        <f t="shared" si="24"/>
        <v>4000</v>
      </c>
      <c r="L134" s="31" t="s">
        <v>2</v>
      </c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13"/>
      <c r="B135" s="12"/>
      <c r="C135" s="14"/>
      <c r="D135" s="15"/>
      <c r="E135" s="16"/>
      <c r="F135" s="16"/>
      <c r="H135" s="24"/>
      <c r="I135" s="16"/>
      <c r="J135" s="16"/>
      <c r="K135" s="16"/>
      <c r="L135" s="30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/>
      <c r="B136" s="12"/>
      <c r="C136" s="14"/>
      <c r="D136" s="15"/>
      <c r="E136" s="16">
        <f>SUM(E129:E135)</f>
        <v>163250</v>
      </c>
      <c r="F136" s="16"/>
      <c r="G136" s="24"/>
      <c r="H136" s="24"/>
      <c r="I136" s="16"/>
      <c r="J136" s="16"/>
      <c r="K136" s="16">
        <f>SUM(K129:K134)</f>
        <v>30500</v>
      </c>
      <c r="L136" s="30">
        <f>K136/E136</f>
        <v>0.1868300153</v>
      </c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33"/>
      <c r="B137" s="34"/>
      <c r="C137" s="2"/>
      <c r="D137" s="3"/>
      <c r="E137" s="3"/>
      <c r="F137" s="3"/>
      <c r="G137" s="2"/>
      <c r="H137" s="2"/>
      <c r="I137" s="2"/>
      <c r="J137" s="2"/>
      <c r="K137" s="3"/>
      <c r="L137" s="4"/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33"/>
      <c r="B138" s="34"/>
      <c r="C138" s="2"/>
      <c r="D138" s="3"/>
      <c r="E138" s="3"/>
      <c r="F138" s="3"/>
      <c r="G138" s="2"/>
      <c r="H138" s="2"/>
      <c r="I138" s="2"/>
      <c r="J138" s="2"/>
      <c r="K138" s="3"/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33" t="s">
        <v>88</v>
      </c>
      <c r="B139" s="34">
        <f>E122+E107+E84+E67+E44+F25+E136</f>
        <v>2123024.5</v>
      </c>
      <c r="C139" s="2"/>
      <c r="D139" s="3"/>
      <c r="E139" s="3"/>
      <c r="F139" s="3"/>
      <c r="G139" s="2"/>
      <c r="H139" s="2"/>
      <c r="I139" s="2"/>
      <c r="J139" s="2"/>
      <c r="K139" s="3"/>
      <c r="L139" s="4"/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"/>
      <c r="B140" s="2"/>
      <c r="C140" s="2"/>
      <c r="D140" s="3"/>
      <c r="E140" s="3"/>
      <c r="F140" s="3"/>
      <c r="G140" s="2"/>
      <c r="H140" s="2"/>
      <c r="I140" s="2"/>
      <c r="J140" s="2"/>
      <c r="K140" s="3"/>
      <c r="L140" s="4"/>
      <c r="M140" s="2"/>
      <c r="N140" s="2"/>
      <c r="O140" s="2"/>
      <c r="P140" s="2"/>
      <c r="Q140" s="3"/>
      <c r="R140" s="9"/>
      <c r="S140" s="3"/>
      <c r="T140" s="3"/>
      <c r="U140" s="1"/>
      <c r="V140" s="3"/>
      <c r="W140" s="3"/>
      <c r="X140" s="3"/>
      <c r="Y140" s="3"/>
      <c r="Z140" s="3"/>
    </row>
    <row r="141">
      <c r="A141" s="33" t="s">
        <v>89</v>
      </c>
      <c r="B141" s="34">
        <f>K122+K107+K84+K67+K44+K25+K136</f>
        <v>743492.6746</v>
      </c>
      <c r="C141" s="2"/>
      <c r="D141" s="3"/>
      <c r="E141" s="3"/>
      <c r="F141" s="3"/>
      <c r="G141" s="2"/>
      <c r="H141" s="2"/>
      <c r="I141" s="2"/>
      <c r="J141" s="2"/>
      <c r="K141" s="3"/>
      <c r="L141" s="4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"/>
      <c r="B142" s="2"/>
      <c r="C142" s="2"/>
      <c r="D142" s="3"/>
      <c r="E142" s="3"/>
      <c r="F142" s="3"/>
      <c r="G142" s="2"/>
      <c r="H142" s="2"/>
      <c r="I142" s="2"/>
      <c r="J142" s="2"/>
      <c r="K142" s="3"/>
      <c r="L142" s="4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33" t="s">
        <v>90</v>
      </c>
      <c r="B143" s="35">
        <f>B141/B139</f>
        <v>0.3502044723</v>
      </c>
      <c r="C143" s="2"/>
      <c r="D143" s="3"/>
      <c r="E143" s="3"/>
      <c r="F143" s="3"/>
      <c r="G143" s="2"/>
      <c r="H143" s="2"/>
      <c r="I143" s="2"/>
      <c r="J143" s="2"/>
      <c r="K143" s="3"/>
      <c r="L143" s="4"/>
      <c r="M143" s="2"/>
      <c r="N143" s="2"/>
      <c r="O143" s="2"/>
      <c r="P143" s="2"/>
      <c r="Q143" s="2"/>
      <c r="R143" s="2"/>
      <c r="S143" s="3"/>
      <c r="T143" s="3"/>
      <c r="U143" s="1"/>
      <c r="V143" s="3"/>
      <c r="W143" s="3"/>
      <c r="X143" s="2"/>
      <c r="Y143" s="2"/>
      <c r="Z143" s="2"/>
    </row>
    <row r="144">
      <c r="A144" s="1"/>
      <c r="B144" s="2"/>
      <c r="C144" s="2"/>
      <c r="D144" s="3"/>
      <c r="E144" s="3"/>
      <c r="F144" s="3"/>
      <c r="G144" s="2"/>
      <c r="H144" s="2"/>
      <c r="I144" s="2"/>
      <c r="J144" s="2"/>
      <c r="K144" s="3"/>
      <c r="L144" s="4"/>
      <c r="M144" s="2"/>
      <c r="N144" s="2"/>
      <c r="O144" s="2"/>
      <c r="P144" s="2"/>
      <c r="Q144" s="3"/>
      <c r="R144" s="9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36" t="s">
        <v>91</v>
      </c>
      <c r="C145" s="37">
        <v>76.0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9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1"/>
      <c r="B147" s="2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1"/>
      <c r="B148" s="1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X149" s="3"/>
      <c r="Y149" s="3"/>
      <c r="Z149" s="3"/>
    </row>
    <row r="150" ht="15.75" customHeight="1">
      <c r="A150" s="39"/>
      <c r="B150" s="40" t="s">
        <v>92</v>
      </c>
      <c r="C150" s="41" t="s">
        <v>93</v>
      </c>
      <c r="D150" s="42" t="s">
        <v>94</v>
      </c>
      <c r="E150" s="42" t="s">
        <v>95</v>
      </c>
      <c r="F150" s="42" t="s">
        <v>96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9"/>
      <c r="X150" s="3"/>
      <c r="Y150" s="3"/>
      <c r="Z150" s="3"/>
    </row>
    <row r="151" ht="15.75" customHeight="1">
      <c r="A151" s="43"/>
      <c r="B151" s="44">
        <f>'09-01-2026 '!B209</f>
        <v>2931950</v>
      </c>
      <c r="C151" s="45">
        <f>'09-01-2026 '!C209</f>
        <v>643119.2456</v>
      </c>
      <c r="D151" s="45">
        <f>'09-01-2026 '!D209</f>
        <v>521445.3272</v>
      </c>
      <c r="E151" s="45"/>
      <c r="F151" s="45">
        <f>'09-01-2026 '!F209</f>
        <v>3000000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1"/>
      <c r="B152" s="46"/>
      <c r="C152" s="46"/>
      <c r="D152" s="46"/>
      <c r="E152" s="4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40" t="s">
        <v>97</v>
      </c>
      <c r="B153" s="47"/>
      <c r="C153" s="47"/>
      <c r="D153" s="47"/>
      <c r="E153" s="47"/>
      <c r="F153" s="4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13" t="s">
        <v>98</v>
      </c>
      <c r="B154" s="49">
        <v>0.0</v>
      </c>
      <c r="C154" s="49">
        <f>900000+319400+12000</f>
        <v>1231400</v>
      </c>
      <c r="D154" s="49">
        <v>0.0</v>
      </c>
      <c r="E154" s="49">
        <v>0.0</v>
      </c>
      <c r="F154" s="49">
        <v>0.0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13" t="s">
        <v>99</v>
      </c>
      <c r="B155" s="49">
        <v>0.0</v>
      </c>
      <c r="C155" s="49">
        <v>1292.84</v>
      </c>
      <c r="D155" s="49">
        <v>0.0</v>
      </c>
      <c r="E155" s="49">
        <v>0.0</v>
      </c>
      <c r="F155" s="49">
        <v>0.0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13" t="s">
        <v>100</v>
      </c>
      <c r="B156" s="49">
        <v>0.0</v>
      </c>
      <c r="C156" s="49">
        <v>0.0</v>
      </c>
      <c r="D156" s="49">
        <v>357410.34</v>
      </c>
      <c r="E156" s="49">
        <v>0.0</v>
      </c>
      <c r="F156" s="49">
        <v>357410.34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13" t="s">
        <v>101</v>
      </c>
      <c r="B157" s="49">
        <v>0.0</v>
      </c>
      <c r="C157" s="49">
        <v>0.0</v>
      </c>
      <c r="D157" s="49">
        <v>0.0</v>
      </c>
      <c r="E157" s="49">
        <v>0.0</v>
      </c>
      <c r="F157" s="49">
        <v>0.0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102</v>
      </c>
      <c r="B158" s="49">
        <v>0.0</v>
      </c>
      <c r="C158" s="49">
        <v>0.0</v>
      </c>
      <c r="D158" s="49">
        <v>0.0</v>
      </c>
      <c r="E158" s="49">
        <v>0.0</v>
      </c>
      <c r="F158" s="49">
        <v>0.0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3" t="s">
        <v>203</v>
      </c>
      <c r="B159" s="49">
        <v>0.0</v>
      </c>
      <c r="C159" s="50">
        <f>C154*2%</f>
        <v>24628</v>
      </c>
      <c r="D159" s="49">
        <f>SUM(D153:D154)*2%</f>
        <v>0</v>
      </c>
      <c r="E159" s="49">
        <v>0.0</v>
      </c>
      <c r="F159" s="49">
        <v>0.0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3" t="s">
        <v>103</v>
      </c>
      <c r="B160" s="49">
        <v>0.0</v>
      </c>
      <c r="C160" s="50">
        <f>C154*0.6%+C157*0.6%</f>
        <v>7388.4</v>
      </c>
      <c r="D160" s="49">
        <f>SUM(D154:D156)*0.6%</f>
        <v>2144.46204</v>
      </c>
      <c r="E160" s="49">
        <v>0.0</v>
      </c>
      <c r="F160" s="49">
        <v>0.0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1"/>
      <c r="B161" s="46"/>
      <c r="C161" s="46"/>
      <c r="D161" s="46"/>
      <c r="E161" s="4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51" t="s">
        <v>8</v>
      </c>
      <c r="B162" s="52">
        <f>SUM(B151:B160)</f>
        <v>2931950</v>
      </c>
      <c r="C162" s="52">
        <f>C151+C154+C157+C158-C160+C155-C159</f>
        <v>1843795.686</v>
      </c>
      <c r="D162" s="53">
        <f>D151+D154+D157+D158-D160+D156</f>
        <v>876711.2052</v>
      </c>
      <c r="E162" s="52">
        <f>E151+E154+E157+E158-E160</f>
        <v>0</v>
      </c>
      <c r="F162" s="54">
        <f>F151+F154+F157+F158-F160-D156</f>
        <v>2642589.66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"/>
      <c r="B163" s="1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40" t="s">
        <v>104</v>
      </c>
      <c r="B164" s="47"/>
      <c r="C164" s="47"/>
      <c r="D164" s="47"/>
      <c r="E164" s="47"/>
      <c r="F164" s="4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13" t="s">
        <v>105</v>
      </c>
      <c r="B165" s="55">
        <v>1000.0</v>
      </c>
      <c r="C165" s="55">
        <v>0.0</v>
      </c>
      <c r="D165" s="55">
        <v>0.0</v>
      </c>
      <c r="E165" s="55">
        <v>0.0</v>
      </c>
      <c r="F165" s="2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13" t="s">
        <v>106</v>
      </c>
      <c r="B166" s="49">
        <v>0.0</v>
      </c>
      <c r="C166" s="49">
        <v>84000.0</v>
      </c>
      <c r="D166" s="49">
        <v>0.0</v>
      </c>
      <c r="E166" s="49">
        <v>0.0</v>
      </c>
      <c r="F166" s="2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13" t="s">
        <v>107</v>
      </c>
      <c r="B167" s="55">
        <v>0.0</v>
      </c>
      <c r="C167" s="55">
        <v>0.0</v>
      </c>
      <c r="D167" s="49">
        <v>0.0</v>
      </c>
      <c r="E167" s="55">
        <v>0.0</v>
      </c>
      <c r="F167" s="2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13" t="s">
        <v>108</v>
      </c>
      <c r="B168" s="55">
        <v>2800.0</v>
      </c>
      <c r="C168" s="55">
        <v>0.0</v>
      </c>
      <c r="D168" s="55">
        <v>0.0</v>
      </c>
      <c r="E168" s="55">
        <v>0.0</v>
      </c>
      <c r="F168" s="2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3" t="s">
        <v>109</v>
      </c>
      <c r="B169" s="55">
        <v>0.0</v>
      </c>
      <c r="C169" s="55">
        <v>419500.0</v>
      </c>
      <c r="D169" s="55">
        <v>0.0</v>
      </c>
      <c r="E169" s="55">
        <v>0.0</v>
      </c>
      <c r="F169" s="2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110</v>
      </c>
      <c r="B170" s="55">
        <v>0.0</v>
      </c>
      <c r="C170" s="55">
        <v>20000.0</v>
      </c>
      <c r="D170" s="55">
        <v>0.0</v>
      </c>
      <c r="E170" s="55">
        <v>0.0</v>
      </c>
      <c r="F170" s="26"/>
      <c r="G170" s="2"/>
      <c r="H170" s="56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111</v>
      </c>
      <c r="B171" s="49">
        <v>0.0</v>
      </c>
      <c r="C171" s="49">
        <v>535000.0</v>
      </c>
      <c r="D171" s="49">
        <v>0.0</v>
      </c>
      <c r="E171" s="49">
        <v>0.0</v>
      </c>
      <c r="F171" s="2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112</v>
      </c>
      <c r="B172" s="49">
        <v>0.0</v>
      </c>
      <c r="C172" s="49">
        <v>0.0</v>
      </c>
      <c r="D172" s="49">
        <v>0.0</v>
      </c>
      <c r="E172" s="49">
        <v>0.0</v>
      </c>
      <c r="F172" s="26"/>
      <c r="G172" s="2"/>
      <c r="H172" s="56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113</v>
      </c>
      <c r="B173" s="49">
        <v>0.0</v>
      </c>
      <c r="C173" s="49">
        <v>0.0</v>
      </c>
      <c r="D173" s="49">
        <v>0.0</v>
      </c>
      <c r="E173" s="49">
        <v>0.0</v>
      </c>
      <c r="F173" s="26"/>
      <c r="G173" s="2"/>
      <c r="H173" s="56"/>
      <c r="I173" s="2"/>
      <c r="J173" s="2"/>
      <c r="K173" s="2"/>
      <c r="L173" s="2"/>
      <c r="M173" s="2"/>
      <c r="N173" s="2"/>
      <c r="O173" s="2"/>
      <c r="P173" s="2"/>
      <c r="Q173" s="3"/>
      <c r="R173" s="9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3" t="s">
        <v>114</v>
      </c>
      <c r="B174" s="55">
        <v>0.0</v>
      </c>
      <c r="C174" s="55">
        <v>0.0</v>
      </c>
      <c r="D174" s="55">
        <v>0.0</v>
      </c>
      <c r="E174" s="55">
        <v>0.0</v>
      </c>
      <c r="F174" s="26"/>
      <c r="G174" s="2"/>
      <c r="H174" s="56"/>
      <c r="I174" s="2"/>
      <c r="J174" s="2"/>
      <c r="K174" s="2"/>
      <c r="L174" s="2"/>
      <c r="M174" s="2"/>
      <c r="N174" s="2"/>
      <c r="O174" s="2"/>
      <c r="P174" s="2"/>
      <c r="Q174" s="3"/>
      <c r="R174" s="9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3" t="s">
        <v>115</v>
      </c>
      <c r="B175" s="55">
        <v>0.0</v>
      </c>
      <c r="C175" s="55">
        <v>0.0</v>
      </c>
      <c r="D175" s="55">
        <v>0.0</v>
      </c>
      <c r="E175" s="55">
        <v>0.0</v>
      </c>
      <c r="F175" s="26"/>
      <c r="G175" s="2"/>
      <c r="H175" s="56"/>
      <c r="I175" s="2"/>
      <c r="J175" s="2"/>
      <c r="K175" s="2"/>
      <c r="L175" s="2"/>
      <c r="M175" s="2"/>
      <c r="N175" s="2"/>
      <c r="O175" s="2"/>
      <c r="P175" s="2"/>
      <c r="Q175" s="3"/>
      <c r="R175" s="9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 t="s">
        <v>116</v>
      </c>
      <c r="B176" s="50">
        <v>0.0</v>
      </c>
      <c r="C176" s="50">
        <v>320000.0</v>
      </c>
      <c r="D176" s="49">
        <v>0.0</v>
      </c>
      <c r="E176" s="49">
        <v>0.0</v>
      </c>
      <c r="F176" s="2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3" t="s">
        <v>117</v>
      </c>
      <c r="B177" s="50">
        <v>0.0</v>
      </c>
      <c r="C177" s="50">
        <v>0.0</v>
      </c>
      <c r="D177" s="49">
        <v>0.0</v>
      </c>
      <c r="E177" s="49">
        <v>0.0</v>
      </c>
      <c r="F177" s="26"/>
      <c r="G177" s="2"/>
      <c r="H177" s="56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118</v>
      </c>
      <c r="B178" s="50">
        <v>0.0</v>
      </c>
      <c r="C178" s="50">
        <v>208000.0</v>
      </c>
      <c r="D178" s="49">
        <v>0.0</v>
      </c>
      <c r="E178" s="49">
        <v>0.0</v>
      </c>
      <c r="F178" s="2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119</v>
      </c>
      <c r="B179" s="50">
        <v>0.0</v>
      </c>
      <c r="C179" s="50">
        <v>0.0</v>
      </c>
      <c r="D179" s="49">
        <v>0.0</v>
      </c>
      <c r="E179" s="49">
        <v>0.0</v>
      </c>
      <c r="F179" s="2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9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218</v>
      </c>
      <c r="B180" s="50">
        <v>0.0</v>
      </c>
      <c r="C180" s="50">
        <f>75000+48000</f>
        <v>123000</v>
      </c>
      <c r="D180" s="49">
        <v>0.0</v>
      </c>
      <c r="E180" s="49">
        <v>0.0</v>
      </c>
      <c r="F180" s="2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9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121</v>
      </c>
      <c r="B181" s="50">
        <v>0.0</v>
      </c>
      <c r="C181" s="50">
        <v>0.0</v>
      </c>
      <c r="D181" s="49">
        <v>0.0</v>
      </c>
      <c r="E181" s="49">
        <v>0.0</v>
      </c>
      <c r="F181" s="2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122</v>
      </c>
      <c r="B182" s="49">
        <v>0.0</v>
      </c>
      <c r="C182" s="49">
        <v>0.0</v>
      </c>
      <c r="D182" s="49">
        <v>0.0</v>
      </c>
      <c r="E182" s="49">
        <v>0.0</v>
      </c>
      <c r="F182" s="2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3" t="s">
        <v>123</v>
      </c>
      <c r="B183" s="49">
        <v>0.0</v>
      </c>
      <c r="C183" s="49">
        <v>0.0</v>
      </c>
      <c r="D183" s="49">
        <v>0.0</v>
      </c>
      <c r="E183" s="49">
        <v>0.0</v>
      </c>
      <c r="F183" s="2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13" t="s">
        <v>124</v>
      </c>
      <c r="B184" s="49">
        <v>0.0</v>
      </c>
      <c r="C184" s="49">
        <v>0.0</v>
      </c>
      <c r="D184" s="49">
        <v>0.0</v>
      </c>
      <c r="E184" s="49">
        <v>0.0</v>
      </c>
      <c r="F184" s="2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3" t="s">
        <v>125</v>
      </c>
      <c r="B185" s="50">
        <v>0.0</v>
      </c>
      <c r="C185" s="50">
        <v>0.0</v>
      </c>
      <c r="D185" s="49">
        <f>SUM(D154:D156)*2%</f>
        <v>7148.2068</v>
      </c>
      <c r="E185" s="49">
        <v>0.0</v>
      </c>
      <c r="F185" s="2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13" t="s">
        <v>126</v>
      </c>
      <c r="B186" s="49">
        <v>0.0</v>
      </c>
      <c r="C186" s="49">
        <v>0.0</v>
      </c>
      <c r="D186" s="49">
        <v>0.0</v>
      </c>
      <c r="E186" s="49">
        <v>0.0</v>
      </c>
      <c r="F186" s="2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127</v>
      </c>
      <c r="B187" s="49">
        <v>0.0</v>
      </c>
      <c r="C187" s="49">
        <v>0.0</v>
      </c>
      <c r="D187" s="49">
        <v>0.0</v>
      </c>
      <c r="E187" s="49">
        <v>0.0</v>
      </c>
      <c r="F187" s="2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128</v>
      </c>
      <c r="B188" s="49">
        <v>0.0</v>
      </c>
      <c r="C188" s="49">
        <v>0.0</v>
      </c>
      <c r="D188" s="49">
        <v>0.0</v>
      </c>
      <c r="E188" s="49">
        <v>0.0</v>
      </c>
      <c r="F188" s="2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129</v>
      </c>
      <c r="B189" s="49">
        <v>0.0</v>
      </c>
      <c r="C189" s="49">
        <v>0.0</v>
      </c>
      <c r="D189" s="49">
        <v>0.0</v>
      </c>
      <c r="E189" s="49">
        <v>0.0</v>
      </c>
      <c r="F189" s="2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57"/>
      <c r="B190" s="49"/>
      <c r="C190" s="49"/>
      <c r="D190" s="49"/>
      <c r="E190" s="49"/>
      <c r="F190" s="2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130</v>
      </c>
      <c r="B191" s="50">
        <v>0.0</v>
      </c>
      <c r="C191" s="50">
        <f>SUM(C165:C188)*0.6%</f>
        <v>10257</v>
      </c>
      <c r="D191" s="50">
        <f>SUM(D165:D188)*0.6%+(D192*0.6%)</f>
        <v>3162.889241</v>
      </c>
      <c r="E191" s="50">
        <f>(E169*0.6%)+(E170*0.6%)+(E171*0.6%)+(E174*0.6%)+(E175*0.6%)</f>
        <v>0</v>
      </c>
      <c r="F191" s="2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131</v>
      </c>
      <c r="B192" s="50">
        <v>0.0</v>
      </c>
      <c r="C192" s="50">
        <v>520000.0</v>
      </c>
      <c r="D192" s="50">
        <v>520000.0</v>
      </c>
      <c r="E192" s="50">
        <f>SUM(E166:E190)*0.6%+(E193*0.6%)</f>
        <v>0</v>
      </c>
      <c r="F192" s="5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57"/>
      <c r="B193" s="57"/>
      <c r="C193" s="26"/>
      <c r="D193" s="2"/>
      <c r="E193" s="26"/>
      <c r="F193" s="2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59" t="s">
        <v>132</v>
      </c>
      <c r="B194" s="60">
        <f>SUM(B165:B193)</f>
        <v>3800</v>
      </c>
      <c r="C194" s="60">
        <f>SUM(C165:C191)</f>
        <v>1719757</v>
      </c>
      <c r="D194" s="60">
        <f>SUM(D165:D192)</f>
        <v>530311.096</v>
      </c>
      <c r="E194" s="60">
        <f>E176+E180+E191-E192</f>
        <v>0</v>
      </c>
      <c r="F194" s="61" t="str">
        <f>F169</f>
        <v/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57"/>
      <c r="B195" s="57"/>
      <c r="C195" s="26"/>
      <c r="D195" s="26"/>
      <c r="E195" s="26"/>
      <c r="F195" s="2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59" t="s">
        <v>133</v>
      </c>
      <c r="B196" s="62">
        <f>B162-B194</f>
        <v>2928150</v>
      </c>
      <c r="C196" s="63">
        <f>C162-C194+C192</f>
        <v>644038.6856</v>
      </c>
      <c r="D196" s="63">
        <f t="shared" ref="D196:F196" si="25">D162-D194</f>
        <v>346400.1091</v>
      </c>
      <c r="E196" s="64">
        <f t="shared" si="25"/>
        <v>0</v>
      </c>
      <c r="F196" s="64">
        <f t="shared" si="25"/>
        <v>2642589.66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65" t="s">
        <v>134</v>
      </c>
      <c r="B198" s="66">
        <f>23600-B165-B168</f>
        <v>19800</v>
      </c>
      <c r="C198" s="46"/>
      <c r="D198" s="46"/>
      <c r="E198" s="46"/>
      <c r="F198" s="4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9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65" t="s">
        <v>135</v>
      </c>
      <c r="B199" s="66">
        <v>2908350.0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46" t="s">
        <v>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46">
        <f>SUM(B198:B199)</f>
        <v>2928150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9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9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9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9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9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9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9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9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9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9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9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9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3"/>
      <c r="T275" s="3"/>
      <c r="U275" s="9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9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9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9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9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9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9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9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9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9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3"/>
      <c r="T317" s="3"/>
      <c r="U317" s="9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9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9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46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46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46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46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46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46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46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46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46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46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46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46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46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46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46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46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9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46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46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46"/>
      <c r="R362" s="46"/>
      <c r="S362" s="3"/>
      <c r="T362" s="3"/>
      <c r="U362" s="9"/>
      <c r="V362" s="3"/>
      <c r="W362" s="3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9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9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46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46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46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46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46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46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46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9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9"/>
      <c r="T408" s="3"/>
      <c r="U408" s="2"/>
      <c r="V408" s="3"/>
      <c r="W408" s="3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9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9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9"/>
      <c r="T425" s="3"/>
      <c r="U425" s="2"/>
      <c r="V425" s="3"/>
      <c r="W425" s="3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9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9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9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9"/>
      <c r="T436" s="3"/>
      <c r="U436" s="2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9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9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3"/>
      <c r="T452" s="3"/>
      <c r="U452" s="9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9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9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3"/>
      <c r="T466" s="9"/>
      <c r="U466" s="2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9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9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9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9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3"/>
      <c r="T478" s="9"/>
      <c r="U478" s="2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9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2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2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9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2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67"/>
      <c r="R493" s="2"/>
      <c r="S493" s="2"/>
      <c r="T493" s="3"/>
      <c r="U493" s="2"/>
      <c r="V493" s="2"/>
      <c r="W493" s="2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3"/>
      <c r="T494" s="3"/>
      <c r="U494" s="3"/>
      <c r="V494" s="2"/>
      <c r="W494" s="2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8"/>
      <c r="R496" s="38"/>
      <c r="S496" s="38"/>
      <c r="T496" s="38"/>
      <c r="U496" s="38"/>
      <c r="V496" s="38"/>
      <c r="W496" s="38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3"/>
      <c r="T497" s="3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"/>
      <c r="R498" s="2"/>
      <c r="S498" s="3"/>
      <c r="T498" s="3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68"/>
      <c r="R500" s="69"/>
      <c r="S500" s="70"/>
      <c r="T500" s="70"/>
      <c r="U500" s="70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1"/>
      <c r="R501" s="71"/>
      <c r="S501" s="71"/>
      <c r="T501" s="71"/>
      <c r="U501" s="71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46"/>
      <c r="R502" s="46"/>
      <c r="S502" s="46"/>
      <c r="T502" s="46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46"/>
      <c r="R504" s="46"/>
      <c r="S504" s="46"/>
      <c r="T504" s="46"/>
      <c r="U504" s="46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46"/>
      <c r="R505" s="46"/>
      <c r="S505" s="46"/>
      <c r="T505" s="46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46"/>
      <c r="R506" s="46"/>
      <c r="S506" s="46"/>
      <c r="T506" s="46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46"/>
      <c r="R507" s="46"/>
      <c r="S507" s="46"/>
      <c r="T507" s="46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46"/>
      <c r="R508" s="46"/>
      <c r="S508" s="46"/>
      <c r="T508" s="46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2"/>
      <c r="R509" s="72"/>
      <c r="S509" s="72"/>
      <c r="T509" s="72"/>
      <c r="U509" s="73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"/>
      <c r="R510" s="2"/>
      <c r="S510" s="3"/>
      <c r="T510" s="3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56"/>
      <c r="R512" s="56"/>
      <c r="S512" s="56"/>
      <c r="T512" s="56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56"/>
      <c r="R513" s="56"/>
      <c r="S513" s="56"/>
      <c r="T513" s="56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56"/>
      <c r="R514" s="56"/>
      <c r="S514" s="56"/>
      <c r="T514" s="56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56"/>
      <c r="R515" s="56"/>
      <c r="S515" s="56"/>
      <c r="T515" s="56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6"/>
      <c r="R516" s="56"/>
      <c r="S516" s="56"/>
      <c r="T516" s="56"/>
      <c r="U516" s="2"/>
      <c r="V516" s="2"/>
      <c r="W516" s="56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6"/>
      <c r="R517" s="56"/>
      <c r="S517" s="56"/>
      <c r="T517" s="56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6"/>
      <c r="R518" s="56"/>
      <c r="S518" s="56"/>
      <c r="T518" s="56"/>
      <c r="U518" s="2"/>
      <c r="V518" s="2"/>
      <c r="W518" s="56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6"/>
      <c r="R519" s="56"/>
      <c r="S519" s="56"/>
      <c r="T519" s="56"/>
      <c r="U519" s="2"/>
      <c r="V519" s="2"/>
      <c r="W519" s="56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46"/>
      <c r="R520" s="46"/>
      <c r="S520" s="46"/>
      <c r="T520" s="46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46"/>
      <c r="R521" s="46"/>
      <c r="S521" s="46"/>
      <c r="T521" s="46"/>
      <c r="U521" s="2"/>
      <c r="V521" s="2"/>
      <c r="W521" s="56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46"/>
      <c r="R522" s="46"/>
      <c r="S522" s="46"/>
      <c r="T522" s="46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46"/>
      <c r="R523" s="46"/>
      <c r="S523" s="46"/>
      <c r="T523" s="46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6"/>
      <c r="R524" s="46"/>
      <c r="S524" s="46"/>
      <c r="T524" s="46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46"/>
      <c r="R525" s="46"/>
      <c r="S525" s="46"/>
      <c r="T525" s="46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6"/>
      <c r="R526" s="46"/>
      <c r="S526" s="46"/>
      <c r="T526" s="46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6"/>
      <c r="R527" s="46"/>
      <c r="S527" s="46"/>
      <c r="T527" s="46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6"/>
      <c r="R528" s="46"/>
      <c r="S528" s="46"/>
      <c r="T528" s="46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"/>
      <c r="R529" s="46"/>
      <c r="S529" s="46"/>
      <c r="T529" s="46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2"/>
      <c r="R531" s="72"/>
      <c r="S531" s="72"/>
      <c r="T531" s="72"/>
      <c r="U531" s="73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1"/>
      <c r="R533" s="72"/>
      <c r="S533" s="72"/>
      <c r="T533" s="74"/>
      <c r="U533" s="74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46"/>
      <c r="R535" s="46"/>
      <c r="S535" s="46"/>
      <c r="T535" s="46"/>
      <c r="U535" s="46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46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</sheetData>
  <mergeCells count="8">
    <mergeCell ref="I3:K3"/>
    <mergeCell ref="A145:B145"/>
    <mergeCell ref="U149:W149"/>
    <mergeCell ref="A150:A151"/>
    <mergeCell ref="A153:F153"/>
    <mergeCell ref="A164:F164"/>
    <mergeCell ref="U204:W204"/>
    <mergeCell ref="U239:W239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219</v>
      </c>
      <c r="F3" s="7">
        <v>46035.0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2.0</v>
      </c>
      <c r="B6" s="12" t="s">
        <v>32</v>
      </c>
      <c r="C6" s="14" t="s">
        <v>162</v>
      </c>
      <c r="D6" s="15">
        <v>32000.0</v>
      </c>
      <c r="E6" s="15">
        <f t="shared" ref="E6:E19" si="1">A6*D6</f>
        <v>64000</v>
      </c>
      <c r="F6" s="15">
        <f t="shared" ref="F6:F19" si="2">E6*1.105</f>
        <v>70720</v>
      </c>
      <c r="G6" s="3"/>
      <c r="H6" s="3" t="s">
        <v>2</v>
      </c>
      <c r="I6" s="16">
        <f>55000/2</f>
        <v>27500</v>
      </c>
      <c r="J6" s="15">
        <f t="shared" ref="J6:J19" si="3">I6*A6</f>
        <v>55000</v>
      </c>
      <c r="K6" s="15">
        <f t="shared" ref="K6:K19" si="4">F6-J6</f>
        <v>15720</v>
      </c>
      <c r="L6" s="25" t="s">
        <v>2</v>
      </c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2.0</v>
      </c>
      <c r="B7" s="12" t="s">
        <v>32</v>
      </c>
      <c r="C7" s="14" t="s">
        <v>192</v>
      </c>
      <c r="D7" s="15">
        <v>30000.0</v>
      </c>
      <c r="E7" s="15">
        <f t="shared" si="1"/>
        <v>60000</v>
      </c>
      <c r="F7" s="15">
        <f t="shared" si="2"/>
        <v>66300</v>
      </c>
      <c r="G7" s="3"/>
      <c r="H7" s="3" t="s">
        <v>2</v>
      </c>
      <c r="I7" s="16">
        <v>15000.0</v>
      </c>
      <c r="J7" s="15">
        <f t="shared" si="3"/>
        <v>30000</v>
      </c>
      <c r="K7" s="15">
        <f t="shared" si="4"/>
        <v>36300</v>
      </c>
      <c r="L7" s="25" t="s">
        <v>2</v>
      </c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32</v>
      </c>
      <c r="C8" s="14" t="s">
        <v>62</v>
      </c>
      <c r="D8" s="15">
        <v>13000.0</v>
      </c>
      <c r="E8" s="15">
        <f t="shared" si="1"/>
        <v>13000</v>
      </c>
      <c r="F8" s="15">
        <f t="shared" si="2"/>
        <v>14365</v>
      </c>
      <c r="G8" s="3"/>
      <c r="H8" s="3" t="s">
        <v>2</v>
      </c>
      <c r="I8" s="16">
        <v>8000.0</v>
      </c>
      <c r="J8" s="15">
        <f t="shared" si="3"/>
        <v>8000</v>
      </c>
      <c r="K8" s="15">
        <f t="shared" si="4"/>
        <v>6365</v>
      </c>
      <c r="L8" s="25" t="s">
        <v>2</v>
      </c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3.0</v>
      </c>
      <c r="B9" s="12" t="s">
        <v>13</v>
      </c>
      <c r="C9" s="14" t="s">
        <v>153</v>
      </c>
      <c r="D9" s="15">
        <v>32000.0</v>
      </c>
      <c r="E9" s="15">
        <f t="shared" si="1"/>
        <v>96000</v>
      </c>
      <c r="F9" s="15">
        <f t="shared" si="2"/>
        <v>106080</v>
      </c>
      <c r="G9" s="3"/>
      <c r="H9" s="3" t="s">
        <v>2</v>
      </c>
      <c r="I9" s="16">
        <v>25000.0</v>
      </c>
      <c r="J9" s="15">
        <f t="shared" si="3"/>
        <v>75000</v>
      </c>
      <c r="K9" s="15">
        <f t="shared" si="4"/>
        <v>31080</v>
      </c>
      <c r="L9" s="25" t="s">
        <v>2</v>
      </c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1.0</v>
      </c>
      <c r="B10" s="12" t="s">
        <v>32</v>
      </c>
      <c r="C10" s="14" t="s">
        <v>20</v>
      </c>
      <c r="D10" s="15">
        <v>22000.0</v>
      </c>
      <c r="E10" s="15">
        <f t="shared" si="1"/>
        <v>22000</v>
      </c>
      <c r="F10" s="15">
        <f t="shared" si="2"/>
        <v>24310</v>
      </c>
      <c r="G10" s="3"/>
      <c r="H10" s="3" t="s">
        <v>2</v>
      </c>
      <c r="I10" s="16">
        <v>18000.0</v>
      </c>
      <c r="J10" s="15">
        <f t="shared" si="3"/>
        <v>18000</v>
      </c>
      <c r="K10" s="15">
        <f t="shared" si="4"/>
        <v>6310</v>
      </c>
      <c r="L10" s="25" t="s">
        <v>2</v>
      </c>
      <c r="M10" s="20"/>
      <c r="N10" s="21"/>
      <c r="P10" s="21"/>
      <c r="Q10" s="21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2.0</v>
      </c>
      <c r="B11" s="12" t="s">
        <v>32</v>
      </c>
      <c r="C11" s="14" t="s">
        <v>155</v>
      </c>
      <c r="D11" s="15">
        <v>28000.0</v>
      </c>
      <c r="E11" s="15">
        <f t="shared" si="1"/>
        <v>56000</v>
      </c>
      <c r="F11" s="15">
        <f t="shared" si="2"/>
        <v>61880</v>
      </c>
      <c r="G11" s="3"/>
      <c r="H11" s="3" t="s">
        <v>2</v>
      </c>
      <c r="I11" s="16">
        <v>25000.0</v>
      </c>
      <c r="J11" s="15">
        <f t="shared" si="3"/>
        <v>50000</v>
      </c>
      <c r="K11" s="15">
        <f t="shared" si="4"/>
        <v>11880</v>
      </c>
      <c r="L11" s="25" t="s">
        <v>2</v>
      </c>
      <c r="M11" s="20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1.0</v>
      </c>
      <c r="B12" s="12" t="s">
        <v>13</v>
      </c>
      <c r="C12" s="14" t="s">
        <v>206</v>
      </c>
      <c r="D12" s="15">
        <v>70000.0</v>
      </c>
      <c r="E12" s="15">
        <f t="shared" si="1"/>
        <v>70000</v>
      </c>
      <c r="F12" s="15">
        <f t="shared" si="2"/>
        <v>77350</v>
      </c>
      <c r="G12" s="3"/>
      <c r="H12" s="3" t="s">
        <v>2</v>
      </c>
      <c r="I12" s="16">
        <v>44000.0</v>
      </c>
      <c r="J12" s="15">
        <f t="shared" si="3"/>
        <v>44000</v>
      </c>
      <c r="K12" s="15">
        <f t="shared" si="4"/>
        <v>33350</v>
      </c>
      <c r="L12" s="25" t="s">
        <v>2</v>
      </c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2.0</v>
      </c>
      <c r="B13" s="12" t="s">
        <v>13</v>
      </c>
      <c r="C13" s="14" t="s">
        <v>19</v>
      </c>
      <c r="D13" s="15">
        <v>38000.0</v>
      </c>
      <c r="E13" s="15">
        <f t="shared" si="1"/>
        <v>76000</v>
      </c>
      <c r="F13" s="15">
        <f t="shared" si="2"/>
        <v>83980</v>
      </c>
      <c r="G13" s="3"/>
      <c r="H13" s="3" t="s">
        <v>2</v>
      </c>
      <c r="I13" s="16">
        <v>30000.0</v>
      </c>
      <c r="J13" s="15">
        <f t="shared" si="3"/>
        <v>60000</v>
      </c>
      <c r="K13" s="15">
        <f t="shared" si="4"/>
        <v>23980</v>
      </c>
      <c r="L13" s="25" t="s">
        <v>2</v>
      </c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13</v>
      </c>
      <c r="C14" s="14" t="s">
        <v>15</v>
      </c>
      <c r="D14" s="15">
        <v>35000.0</v>
      </c>
      <c r="E14" s="15">
        <f t="shared" si="1"/>
        <v>35000</v>
      </c>
      <c r="F14" s="15">
        <f t="shared" si="2"/>
        <v>38675</v>
      </c>
      <c r="G14" s="3"/>
      <c r="H14" s="3" t="s">
        <v>2</v>
      </c>
      <c r="I14" s="16">
        <v>30000.0</v>
      </c>
      <c r="J14" s="15">
        <f t="shared" si="3"/>
        <v>30000</v>
      </c>
      <c r="K14" s="15">
        <f t="shared" si="4"/>
        <v>8675</v>
      </c>
      <c r="L14" s="25" t="s">
        <v>2</v>
      </c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32</v>
      </c>
      <c r="C15" s="14" t="s">
        <v>220</v>
      </c>
      <c r="D15" s="15">
        <v>32000.0</v>
      </c>
      <c r="E15" s="15">
        <f t="shared" si="1"/>
        <v>32000</v>
      </c>
      <c r="F15" s="15">
        <f t="shared" si="2"/>
        <v>35360</v>
      </c>
      <c r="G15" s="3"/>
      <c r="H15" s="3" t="s">
        <v>2</v>
      </c>
      <c r="I15" s="16">
        <v>27000.0</v>
      </c>
      <c r="J15" s="15">
        <f t="shared" si="3"/>
        <v>27000</v>
      </c>
      <c r="K15" s="15">
        <f t="shared" si="4"/>
        <v>8360</v>
      </c>
      <c r="L15" s="25" t="s">
        <v>2</v>
      </c>
      <c r="M15" s="20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41.9</v>
      </c>
      <c r="B16" s="12" t="s">
        <v>17</v>
      </c>
      <c r="C16" s="14" t="s">
        <v>156</v>
      </c>
      <c r="D16" s="15">
        <v>1200.0</v>
      </c>
      <c r="E16" s="15">
        <f t="shared" si="1"/>
        <v>50280</v>
      </c>
      <c r="F16" s="15">
        <f t="shared" si="2"/>
        <v>55559.4</v>
      </c>
      <c r="G16" s="3"/>
      <c r="H16" s="3" t="s">
        <v>2</v>
      </c>
      <c r="I16" s="16">
        <v>0.0</v>
      </c>
      <c r="J16" s="15">
        <f t="shared" si="3"/>
        <v>0</v>
      </c>
      <c r="K16" s="15">
        <f t="shared" si="4"/>
        <v>55559.4</v>
      </c>
      <c r="L16" s="25" t="s">
        <v>2</v>
      </c>
      <c r="M16" s="17"/>
      <c r="N16" s="18"/>
      <c r="O16" s="19"/>
      <c r="P16" s="18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32</v>
      </c>
      <c r="C17" s="14" t="s">
        <v>162</v>
      </c>
      <c r="D17" s="15">
        <v>32000.0</v>
      </c>
      <c r="E17" s="15">
        <f t="shared" si="1"/>
        <v>32000</v>
      </c>
      <c r="F17" s="15">
        <f t="shared" si="2"/>
        <v>35360</v>
      </c>
      <c r="G17" s="6" t="s">
        <v>42</v>
      </c>
      <c r="H17" s="3" t="s">
        <v>2</v>
      </c>
      <c r="I17" s="16">
        <v>0.0</v>
      </c>
      <c r="J17" s="15">
        <f t="shared" si="3"/>
        <v>0</v>
      </c>
      <c r="K17" s="15">
        <f t="shared" si="4"/>
        <v>35360</v>
      </c>
      <c r="L17" s="4"/>
      <c r="N17" s="21"/>
      <c r="P17" s="21"/>
      <c r="Q17" s="21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32</v>
      </c>
      <c r="C18" s="14" t="s">
        <v>192</v>
      </c>
      <c r="D18" s="15">
        <v>30000.0</v>
      </c>
      <c r="E18" s="15">
        <f t="shared" si="1"/>
        <v>30000</v>
      </c>
      <c r="F18" s="15">
        <f t="shared" si="2"/>
        <v>33150</v>
      </c>
      <c r="G18" s="6" t="s">
        <v>42</v>
      </c>
      <c r="H18" s="3" t="s">
        <v>2</v>
      </c>
      <c r="I18" s="16">
        <v>0.0</v>
      </c>
      <c r="J18" s="15">
        <f t="shared" si="3"/>
        <v>0</v>
      </c>
      <c r="K18" s="15">
        <f t="shared" si="4"/>
        <v>33150</v>
      </c>
      <c r="L18" s="4"/>
      <c r="N18" s="21"/>
      <c r="P18" s="21"/>
      <c r="Q18" s="21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1.0</v>
      </c>
      <c r="B19" s="12" t="s">
        <v>32</v>
      </c>
      <c r="C19" s="14" t="s">
        <v>62</v>
      </c>
      <c r="D19" s="15">
        <v>13000.0</v>
      </c>
      <c r="E19" s="15">
        <f t="shared" si="1"/>
        <v>13000</v>
      </c>
      <c r="F19" s="15">
        <f t="shared" si="2"/>
        <v>14365</v>
      </c>
      <c r="G19" s="6" t="s">
        <v>42</v>
      </c>
      <c r="H19" s="3" t="s">
        <v>2</v>
      </c>
      <c r="I19" s="16">
        <v>0.0</v>
      </c>
      <c r="J19" s="15">
        <f t="shared" si="3"/>
        <v>0</v>
      </c>
      <c r="K19" s="15">
        <f t="shared" si="4"/>
        <v>14365</v>
      </c>
      <c r="L19" s="4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/>
      <c r="B20" s="12"/>
      <c r="C20" s="14"/>
      <c r="D20" s="15"/>
      <c r="E20" s="15"/>
      <c r="F20" s="15"/>
      <c r="G20" s="3"/>
      <c r="H20" s="3"/>
      <c r="I20" s="3"/>
      <c r="J20" s="3"/>
      <c r="K20" s="15"/>
      <c r="L20" s="22"/>
      <c r="M20" s="2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/>
      <c r="B21" s="12"/>
      <c r="C21" s="14"/>
      <c r="D21" s="15"/>
      <c r="E21" s="15">
        <f t="shared" ref="E21:F21" si="5">SUM(E6:E19)</f>
        <v>649280</v>
      </c>
      <c r="F21" s="15">
        <f t="shared" si="5"/>
        <v>717454.4</v>
      </c>
      <c r="G21" s="3"/>
      <c r="H21" s="3"/>
      <c r="I21" s="3"/>
      <c r="J21" s="3"/>
      <c r="K21" s="15">
        <f>SUM(K6:K19)</f>
        <v>320454.4</v>
      </c>
      <c r="L21" s="22">
        <f>K21/F21</f>
        <v>0.4466547282</v>
      </c>
      <c r="M21" s="2"/>
      <c r="N21" s="21"/>
      <c r="P21" s="21"/>
      <c r="Q21" s="21"/>
      <c r="R21" s="2"/>
      <c r="S21" s="3"/>
      <c r="T21" s="3"/>
      <c r="U21" s="1"/>
      <c r="V21" s="3"/>
      <c r="W21" s="3"/>
      <c r="X21" s="3"/>
      <c r="Y21" s="3"/>
      <c r="Z21" s="3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23"/>
      <c r="B23" s="23"/>
      <c r="C23" s="23"/>
      <c r="D23" s="7"/>
      <c r="E23" s="24"/>
      <c r="F23" s="7"/>
      <c r="G23" s="6"/>
      <c r="H23" s="3"/>
      <c r="I23" s="8"/>
      <c r="J23" s="8"/>
      <c r="K23" s="8"/>
      <c r="L23" s="4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23" t="s">
        <v>221</v>
      </c>
      <c r="B24" s="23"/>
      <c r="C24" s="23"/>
      <c r="D24" s="25" t="s">
        <v>222</v>
      </c>
      <c r="E24" s="7">
        <v>46035.0</v>
      </c>
      <c r="F24" s="28"/>
      <c r="G24" s="24"/>
      <c r="H24" s="24"/>
      <c r="I24" s="16"/>
      <c r="J24" s="16"/>
      <c r="K24" s="16"/>
      <c r="L24" s="29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B25" s="24"/>
      <c r="C25" s="26"/>
      <c r="D25" s="24"/>
      <c r="E25" s="24"/>
      <c r="F25" s="24"/>
      <c r="G25" s="24"/>
      <c r="H25" s="24"/>
      <c r="I25" s="16"/>
      <c r="J25" s="16"/>
      <c r="K25" s="16"/>
      <c r="L25" s="29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5" t="s">
        <v>4</v>
      </c>
      <c r="B26" s="10" t="s">
        <v>5</v>
      </c>
      <c r="C26" s="11" t="s">
        <v>6</v>
      </c>
      <c r="D26" s="12" t="s">
        <v>7</v>
      </c>
      <c r="E26" s="10" t="s">
        <v>8</v>
      </c>
      <c r="F26" s="12"/>
      <c r="G26" s="24"/>
      <c r="H26" s="24"/>
      <c r="I26" s="12" t="s">
        <v>7</v>
      </c>
      <c r="J26" s="12" t="s">
        <v>8</v>
      </c>
      <c r="K26" s="12" t="s">
        <v>10</v>
      </c>
      <c r="L26" s="29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39</v>
      </c>
      <c r="C27" s="14" t="s">
        <v>223</v>
      </c>
      <c r="D27" s="15">
        <v>5500.0</v>
      </c>
      <c r="E27" s="15">
        <f t="shared" ref="E27:E48" si="6">A27*D27</f>
        <v>5500</v>
      </c>
      <c r="F27" s="16"/>
      <c r="G27" s="24"/>
      <c r="H27" s="24"/>
      <c r="I27" s="16">
        <v>4000.0</v>
      </c>
      <c r="J27" s="16">
        <f t="shared" ref="J27:J48" si="7">I27*A27</f>
        <v>4000</v>
      </c>
      <c r="K27" s="16">
        <f t="shared" ref="K27:K48" si="8">E27-J27</f>
        <v>1500</v>
      </c>
      <c r="L27" s="31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3.0</v>
      </c>
      <c r="B28" s="12" t="s">
        <v>17</v>
      </c>
      <c r="C28" s="14" t="s">
        <v>145</v>
      </c>
      <c r="D28" s="15">
        <v>4000.0</v>
      </c>
      <c r="E28" s="15">
        <f t="shared" si="6"/>
        <v>12000</v>
      </c>
      <c r="F28" s="16"/>
      <c r="G28" s="24"/>
      <c r="H28" s="24"/>
      <c r="I28" s="16">
        <f>15000/5</f>
        <v>3000</v>
      </c>
      <c r="J28" s="16">
        <f t="shared" si="7"/>
        <v>9000</v>
      </c>
      <c r="K28" s="16">
        <f t="shared" si="8"/>
        <v>3000</v>
      </c>
      <c r="L28" s="31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146</v>
      </c>
      <c r="C29" s="14" t="s">
        <v>137</v>
      </c>
      <c r="D29" s="15">
        <v>3000.0</v>
      </c>
      <c r="E29" s="15">
        <f t="shared" si="6"/>
        <v>3000</v>
      </c>
      <c r="F29" s="16"/>
      <c r="G29" s="24"/>
      <c r="H29" s="24"/>
      <c r="I29" s="16">
        <v>2000.0</v>
      </c>
      <c r="J29" s="16">
        <f t="shared" si="7"/>
        <v>2000</v>
      </c>
      <c r="K29" s="16">
        <f t="shared" si="8"/>
        <v>1000</v>
      </c>
      <c r="L29" s="31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146</v>
      </c>
      <c r="C30" s="14" t="s">
        <v>138</v>
      </c>
      <c r="D30" s="15">
        <v>3000.0</v>
      </c>
      <c r="E30" s="15">
        <f t="shared" si="6"/>
        <v>3000</v>
      </c>
      <c r="F30" s="16"/>
      <c r="G30" s="24"/>
      <c r="H30" s="24"/>
      <c r="I30" s="16">
        <v>2000.0</v>
      </c>
      <c r="J30" s="16">
        <f t="shared" si="7"/>
        <v>2000</v>
      </c>
      <c r="K30" s="16">
        <f t="shared" si="8"/>
        <v>1000</v>
      </c>
      <c r="L30" s="31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1.0</v>
      </c>
      <c r="B31" s="12" t="s">
        <v>32</v>
      </c>
      <c r="C31" s="14" t="s">
        <v>224</v>
      </c>
      <c r="D31" s="15">
        <v>55000.0</v>
      </c>
      <c r="E31" s="15">
        <f t="shared" si="6"/>
        <v>55000</v>
      </c>
      <c r="F31" s="16"/>
      <c r="G31" s="24"/>
      <c r="H31" s="24"/>
      <c r="I31" s="16">
        <v>45000.0</v>
      </c>
      <c r="J31" s="16">
        <f t="shared" si="7"/>
        <v>45000</v>
      </c>
      <c r="K31" s="16">
        <f t="shared" si="8"/>
        <v>10000</v>
      </c>
      <c r="L31" s="31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17</v>
      </c>
      <c r="C32" s="14" t="s">
        <v>186</v>
      </c>
      <c r="D32" s="15">
        <v>18500.0</v>
      </c>
      <c r="E32" s="15">
        <f t="shared" si="6"/>
        <v>18500</v>
      </c>
      <c r="F32" s="16"/>
      <c r="G32" s="24"/>
      <c r="H32" s="24"/>
      <c r="I32" s="16">
        <v>16000.0</v>
      </c>
      <c r="J32" s="16">
        <f t="shared" si="7"/>
        <v>16000</v>
      </c>
      <c r="K32" s="16">
        <f t="shared" si="8"/>
        <v>2500</v>
      </c>
      <c r="L32" s="31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17</v>
      </c>
      <c r="C33" s="14" t="s">
        <v>192</v>
      </c>
      <c r="D33" s="15">
        <v>3000.0</v>
      </c>
      <c r="E33" s="15">
        <f t="shared" si="6"/>
        <v>3000</v>
      </c>
      <c r="F33" s="16"/>
      <c r="G33" s="24"/>
      <c r="H33" s="24"/>
      <c r="I33" s="16">
        <f>15000/8</f>
        <v>1875</v>
      </c>
      <c r="J33" s="16">
        <f t="shared" si="7"/>
        <v>1875</v>
      </c>
      <c r="K33" s="16">
        <f t="shared" si="8"/>
        <v>1125</v>
      </c>
      <c r="L33" s="31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13</v>
      </c>
      <c r="C34" s="14" t="s">
        <v>225</v>
      </c>
      <c r="D34" s="15">
        <v>75000.0</v>
      </c>
      <c r="E34" s="15">
        <f t="shared" si="6"/>
        <v>75000</v>
      </c>
      <c r="F34" s="16"/>
      <c r="G34" s="24"/>
      <c r="H34" s="24"/>
      <c r="I34" s="16">
        <v>65000.0</v>
      </c>
      <c r="J34" s="16">
        <f t="shared" si="7"/>
        <v>65000</v>
      </c>
      <c r="K34" s="16">
        <f t="shared" si="8"/>
        <v>10000</v>
      </c>
      <c r="L34" s="31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16.0</v>
      </c>
      <c r="B35" s="12" t="s">
        <v>146</v>
      </c>
      <c r="C35" s="14" t="s">
        <v>74</v>
      </c>
      <c r="D35" s="15">
        <v>1000.0</v>
      </c>
      <c r="E35" s="15">
        <f t="shared" si="6"/>
        <v>16000</v>
      </c>
      <c r="F35" s="16"/>
      <c r="G35" s="24"/>
      <c r="H35" s="24"/>
      <c r="I35" s="16">
        <f>6000/12</f>
        <v>500</v>
      </c>
      <c r="J35" s="16">
        <f t="shared" si="7"/>
        <v>8000</v>
      </c>
      <c r="K35" s="16">
        <f t="shared" si="8"/>
        <v>8000</v>
      </c>
      <c r="L35" s="31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10.0</v>
      </c>
      <c r="B36" s="12" t="s">
        <v>5</v>
      </c>
      <c r="C36" s="14" t="s">
        <v>69</v>
      </c>
      <c r="D36" s="15">
        <v>1200.0</v>
      </c>
      <c r="E36" s="15">
        <f t="shared" si="6"/>
        <v>12000</v>
      </c>
      <c r="F36" s="16"/>
      <c r="G36" s="24"/>
      <c r="H36" s="24"/>
      <c r="I36" s="16">
        <v>560.0</v>
      </c>
      <c r="J36" s="16">
        <f t="shared" si="7"/>
        <v>5600</v>
      </c>
      <c r="K36" s="16">
        <f t="shared" si="8"/>
        <v>6400</v>
      </c>
      <c r="L36" s="31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146</v>
      </c>
      <c r="C37" s="14" t="s">
        <v>78</v>
      </c>
      <c r="D37" s="15">
        <v>5000.0</v>
      </c>
      <c r="E37" s="15">
        <f t="shared" si="6"/>
        <v>5000</v>
      </c>
      <c r="F37" s="16"/>
      <c r="G37" s="24"/>
      <c r="H37" s="24"/>
      <c r="I37" s="16">
        <v>4000.0</v>
      </c>
      <c r="J37" s="16">
        <f t="shared" si="7"/>
        <v>4000</v>
      </c>
      <c r="K37" s="16">
        <f t="shared" si="8"/>
        <v>1000</v>
      </c>
      <c r="L37" s="31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1.0</v>
      </c>
      <c r="B38" s="12" t="s">
        <v>17</v>
      </c>
      <c r="C38" s="14" t="s">
        <v>226</v>
      </c>
      <c r="D38" s="15">
        <v>1600.0</v>
      </c>
      <c r="E38" s="15">
        <f t="shared" si="6"/>
        <v>1600</v>
      </c>
      <c r="F38" s="16"/>
      <c r="G38" s="24"/>
      <c r="H38" s="24"/>
      <c r="I38" s="16">
        <v>1600.0</v>
      </c>
      <c r="J38" s="16">
        <f t="shared" si="7"/>
        <v>1600</v>
      </c>
      <c r="K38" s="16">
        <f t="shared" si="8"/>
        <v>0</v>
      </c>
      <c r="L38" s="31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1.0</v>
      </c>
      <c r="B39" s="12" t="s">
        <v>42</v>
      </c>
      <c r="C39" s="14" t="s">
        <v>227</v>
      </c>
      <c r="D39" s="15">
        <v>13000.0</v>
      </c>
      <c r="E39" s="15">
        <f t="shared" si="6"/>
        <v>13000</v>
      </c>
      <c r="F39" s="16"/>
      <c r="G39" s="24"/>
      <c r="H39" s="24"/>
      <c r="I39" s="16">
        <v>9000.0</v>
      </c>
      <c r="J39" s="16">
        <f t="shared" si="7"/>
        <v>9000</v>
      </c>
      <c r="K39" s="16">
        <f t="shared" si="8"/>
        <v>4000</v>
      </c>
      <c r="L39" s="31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1.0</v>
      </c>
      <c r="B40" s="12" t="s">
        <v>32</v>
      </c>
      <c r="C40" s="14" t="s">
        <v>164</v>
      </c>
      <c r="D40" s="15">
        <v>22000.0</v>
      </c>
      <c r="E40" s="15">
        <f t="shared" si="6"/>
        <v>22000</v>
      </c>
      <c r="F40" s="16"/>
      <c r="G40" s="24"/>
      <c r="H40" s="24"/>
      <c r="I40" s="16">
        <v>20000.0</v>
      </c>
      <c r="J40" s="16">
        <f t="shared" si="7"/>
        <v>20000</v>
      </c>
      <c r="K40" s="16">
        <f t="shared" si="8"/>
        <v>2000</v>
      </c>
      <c r="L40" s="31" t="s">
        <v>2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2.0</v>
      </c>
      <c r="B41" s="12" t="s">
        <v>17</v>
      </c>
      <c r="C41" s="14" t="s">
        <v>44</v>
      </c>
      <c r="D41" s="15">
        <v>2300.0</v>
      </c>
      <c r="E41" s="15">
        <f t="shared" si="6"/>
        <v>4600</v>
      </c>
      <c r="F41" s="16"/>
      <c r="G41" s="24"/>
      <c r="H41" s="24"/>
      <c r="I41" s="16">
        <f>12000/8</f>
        <v>1500</v>
      </c>
      <c r="J41" s="16">
        <f t="shared" si="7"/>
        <v>3000</v>
      </c>
      <c r="K41" s="16">
        <f t="shared" si="8"/>
        <v>1600</v>
      </c>
      <c r="L41" s="31" t="s">
        <v>2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1.0</v>
      </c>
      <c r="B42" s="12" t="s">
        <v>42</v>
      </c>
      <c r="C42" s="14" t="s">
        <v>228</v>
      </c>
      <c r="D42" s="15">
        <v>14000.0</v>
      </c>
      <c r="E42" s="15">
        <f t="shared" si="6"/>
        <v>14000</v>
      </c>
      <c r="F42" s="16"/>
      <c r="G42" s="24"/>
      <c r="H42" s="24"/>
      <c r="I42" s="16">
        <v>12000.0</v>
      </c>
      <c r="J42" s="16">
        <f t="shared" si="7"/>
        <v>12000</v>
      </c>
      <c r="K42" s="16">
        <f t="shared" si="8"/>
        <v>2000</v>
      </c>
      <c r="L42" s="31" t="s">
        <v>2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1.0</v>
      </c>
      <c r="B43" s="12" t="s">
        <v>146</v>
      </c>
      <c r="C43" s="14" t="s">
        <v>33</v>
      </c>
      <c r="D43" s="15">
        <v>2000.0</v>
      </c>
      <c r="E43" s="15">
        <f t="shared" si="6"/>
        <v>2000</v>
      </c>
      <c r="F43" s="16"/>
      <c r="G43" s="24"/>
      <c r="H43" s="24"/>
      <c r="I43" s="16">
        <v>1500.0</v>
      </c>
      <c r="J43" s="16">
        <f t="shared" si="7"/>
        <v>1500</v>
      </c>
      <c r="K43" s="16">
        <f t="shared" si="8"/>
        <v>500</v>
      </c>
      <c r="L43" s="31" t="s">
        <v>2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1.0</v>
      </c>
      <c r="B44" s="12" t="s">
        <v>42</v>
      </c>
      <c r="C44" s="14" t="s">
        <v>68</v>
      </c>
      <c r="D44" s="15">
        <v>13000.0</v>
      </c>
      <c r="E44" s="15">
        <f t="shared" si="6"/>
        <v>13000</v>
      </c>
      <c r="F44" s="16"/>
      <c r="G44" s="24"/>
      <c r="H44" s="24"/>
      <c r="I44" s="16">
        <v>10000.0</v>
      </c>
      <c r="J44" s="16">
        <f t="shared" si="7"/>
        <v>10000</v>
      </c>
      <c r="K44" s="16">
        <f t="shared" si="8"/>
        <v>3000</v>
      </c>
      <c r="L44" s="31" t="s">
        <v>2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0.5</v>
      </c>
      <c r="B45" s="12" t="s">
        <v>17</v>
      </c>
      <c r="C45" s="14" t="s">
        <v>37</v>
      </c>
      <c r="D45" s="15">
        <v>6500.0</v>
      </c>
      <c r="E45" s="15">
        <f t="shared" si="6"/>
        <v>3250</v>
      </c>
      <c r="F45" s="16"/>
      <c r="G45" s="24"/>
      <c r="H45" s="24"/>
      <c r="I45" s="16">
        <v>5000.0</v>
      </c>
      <c r="J45" s="16">
        <f t="shared" si="7"/>
        <v>2500</v>
      </c>
      <c r="K45" s="16">
        <f t="shared" si="8"/>
        <v>750</v>
      </c>
      <c r="L45" s="31" t="s">
        <v>2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2.0</v>
      </c>
      <c r="B46" s="12" t="s">
        <v>32</v>
      </c>
      <c r="C46" s="14" t="s">
        <v>20</v>
      </c>
      <c r="D46" s="15">
        <v>22000.0</v>
      </c>
      <c r="E46" s="15">
        <f t="shared" si="6"/>
        <v>44000</v>
      </c>
      <c r="F46" s="16"/>
      <c r="G46" s="24"/>
      <c r="H46" s="24"/>
      <c r="I46" s="16">
        <v>18000.0</v>
      </c>
      <c r="J46" s="16">
        <f t="shared" si="7"/>
        <v>36000</v>
      </c>
      <c r="K46" s="16">
        <f t="shared" si="8"/>
        <v>8000</v>
      </c>
      <c r="L46" s="31" t="s">
        <v>2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1.0</v>
      </c>
      <c r="B47" s="12" t="s">
        <v>13</v>
      </c>
      <c r="C47" s="14" t="s">
        <v>45</v>
      </c>
      <c r="D47" s="15">
        <v>44000.0</v>
      </c>
      <c r="E47" s="15">
        <f t="shared" si="6"/>
        <v>44000</v>
      </c>
      <c r="F47" s="16"/>
      <c r="G47" s="24"/>
      <c r="H47" s="24"/>
      <c r="I47" s="16">
        <v>35000.0</v>
      </c>
      <c r="J47" s="16">
        <f t="shared" si="7"/>
        <v>35000</v>
      </c>
      <c r="K47" s="16">
        <f t="shared" si="8"/>
        <v>9000</v>
      </c>
      <c r="L47" s="31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2.0</v>
      </c>
      <c r="B48" s="12" t="s">
        <v>17</v>
      </c>
      <c r="C48" s="14" t="s">
        <v>144</v>
      </c>
      <c r="D48" s="15">
        <v>4000.0</v>
      </c>
      <c r="E48" s="15">
        <f t="shared" si="6"/>
        <v>8000</v>
      </c>
      <c r="F48" s="16"/>
      <c r="G48" s="24"/>
      <c r="H48" s="24"/>
      <c r="I48" s="16">
        <v>3000.0</v>
      </c>
      <c r="J48" s="16">
        <f t="shared" si="7"/>
        <v>6000</v>
      </c>
      <c r="K48" s="16">
        <f t="shared" si="8"/>
        <v>2000</v>
      </c>
      <c r="L48" s="31" t="s">
        <v>2</v>
      </c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/>
      <c r="B49" s="12"/>
      <c r="C49" s="14"/>
      <c r="D49" s="15"/>
      <c r="E49" s="16"/>
      <c r="F49" s="16"/>
      <c r="G49" s="24"/>
      <c r="H49" s="24"/>
      <c r="I49" s="16"/>
      <c r="J49" s="16"/>
      <c r="K49" s="16"/>
      <c r="L49" s="30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/>
      <c r="B50" s="12"/>
      <c r="C50" s="14"/>
      <c r="D50" s="15"/>
      <c r="E50" s="16">
        <f>SUM(E27:E48)</f>
        <v>377450</v>
      </c>
      <c r="F50" s="16"/>
      <c r="G50" s="24"/>
      <c r="H50" s="24"/>
      <c r="I50" s="16"/>
      <c r="J50" s="16"/>
      <c r="K50" s="16">
        <f>SUM(K27:K48)</f>
        <v>78375</v>
      </c>
      <c r="L50" s="30">
        <f>K50/E50</f>
        <v>0.2076433965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/>
      <c r="B51" s="12"/>
      <c r="C51" s="14"/>
      <c r="D51" s="15"/>
      <c r="E51" s="3"/>
      <c r="F51" s="3"/>
      <c r="G51" s="2"/>
      <c r="H51" s="2"/>
      <c r="I51" s="2"/>
      <c r="J51" s="2"/>
      <c r="K51" s="3"/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33"/>
      <c r="B52" s="34"/>
      <c r="C52" s="2"/>
      <c r="D52" s="3"/>
      <c r="E52" s="3"/>
      <c r="F52" s="3"/>
      <c r="G52" s="2"/>
      <c r="H52" s="2"/>
      <c r="I52" s="2"/>
      <c r="J52" s="2"/>
      <c r="K52" s="3"/>
      <c r="L52" s="4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33"/>
      <c r="B53" s="34"/>
      <c r="C53" s="2"/>
      <c r="D53" s="3"/>
      <c r="E53" s="3"/>
      <c r="F53" s="3"/>
      <c r="G53" s="2"/>
      <c r="H53" s="2"/>
      <c r="I53" s="2"/>
      <c r="J53" s="2"/>
      <c r="K53" s="3"/>
      <c r="L53" s="4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23" t="s">
        <v>229</v>
      </c>
      <c r="B54" s="23"/>
      <c r="C54" s="23"/>
      <c r="D54" s="25" t="s">
        <v>48</v>
      </c>
      <c r="E54" s="7">
        <v>46035.0</v>
      </c>
      <c r="G54" s="24"/>
      <c r="H54" s="24"/>
      <c r="I54" s="16"/>
      <c r="J54" s="16"/>
      <c r="K54" s="16"/>
      <c r="L54" s="29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B55" s="24"/>
      <c r="C55" s="26"/>
      <c r="D55" s="24"/>
      <c r="E55" s="24"/>
      <c r="F55" s="24"/>
      <c r="G55" s="24"/>
      <c r="H55" s="24"/>
      <c r="I55" s="16"/>
      <c r="J55" s="16"/>
      <c r="K55" s="16"/>
      <c r="L55" s="29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5" t="s">
        <v>4</v>
      </c>
      <c r="B56" s="10" t="s">
        <v>5</v>
      </c>
      <c r="C56" s="11" t="s">
        <v>6</v>
      </c>
      <c r="D56" s="12" t="s">
        <v>7</v>
      </c>
      <c r="E56" s="10" t="s">
        <v>8</v>
      </c>
      <c r="F56" s="10" t="s">
        <v>9</v>
      </c>
      <c r="G56" s="24"/>
      <c r="H56" s="24"/>
      <c r="I56" s="12" t="s">
        <v>7</v>
      </c>
      <c r="J56" s="12" t="s">
        <v>8</v>
      </c>
      <c r="K56" s="12" t="s">
        <v>10</v>
      </c>
      <c r="L56" s="29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0.56</v>
      </c>
      <c r="B57" s="12" t="s">
        <v>17</v>
      </c>
      <c r="C57" s="14" t="s">
        <v>196</v>
      </c>
      <c r="D57" s="15">
        <v>4000.0</v>
      </c>
      <c r="E57" s="15">
        <f t="shared" ref="E57:E67" si="9">A57*D57</f>
        <v>2240</v>
      </c>
      <c r="F57" s="15">
        <f t="shared" ref="F57:F66" si="10">E57*1.105</f>
        <v>2475.2</v>
      </c>
      <c r="G57" s="24"/>
      <c r="H57" s="24"/>
      <c r="I57" s="15">
        <v>3000.0</v>
      </c>
      <c r="J57" s="16">
        <f t="shared" ref="J57:J67" si="11">I57*A57</f>
        <v>1680</v>
      </c>
      <c r="K57" s="16">
        <f t="shared" ref="K57:K67" si="12">F57-J57</f>
        <v>795.2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0.5</v>
      </c>
      <c r="B58" s="12" t="s">
        <v>17</v>
      </c>
      <c r="C58" s="14" t="s">
        <v>145</v>
      </c>
      <c r="D58" s="15">
        <v>4000.0</v>
      </c>
      <c r="E58" s="15">
        <f t="shared" si="9"/>
        <v>2000</v>
      </c>
      <c r="F58" s="15">
        <f t="shared" si="10"/>
        <v>2210</v>
      </c>
      <c r="G58" s="24"/>
      <c r="H58" s="24"/>
      <c r="I58" s="15">
        <v>3000.0</v>
      </c>
      <c r="J58" s="16">
        <f t="shared" si="11"/>
        <v>1500</v>
      </c>
      <c r="K58" s="16">
        <f t="shared" si="12"/>
        <v>710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2.0</v>
      </c>
      <c r="B59" s="12" t="s">
        <v>17</v>
      </c>
      <c r="C59" s="14" t="s">
        <v>192</v>
      </c>
      <c r="D59" s="15">
        <v>3000.0</v>
      </c>
      <c r="E59" s="15">
        <f t="shared" si="9"/>
        <v>6000</v>
      </c>
      <c r="F59" s="15">
        <f t="shared" si="10"/>
        <v>6630</v>
      </c>
      <c r="G59" s="24"/>
      <c r="H59" s="24"/>
      <c r="I59" s="15">
        <v>1875.0</v>
      </c>
      <c r="J59" s="16">
        <f t="shared" si="11"/>
        <v>3750</v>
      </c>
      <c r="K59" s="16">
        <f t="shared" si="12"/>
        <v>2880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3.0</v>
      </c>
      <c r="B60" s="12" t="s">
        <v>17</v>
      </c>
      <c r="C60" s="14" t="s">
        <v>19</v>
      </c>
      <c r="D60" s="15">
        <v>3000.0</v>
      </c>
      <c r="E60" s="15">
        <f t="shared" si="9"/>
        <v>9000</v>
      </c>
      <c r="F60" s="15">
        <f t="shared" si="10"/>
        <v>9945</v>
      </c>
      <c r="G60" s="24"/>
      <c r="H60" s="24"/>
      <c r="I60" s="15">
        <v>0.0</v>
      </c>
      <c r="J60" s="16">
        <f t="shared" si="11"/>
        <v>0</v>
      </c>
      <c r="K60" s="16">
        <f t="shared" si="12"/>
        <v>9945</v>
      </c>
      <c r="L60" s="30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1.0</v>
      </c>
      <c r="B61" s="12" t="s">
        <v>17</v>
      </c>
      <c r="C61" s="14" t="s">
        <v>165</v>
      </c>
      <c r="D61" s="15">
        <v>12500.0</v>
      </c>
      <c r="E61" s="15">
        <f t="shared" si="9"/>
        <v>12500</v>
      </c>
      <c r="F61" s="15">
        <f t="shared" si="10"/>
        <v>13812.5</v>
      </c>
      <c r="G61" s="24"/>
      <c r="H61" s="24"/>
      <c r="I61" s="15">
        <f>70000/7</f>
        <v>10000</v>
      </c>
      <c r="J61" s="16">
        <f t="shared" si="11"/>
        <v>10000</v>
      </c>
      <c r="K61" s="16">
        <f t="shared" si="12"/>
        <v>3812.5</v>
      </c>
      <c r="L61" s="30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2.0</v>
      </c>
      <c r="B62" s="12" t="s">
        <v>17</v>
      </c>
      <c r="C62" s="14" t="s">
        <v>164</v>
      </c>
      <c r="D62" s="15">
        <v>6000.0</v>
      </c>
      <c r="E62" s="15">
        <f t="shared" si="9"/>
        <v>12000</v>
      </c>
      <c r="F62" s="15">
        <f t="shared" si="10"/>
        <v>13260</v>
      </c>
      <c r="G62" s="24"/>
      <c r="H62" s="24"/>
      <c r="I62" s="15">
        <v>0.0</v>
      </c>
      <c r="J62" s="16">
        <f t="shared" si="11"/>
        <v>0</v>
      </c>
      <c r="K62" s="16">
        <f t="shared" si="12"/>
        <v>13260</v>
      </c>
      <c r="L62" s="30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3.0</v>
      </c>
      <c r="B63" s="12" t="s">
        <v>17</v>
      </c>
      <c r="C63" s="14" t="s">
        <v>20</v>
      </c>
      <c r="D63" s="15">
        <v>1600.0</v>
      </c>
      <c r="E63" s="15">
        <f t="shared" si="9"/>
        <v>4800</v>
      </c>
      <c r="F63" s="15">
        <f t="shared" si="10"/>
        <v>5304</v>
      </c>
      <c r="G63" s="24"/>
      <c r="H63" s="24"/>
      <c r="I63" s="15">
        <f>18000/15</f>
        <v>1200</v>
      </c>
      <c r="J63" s="16">
        <f t="shared" si="11"/>
        <v>3600</v>
      </c>
      <c r="K63" s="16">
        <f t="shared" si="12"/>
        <v>1704</v>
      </c>
      <c r="L63" s="30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1.0</v>
      </c>
      <c r="B64" s="12" t="s">
        <v>28</v>
      </c>
      <c r="C64" s="14" t="s">
        <v>143</v>
      </c>
      <c r="D64" s="15">
        <v>3000.0</v>
      </c>
      <c r="E64" s="15">
        <f t="shared" si="9"/>
        <v>3000</v>
      </c>
      <c r="F64" s="15">
        <f t="shared" si="10"/>
        <v>3315</v>
      </c>
      <c r="G64" s="24"/>
      <c r="H64" s="24"/>
      <c r="I64" s="15">
        <v>2000.0</v>
      </c>
      <c r="J64" s="16">
        <f t="shared" si="11"/>
        <v>2000</v>
      </c>
      <c r="K64" s="16">
        <f t="shared" si="12"/>
        <v>1315</v>
      </c>
      <c r="L64" s="30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0.2</v>
      </c>
      <c r="B65" s="12" t="s">
        <v>17</v>
      </c>
      <c r="C65" s="14" t="s">
        <v>37</v>
      </c>
      <c r="D65" s="15">
        <v>6500.0</v>
      </c>
      <c r="E65" s="15">
        <f t="shared" si="9"/>
        <v>1300</v>
      </c>
      <c r="F65" s="15">
        <f t="shared" si="10"/>
        <v>1436.5</v>
      </c>
      <c r="G65" s="24"/>
      <c r="H65" s="24"/>
      <c r="I65" s="15">
        <v>5000.0</v>
      </c>
      <c r="J65" s="16">
        <f t="shared" si="11"/>
        <v>1000</v>
      </c>
      <c r="K65" s="16">
        <f t="shared" si="12"/>
        <v>436.5</v>
      </c>
      <c r="L65" s="30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4.0</v>
      </c>
      <c r="B66" s="12" t="s">
        <v>17</v>
      </c>
      <c r="C66" s="14" t="s">
        <v>45</v>
      </c>
      <c r="D66" s="15">
        <v>3300.0</v>
      </c>
      <c r="E66" s="15">
        <f t="shared" si="9"/>
        <v>13200</v>
      </c>
      <c r="F66" s="15">
        <f t="shared" si="10"/>
        <v>14586</v>
      </c>
      <c r="G66" s="24"/>
      <c r="H66" s="24"/>
      <c r="I66" s="15">
        <f>35000/15</f>
        <v>2333.333333</v>
      </c>
      <c r="J66" s="16">
        <f t="shared" si="11"/>
        <v>9333.333333</v>
      </c>
      <c r="K66" s="16">
        <f t="shared" si="12"/>
        <v>5252.666667</v>
      </c>
      <c r="L66" s="30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1.0</v>
      </c>
      <c r="B67" s="12" t="s">
        <v>75</v>
      </c>
      <c r="C67" s="14" t="s">
        <v>152</v>
      </c>
      <c r="D67" s="15">
        <v>4500.0</v>
      </c>
      <c r="E67" s="15">
        <f t="shared" si="9"/>
        <v>4500</v>
      </c>
      <c r="F67" s="15">
        <f>E67*1.21</f>
        <v>5445</v>
      </c>
      <c r="G67" s="24"/>
      <c r="H67" s="24"/>
      <c r="I67" s="15">
        <f>38000/12</f>
        <v>3166.666667</v>
      </c>
      <c r="J67" s="16">
        <f t="shared" si="11"/>
        <v>3166.666667</v>
      </c>
      <c r="K67" s="16">
        <f t="shared" si="12"/>
        <v>2278.333333</v>
      </c>
      <c r="L67" s="30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/>
      <c r="B68" s="12"/>
      <c r="C68" s="14"/>
      <c r="D68" s="15"/>
      <c r="E68" s="16"/>
      <c r="F68" s="16"/>
      <c r="G68" s="24"/>
      <c r="H68" s="24"/>
      <c r="I68" s="16"/>
      <c r="J68" s="16"/>
      <c r="K68" s="16"/>
      <c r="L68" s="30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/>
      <c r="B69" s="12"/>
      <c r="C69" s="14"/>
      <c r="D69" s="15"/>
      <c r="E69" s="16">
        <f t="shared" ref="E69:F69" si="13">SUM(E57:E67)</f>
        <v>70540</v>
      </c>
      <c r="F69" s="16">
        <f t="shared" si="13"/>
        <v>78419.2</v>
      </c>
      <c r="G69" s="24"/>
      <c r="H69" s="24"/>
      <c r="I69" s="16"/>
      <c r="J69" s="16"/>
      <c r="K69" s="16">
        <f>SUM(K57:K67)</f>
        <v>42389.2</v>
      </c>
      <c r="L69" s="30">
        <f>K69/E69</f>
        <v>0.6009242983</v>
      </c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33"/>
      <c r="B70" s="34"/>
      <c r="C70" s="2"/>
      <c r="D70" s="3"/>
      <c r="E70" s="3"/>
      <c r="F70" s="3"/>
      <c r="G70" s="2"/>
      <c r="H70" s="2"/>
      <c r="I70" s="2"/>
      <c r="J70" s="2"/>
      <c r="K70" s="3"/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33"/>
      <c r="B71" s="34"/>
      <c r="C71" s="2"/>
      <c r="D71" s="3"/>
      <c r="E71" s="3"/>
      <c r="F71" s="3"/>
      <c r="G71" s="2"/>
      <c r="H71" s="2"/>
      <c r="I71" s="2"/>
      <c r="J71" s="2"/>
      <c r="K71" s="3"/>
      <c r="L71" s="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33"/>
      <c r="B72" s="34"/>
      <c r="C72" s="2"/>
      <c r="D72" s="3"/>
      <c r="E72" s="3"/>
      <c r="F72" s="3"/>
      <c r="G72" s="2"/>
      <c r="H72" s="2"/>
      <c r="I72" s="2"/>
      <c r="J72" s="2"/>
      <c r="K72" s="3"/>
      <c r="L72" s="4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23" t="s">
        <v>47</v>
      </c>
      <c r="B73" s="23"/>
      <c r="C73" s="23"/>
      <c r="D73" s="25" t="s">
        <v>191</v>
      </c>
      <c r="E73" s="7">
        <v>46035.0</v>
      </c>
      <c r="G73" s="24"/>
      <c r="H73" s="24"/>
      <c r="I73" s="16"/>
      <c r="J73" s="16"/>
      <c r="K73" s="16"/>
      <c r="L73" s="29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B74" s="24"/>
      <c r="C74" s="26"/>
      <c r="D74" s="24"/>
      <c r="E74" s="24"/>
      <c r="F74" s="24"/>
      <c r="G74" s="24"/>
      <c r="H74" s="24"/>
      <c r="I74" s="16"/>
      <c r="J74" s="16"/>
      <c r="K74" s="16"/>
      <c r="L74" s="29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5" t="s">
        <v>4</v>
      </c>
      <c r="B75" s="10" t="s">
        <v>5</v>
      </c>
      <c r="C75" s="11" t="s">
        <v>6</v>
      </c>
      <c r="D75" s="12" t="s">
        <v>7</v>
      </c>
      <c r="E75" s="10" t="s">
        <v>8</v>
      </c>
      <c r="F75" s="12"/>
      <c r="G75" s="24"/>
      <c r="H75" s="24"/>
      <c r="I75" s="12" t="s">
        <v>7</v>
      </c>
      <c r="J75" s="12" t="s">
        <v>8</v>
      </c>
      <c r="K75" s="12" t="s">
        <v>10</v>
      </c>
      <c r="L75" s="29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2.1</v>
      </c>
      <c r="B76" s="12" t="s">
        <v>17</v>
      </c>
      <c r="C76" s="14" t="s">
        <v>31</v>
      </c>
      <c r="D76" s="15">
        <v>1800.0</v>
      </c>
      <c r="E76" s="15">
        <f t="shared" ref="E76:E82" si="14">A76*D76</f>
        <v>3780</v>
      </c>
      <c r="F76" s="16"/>
      <c r="G76" s="24"/>
      <c r="H76" s="24"/>
      <c r="I76" s="15">
        <v>1500.0</v>
      </c>
      <c r="J76" s="16">
        <f t="shared" ref="J76:J82" si="15">I76*A76</f>
        <v>3150</v>
      </c>
      <c r="K76" s="16">
        <f t="shared" ref="K76:K82" si="16">E76-J76</f>
        <v>630</v>
      </c>
      <c r="L76" s="30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1.0</v>
      </c>
      <c r="B77" s="12" t="s">
        <v>32</v>
      </c>
      <c r="C77" s="14" t="s">
        <v>20</v>
      </c>
      <c r="D77" s="15">
        <v>22000.0</v>
      </c>
      <c r="E77" s="15">
        <f t="shared" si="14"/>
        <v>22000</v>
      </c>
      <c r="F77" s="16"/>
      <c r="G77" s="24"/>
      <c r="H77" s="24"/>
      <c r="I77" s="15">
        <v>18000.0</v>
      </c>
      <c r="J77" s="16">
        <f t="shared" si="15"/>
        <v>18000</v>
      </c>
      <c r="K77" s="16">
        <f t="shared" si="16"/>
        <v>4000</v>
      </c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1.0</v>
      </c>
      <c r="B78" s="12" t="s">
        <v>13</v>
      </c>
      <c r="C78" s="14" t="s">
        <v>45</v>
      </c>
      <c r="D78" s="15">
        <v>46000.0</v>
      </c>
      <c r="E78" s="15">
        <f t="shared" si="14"/>
        <v>46000</v>
      </c>
      <c r="F78" s="16"/>
      <c r="G78" s="24"/>
      <c r="H78" s="24"/>
      <c r="I78" s="15">
        <v>35000.0</v>
      </c>
      <c r="J78" s="16">
        <f t="shared" si="15"/>
        <v>35000</v>
      </c>
      <c r="K78" s="16">
        <f t="shared" si="16"/>
        <v>11000</v>
      </c>
      <c r="L78" s="30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4.0</v>
      </c>
      <c r="B79" s="12" t="s">
        <v>28</v>
      </c>
      <c r="C79" s="14" t="s">
        <v>78</v>
      </c>
      <c r="D79" s="15">
        <v>5000.0</v>
      </c>
      <c r="E79" s="15">
        <f t="shared" si="14"/>
        <v>20000</v>
      </c>
      <c r="F79" s="16"/>
      <c r="G79" s="24"/>
      <c r="H79" s="24"/>
      <c r="I79" s="15">
        <v>4000.0</v>
      </c>
      <c r="J79" s="16">
        <f t="shared" si="15"/>
        <v>16000</v>
      </c>
      <c r="K79" s="16">
        <f t="shared" si="16"/>
        <v>4000</v>
      </c>
      <c r="L79" s="30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>
        <v>2.0</v>
      </c>
      <c r="B80" s="12" t="s">
        <v>28</v>
      </c>
      <c r="C80" s="14" t="s">
        <v>53</v>
      </c>
      <c r="D80" s="15">
        <v>4000.0</v>
      </c>
      <c r="E80" s="15">
        <f t="shared" si="14"/>
        <v>8000</v>
      </c>
      <c r="F80" s="16"/>
      <c r="G80" s="24"/>
      <c r="H80" s="24"/>
      <c r="I80" s="15">
        <v>2000.0</v>
      </c>
      <c r="J80" s="16">
        <f t="shared" si="15"/>
        <v>4000</v>
      </c>
      <c r="K80" s="16">
        <f t="shared" si="16"/>
        <v>4000</v>
      </c>
      <c r="L80" s="30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1.0</v>
      </c>
      <c r="B81" s="12" t="s">
        <v>32</v>
      </c>
      <c r="C81" s="14" t="s">
        <v>44</v>
      </c>
      <c r="D81" s="15">
        <v>20000.0</v>
      </c>
      <c r="E81" s="15">
        <f t="shared" si="14"/>
        <v>20000</v>
      </c>
      <c r="F81" s="16"/>
      <c r="G81" s="24"/>
      <c r="H81" s="24"/>
      <c r="I81" s="15">
        <v>12000.0</v>
      </c>
      <c r="J81" s="16">
        <f t="shared" si="15"/>
        <v>12000</v>
      </c>
      <c r="K81" s="16">
        <f t="shared" si="16"/>
        <v>8000</v>
      </c>
      <c r="L81" s="30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2.0</v>
      </c>
      <c r="B82" s="12" t="s">
        <v>28</v>
      </c>
      <c r="C82" s="14" t="s">
        <v>197</v>
      </c>
      <c r="D82" s="15">
        <v>3000.0</v>
      </c>
      <c r="E82" s="15">
        <f t="shared" si="14"/>
        <v>6000</v>
      </c>
      <c r="F82" s="16"/>
      <c r="G82" s="24"/>
      <c r="H82" s="24"/>
      <c r="I82" s="15">
        <v>2000.0</v>
      </c>
      <c r="J82" s="16">
        <f t="shared" si="15"/>
        <v>4000</v>
      </c>
      <c r="K82" s="16">
        <f t="shared" si="16"/>
        <v>2000</v>
      </c>
      <c r="L82" s="30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/>
      <c r="B83" s="12"/>
      <c r="C83" s="14"/>
      <c r="D83" s="15"/>
      <c r="E83" s="16"/>
      <c r="F83" s="16"/>
      <c r="G83" s="24"/>
      <c r="H83" s="24"/>
      <c r="I83" s="16"/>
      <c r="J83" s="16"/>
      <c r="K83" s="16"/>
      <c r="L83" s="30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/>
      <c r="B84" s="12"/>
      <c r="C84" s="14"/>
      <c r="D84" s="15"/>
      <c r="E84" s="16">
        <f>SUM(E76:E82)</f>
        <v>125780</v>
      </c>
      <c r="F84" s="16"/>
      <c r="G84" s="24"/>
      <c r="H84" s="24"/>
      <c r="I84" s="16"/>
      <c r="J84" s="16"/>
      <c r="K84" s="16">
        <f>SUM(K76:K82)</f>
        <v>33630</v>
      </c>
      <c r="L84" s="30">
        <f>K84/E84</f>
        <v>0.2673716012</v>
      </c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33"/>
      <c r="B85" s="34"/>
      <c r="C85" s="2"/>
      <c r="D85" s="3"/>
      <c r="E85" s="3"/>
      <c r="F85" s="3"/>
      <c r="G85" s="2"/>
      <c r="H85" s="2"/>
      <c r="I85" s="2"/>
      <c r="J85" s="2"/>
      <c r="K85" s="3"/>
      <c r="L85" s="4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1"/>
      <c r="P86" s="21"/>
      <c r="Q86" s="21"/>
      <c r="R86" s="2"/>
      <c r="S86" s="3"/>
      <c r="T86" s="3"/>
      <c r="U86" s="1"/>
      <c r="V86" s="3"/>
      <c r="W86" s="3"/>
      <c r="X86" s="3"/>
      <c r="Y86" s="3"/>
      <c r="Z86" s="3"/>
    </row>
    <row r="87">
      <c r="A87" s="33"/>
      <c r="B87" s="34"/>
      <c r="C87" s="2"/>
      <c r="D87" s="3"/>
      <c r="E87" s="3"/>
      <c r="F87" s="3"/>
      <c r="G87" s="2"/>
      <c r="H87" s="2"/>
      <c r="I87" s="2"/>
      <c r="J87" s="2"/>
      <c r="K87" s="3"/>
      <c r="L87" s="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33" t="s">
        <v>88</v>
      </c>
      <c r="B88" s="34">
        <f>E84+F69+E50+F21</f>
        <v>1299103.6</v>
      </c>
      <c r="C88" s="2"/>
      <c r="D88" s="3"/>
      <c r="E88" s="3"/>
      <c r="F88" s="3"/>
      <c r="G88" s="2"/>
      <c r="H88" s="2"/>
      <c r="I88" s="2"/>
      <c r="J88" s="2"/>
      <c r="K88" s="3"/>
      <c r="L88" s="4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"/>
      <c r="B89" s="2"/>
      <c r="C89" s="2"/>
      <c r="D89" s="3"/>
      <c r="E89" s="3"/>
      <c r="F89" s="3"/>
      <c r="G89" s="2"/>
      <c r="H89" s="2"/>
      <c r="I89" s="2"/>
      <c r="J89" s="2"/>
      <c r="K89" s="3"/>
      <c r="L89" s="4"/>
      <c r="M89" s="2"/>
      <c r="N89" s="2"/>
      <c r="O89" s="2"/>
      <c r="P89" s="2"/>
      <c r="Q89" s="3"/>
      <c r="R89" s="9"/>
      <c r="S89" s="3"/>
      <c r="T89" s="3"/>
      <c r="U89" s="1"/>
      <c r="V89" s="3"/>
      <c r="W89" s="3"/>
      <c r="X89" s="3"/>
      <c r="Y89" s="3"/>
      <c r="Z89" s="3"/>
    </row>
    <row r="90">
      <c r="A90" s="33" t="s">
        <v>89</v>
      </c>
      <c r="B90" s="34">
        <f>K84+K69+K50+K21</f>
        <v>474848.6</v>
      </c>
      <c r="C90" s="2"/>
      <c r="D90" s="3"/>
      <c r="E90" s="3"/>
      <c r="F90" s="3"/>
      <c r="G90" s="2"/>
      <c r="H90" s="2"/>
      <c r="I90" s="2"/>
      <c r="J90" s="2"/>
      <c r="K90" s="3"/>
      <c r="L90" s="4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"/>
      <c r="B91" s="2"/>
      <c r="C91" s="2"/>
      <c r="D91" s="3"/>
      <c r="E91" s="3"/>
      <c r="F91" s="3"/>
      <c r="G91" s="2"/>
      <c r="H91" s="2"/>
      <c r="I91" s="2"/>
      <c r="J91" s="2"/>
      <c r="K91" s="3"/>
      <c r="L91" s="4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33" t="s">
        <v>90</v>
      </c>
      <c r="B92" s="35">
        <f>B90/B88</f>
        <v>0.3655201941</v>
      </c>
      <c r="C92" s="2"/>
      <c r="D92" s="3"/>
      <c r="E92" s="3"/>
      <c r="F92" s="3"/>
      <c r="G92" s="2"/>
      <c r="H92" s="2"/>
      <c r="I92" s="2"/>
      <c r="J92" s="2"/>
      <c r="K92" s="3"/>
      <c r="L92" s="4"/>
      <c r="M92" s="2"/>
      <c r="N92" s="2"/>
      <c r="O92" s="2"/>
      <c r="P92" s="2"/>
      <c r="Q92" s="2"/>
      <c r="R92" s="2"/>
      <c r="S92" s="3"/>
      <c r="T92" s="3"/>
      <c r="U92" s="1"/>
      <c r="V92" s="3"/>
      <c r="W92" s="3"/>
      <c r="X92" s="2"/>
      <c r="Y92" s="2"/>
      <c r="Z92" s="2"/>
    </row>
    <row r="93">
      <c r="A93" s="1"/>
      <c r="B93" s="2"/>
      <c r="C93" s="2"/>
      <c r="D93" s="3"/>
      <c r="E93" s="3"/>
      <c r="F93" s="3"/>
      <c r="G93" s="2"/>
      <c r="H93" s="2"/>
      <c r="I93" s="2"/>
      <c r="J93" s="2"/>
      <c r="K93" s="3"/>
      <c r="L93" s="4"/>
      <c r="M93" s="2"/>
      <c r="N93" s="2"/>
      <c r="O93" s="2"/>
      <c r="P93" s="2"/>
      <c r="Q93" s="3"/>
      <c r="R93" s="9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36" t="s">
        <v>91</v>
      </c>
      <c r="C94" s="37">
        <v>27.0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9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1"/>
      <c r="B96" s="2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"/>
      <c r="B97" s="1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X98" s="3"/>
      <c r="Y98" s="3"/>
      <c r="Z98" s="3"/>
    </row>
    <row r="99" ht="15.75" customHeight="1">
      <c r="A99" s="39"/>
      <c r="B99" s="40" t="s">
        <v>92</v>
      </c>
      <c r="C99" s="41" t="s">
        <v>93</v>
      </c>
      <c r="D99" s="42" t="s">
        <v>94</v>
      </c>
      <c r="E99" s="42" t="s">
        <v>95</v>
      </c>
      <c r="F99" s="42" t="s">
        <v>96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9"/>
      <c r="X99" s="3"/>
      <c r="Y99" s="3"/>
      <c r="Z99" s="3"/>
    </row>
    <row r="100" ht="15.75" customHeight="1">
      <c r="A100" s="43"/>
      <c r="B100" s="44">
        <f>'12-01-2026 '!B196</f>
        <v>2928150</v>
      </c>
      <c r="C100" s="45">
        <f>'12-01-2026 '!C196</f>
        <v>644038.6856</v>
      </c>
      <c r="D100" s="45">
        <f>'12-01-2026 '!D196</f>
        <v>346400.1091</v>
      </c>
      <c r="E100" s="45"/>
      <c r="F100" s="45">
        <f>'12-01-2026 '!F196</f>
        <v>2642589.66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"/>
      <c r="B101" s="46"/>
      <c r="C101" s="46"/>
      <c r="D101" s="46"/>
      <c r="E101" s="4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40" t="s">
        <v>97</v>
      </c>
      <c r="B102" s="47"/>
      <c r="C102" s="47"/>
      <c r="D102" s="47"/>
      <c r="E102" s="47"/>
      <c r="F102" s="4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98</v>
      </c>
      <c r="B103" s="49">
        <v>0.0</v>
      </c>
      <c r="C103" s="49">
        <v>443900.0</v>
      </c>
      <c r="D103" s="49">
        <f>239533.21+500000</f>
        <v>739533.21</v>
      </c>
      <c r="E103" s="49">
        <v>0.0</v>
      </c>
      <c r="F103" s="49">
        <v>0.0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3" t="s">
        <v>99</v>
      </c>
      <c r="B104" s="49">
        <v>0.0</v>
      </c>
      <c r="C104" s="49">
        <v>0.0</v>
      </c>
      <c r="D104" s="49">
        <v>0.0</v>
      </c>
      <c r="E104" s="49">
        <v>0.0</v>
      </c>
      <c r="F104" s="49">
        <v>0.0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3" t="s">
        <v>100</v>
      </c>
      <c r="B105" s="49">
        <v>0.0</v>
      </c>
      <c r="C105" s="49">
        <v>0.0</v>
      </c>
      <c r="D105" s="49">
        <v>0.0</v>
      </c>
      <c r="E105" s="49">
        <v>0.0</v>
      </c>
      <c r="F105" s="49">
        <v>0.0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3" t="s">
        <v>101</v>
      </c>
      <c r="B106" s="49">
        <v>0.0</v>
      </c>
      <c r="C106" s="49">
        <v>0.0</v>
      </c>
      <c r="D106" s="49">
        <v>0.0</v>
      </c>
      <c r="E106" s="49">
        <v>0.0</v>
      </c>
      <c r="F106" s="49">
        <v>0.0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3" t="s">
        <v>102</v>
      </c>
      <c r="B107" s="49">
        <v>0.0</v>
      </c>
      <c r="C107" s="49">
        <v>0.0</v>
      </c>
      <c r="D107" s="49">
        <v>0.0</v>
      </c>
      <c r="E107" s="49">
        <v>0.0</v>
      </c>
      <c r="F107" s="49">
        <v>0.0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3" t="s">
        <v>203</v>
      </c>
      <c r="B108" s="49">
        <v>0.0</v>
      </c>
      <c r="C108" s="50">
        <f>C103*2%</f>
        <v>8878</v>
      </c>
      <c r="D108" s="49">
        <f>SUM(D102:D103)*2%</f>
        <v>14790.6642</v>
      </c>
      <c r="E108" s="49">
        <v>0.0</v>
      </c>
      <c r="F108" s="49">
        <v>0.0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3" t="s">
        <v>103</v>
      </c>
      <c r="B109" s="49">
        <v>0.0</v>
      </c>
      <c r="C109" s="50">
        <f>C103*0.6%+C106*0.6%</f>
        <v>2663.4</v>
      </c>
      <c r="D109" s="49">
        <f>SUM(D103:D105)*0.6%</f>
        <v>4437.19926</v>
      </c>
      <c r="E109" s="49">
        <v>0.0</v>
      </c>
      <c r="F109" s="49">
        <v>0.0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"/>
      <c r="B110" s="46"/>
      <c r="C110" s="46"/>
      <c r="D110" s="46"/>
      <c r="E110" s="4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51" t="s">
        <v>8</v>
      </c>
      <c r="B111" s="52">
        <f>SUM(B100:B109)</f>
        <v>2928150</v>
      </c>
      <c r="C111" s="52">
        <f>C100+C103+C106+C107-C109+C104-C108</f>
        <v>1076397.286</v>
      </c>
      <c r="D111" s="53">
        <f>D100+D103+D106+D107-D109+D105-D108</f>
        <v>1066705.456</v>
      </c>
      <c r="E111" s="52">
        <f>E100+E103+E106+E107-E109</f>
        <v>0</v>
      </c>
      <c r="F111" s="54">
        <f>F100+F103+F106+F107-F109-D105</f>
        <v>2642589.66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"/>
      <c r="B112" s="1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40" t="s">
        <v>104</v>
      </c>
      <c r="B113" s="47"/>
      <c r="C113" s="47"/>
      <c r="D113" s="47"/>
      <c r="E113" s="47"/>
      <c r="F113" s="4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105</v>
      </c>
      <c r="B114" s="55">
        <v>1000.0</v>
      </c>
      <c r="C114" s="55">
        <v>0.0</v>
      </c>
      <c r="D114" s="55">
        <v>0.0</v>
      </c>
      <c r="E114" s="55">
        <v>0.0</v>
      </c>
      <c r="F114" s="2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106</v>
      </c>
      <c r="B115" s="49">
        <v>0.0</v>
      </c>
      <c r="C115" s="49">
        <v>0.0</v>
      </c>
      <c r="D115" s="49">
        <v>0.0</v>
      </c>
      <c r="E115" s="49">
        <v>0.0</v>
      </c>
      <c r="F115" s="2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13" t="s">
        <v>107</v>
      </c>
      <c r="B116" s="55">
        <v>0.0</v>
      </c>
      <c r="C116" s="55">
        <v>0.0</v>
      </c>
      <c r="D116" s="49">
        <v>400000.0</v>
      </c>
      <c r="E116" s="55">
        <v>0.0</v>
      </c>
      <c r="F116" s="2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108</v>
      </c>
      <c r="B117" s="55">
        <v>2800.0</v>
      </c>
      <c r="C117" s="55">
        <v>0.0</v>
      </c>
      <c r="D117" s="55">
        <v>0.0</v>
      </c>
      <c r="E117" s="55">
        <v>0.0</v>
      </c>
      <c r="F117" s="2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109</v>
      </c>
      <c r="B118" s="55">
        <v>0.0</v>
      </c>
      <c r="C118" s="55">
        <f>584760+16030</f>
        <v>600790</v>
      </c>
      <c r="D118" s="55">
        <v>0.0</v>
      </c>
      <c r="E118" s="55">
        <v>0.0</v>
      </c>
      <c r="F118" s="2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110</v>
      </c>
      <c r="B119" s="55">
        <v>0.0</v>
      </c>
      <c r="C119" s="55">
        <v>45000.0</v>
      </c>
      <c r="D119" s="55">
        <v>0.0</v>
      </c>
      <c r="E119" s="55">
        <v>0.0</v>
      </c>
      <c r="F119" s="26"/>
      <c r="G119" s="2"/>
      <c r="H119" s="56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13" t="s">
        <v>111</v>
      </c>
      <c r="B120" s="49">
        <v>0.0</v>
      </c>
      <c r="C120" s="49">
        <v>0.0</v>
      </c>
      <c r="D120" s="49">
        <v>0.0</v>
      </c>
      <c r="E120" s="49">
        <v>0.0</v>
      </c>
      <c r="F120" s="2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112</v>
      </c>
      <c r="B121" s="49">
        <v>0.0</v>
      </c>
      <c r="C121" s="49">
        <v>0.0</v>
      </c>
      <c r="D121" s="49">
        <v>0.0</v>
      </c>
      <c r="E121" s="49">
        <v>0.0</v>
      </c>
      <c r="F121" s="26"/>
      <c r="G121" s="2"/>
      <c r="H121" s="56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113</v>
      </c>
      <c r="B122" s="49">
        <v>0.0</v>
      </c>
      <c r="C122" s="49">
        <v>0.0</v>
      </c>
      <c r="D122" s="49">
        <v>0.0</v>
      </c>
      <c r="E122" s="49">
        <v>0.0</v>
      </c>
      <c r="F122" s="26"/>
      <c r="G122" s="2"/>
      <c r="H122" s="56"/>
      <c r="I122" s="2"/>
      <c r="J122" s="2"/>
      <c r="K122" s="2"/>
      <c r="L122" s="2"/>
      <c r="M122" s="2"/>
      <c r="N122" s="2"/>
      <c r="O122" s="2"/>
      <c r="P122" s="2"/>
      <c r="Q122" s="3"/>
      <c r="R122" s="9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3" t="s">
        <v>114</v>
      </c>
      <c r="B123" s="55">
        <v>0.0</v>
      </c>
      <c r="C123" s="55">
        <v>40000.0</v>
      </c>
      <c r="D123" s="55">
        <v>0.0</v>
      </c>
      <c r="E123" s="55">
        <v>0.0</v>
      </c>
      <c r="F123" s="26"/>
      <c r="G123" s="2"/>
      <c r="H123" s="56"/>
      <c r="I123" s="2"/>
      <c r="J123" s="2"/>
      <c r="K123" s="2"/>
      <c r="L123" s="2"/>
      <c r="M123" s="2"/>
      <c r="N123" s="2"/>
      <c r="O123" s="2"/>
      <c r="P123" s="2"/>
      <c r="Q123" s="3"/>
      <c r="R123" s="9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115</v>
      </c>
      <c r="B124" s="55">
        <v>0.0</v>
      </c>
      <c r="C124" s="55">
        <v>0.0</v>
      </c>
      <c r="D124" s="55">
        <v>0.0</v>
      </c>
      <c r="E124" s="55">
        <v>0.0</v>
      </c>
      <c r="F124" s="26"/>
      <c r="G124" s="2"/>
      <c r="H124" s="56"/>
      <c r="I124" s="2"/>
      <c r="J124" s="2"/>
      <c r="K124" s="2"/>
      <c r="L124" s="2"/>
      <c r="M124" s="2"/>
      <c r="N124" s="2"/>
      <c r="O124" s="2"/>
      <c r="P124" s="2"/>
      <c r="Q124" s="3"/>
      <c r="R124" s="9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116</v>
      </c>
      <c r="B125" s="50">
        <v>0.0</v>
      </c>
      <c r="C125" s="50">
        <v>30000.0</v>
      </c>
      <c r="D125" s="49">
        <v>0.0</v>
      </c>
      <c r="E125" s="49">
        <v>0.0</v>
      </c>
      <c r="F125" s="2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117</v>
      </c>
      <c r="B126" s="50">
        <v>0.0</v>
      </c>
      <c r="C126" s="50">
        <v>0.0</v>
      </c>
      <c r="D126" s="49">
        <v>0.0</v>
      </c>
      <c r="E126" s="49">
        <v>0.0</v>
      </c>
      <c r="F126" s="26"/>
      <c r="G126" s="2"/>
      <c r="H126" s="56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3" t="s">
        <v>118</v>
      </c>
      <c r="B127" s="50">
        <v>0.0</v>
      </c>
      <c r="C127" s="50">
        <v>0.0</v>
      </c>
      <c r="D127" s="49">
        <v>0.0</v>
      </c>
      <c r="E127" s="49">
        <v>0.0</v>
      </c>
      <c r="F127" s="2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13" t="s">
        <v>119</v>
      </c>
      <c r="B128" s="50">
        <v>0.0</v>
      </c>
      <c r="C128" s="50">
        <v>23000.0</v>
      </c>
      <c r="D128" s="49">
        <v>0.0</v>
      </c>
      <c r="E128" s="49">
        <v>0.0</v>
      </c>
      <c r="F128" s="2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9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120</v>
      </c>
      <c r="B129" s="50">
        <v>0.0</v>
      </c>
      <c r="C129" s="50">
        <v>0.0</v>
      </c>
      <c r="D129" s="49">
        <v>0.0</v>
      </c>
      <c r="E129" s="49">
        <v>0.0</v>
      </c>
      <c r="F129" s="2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9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121</v>
      </c>
      <c r="B130" s="50">
        <v>0.0</v>
      </c>
      <c r="C130" s="50">
        <v>0.0</v>
      </c>
      <c r="D130" s="49">
        <v>0.0</v>
      </c>
      <c r="E130" s="49">
        <v>0.0</v>
      </c>
      <c r="F130" s="2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122</v>
      </c>
      <c r="B131" s="49">
        <v>0.0</v>
      </c>
      <c r="C131" s="49">
        <v>0.0</v>
      </c>
      <c r="D131" s="49">
        <v>0.0</v>
      </c>
      <c r="E131" s="49">
        <v>0.0</v>
      </c>
      <c r="F131" s="2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230</v>
      </c>
      <c r="B132" s="49">
        <v>0.0</v>
      </c>
      <c r="C132" s="49">
        <v>0.0</v>
      </c>
      <c r="D132" s="49">
        <v>180018.0</v>
      </c>
      <c r="E132" s="49">
        <v>0.0</v>
      </c>
      <c r="F132" s="2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123</v>
      </c>
      <c r="B133" s="49">
        <v>0.0</v>
      </c>
      <c r="C133" s="49">
        <v>0.0</v>
      </c>
      <c r="D133" s="49">
        <v>0.0</v>
      </c>
      <c r="E133" s="49">
        <v>0.0</v>
      </c>
      <c r="F133" s="2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124</v>
      </c>
      <c r="B134" s="49">
        <v>0.0</v>
      </c>
      <c r="C134" s="49">
        <v>17845.77</v>
      </c>
      <c r="D134" s="49">
        <v>0.0</v>
      </c>
      <c r="E134" s="49">
        <v>0.0</v>
      </c>
      <c r="F134" s="2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3" t="s">
        <v>125</v>
      </c>
      <c r="B135" s="50">
        <v>0.0</v>
      </c>
      <c r="C135" s="50">
        <v>0.0</v>
      </c>
      <c r="D135" s="49">
        <v>0.0</v>
      </c>
      <c r="E135" s="49">
        <v>0.0</v>
      </c>
      <c r="F135" s="2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13" t="s">
        <v>126</v>
      </c>
      <c r="B136" s="49">
        <v>0.0</v>
      </c>
      <c r="C136" s="49">
        <v>0.0</v>
      </c>
      <c r="D136" s="49">
        <v>0.0</v>
      </c>
      <c r="E136" s="49">
        <v>0.0</v>
      </c>
      <c r="F136" s="2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3" t="s">
        <v>127</v>
      </c>
      <c r="B137" s="49">
        <v>0.0</v>
      </c>
      <c r="C137" s="49">
        <v>0.0</v>
      </c>
      <c r="D137" s="49">
        <v>0.0</v>
      </c>
      <c r="E137" s="49">
        <v>0.0</v>
      </c>
      <c r="F137" s="2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13" t="s">
        <v>128</v>
      </c>
      <c r="B138" s="49">
        <v>0.0</v>
      </c>
      <c r="C138" s="49">
        <v>0.0</v>
      </c>
      <c r="D138" s="49">
        <v>0.0</v>
      </c>
      <c r="E138" s="49">
        <v>0.0</v>
      </c>
      <c r="F138" s="2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13" t="s">
        <v>129</v>
      </c>
      <c r="B139" s="49">
        <v>0.0</v>
      </c>
      <c r="C139" s="49">
        <v>0.0</v>
      </c>
      <c r="D139" s="49">
        <v>0.0</v>
      </c>
      <c r="E139" s="49">
        <v>0.0</v>
      </c>
      <c r="F139" s="2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57"/>
      <c r="B140" s="49"/>
      <c r="C140" s="49"/>
      <c r="D140" s="49"/>
      <c r="E140" s="49"/>
      <c r="F140" s="2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13" t="s">
        <v>130</v>
      </c>
      <c r="B141" s="50">
        <v>0.0</v>
      </c>
      <c r="C141" s="50">
        <f>SUM(C114:C138)*0.6%</f>
        <v>4539.81462</v>
      </c>
      <c r="D141" s="50">
        <v>3840.11</v>
      </c>
      <c r="E141" s="50">
        <f>(E118*0.6%)+(E119*0.6%)+(E120*0.6%)+(E123*0.6%)+(E124*0.6%)</f>
        <v>0</v>
      </c>
      <c r="F141" s="2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13" t="s">
        <v>131</v>
      </c>
      <c r="B142" s="50">
        <v>0.0</v>
      </c>
      <c r="C142" s="50">
        <f t="shared" ref="C142:D142" si="17">50000-300000</f>
        <v>-250000</v>
      </c>
      <c r="D142" s="50">
        <f t="shared" si="17"/>
        <v>-250000</v>
      </c>
      <c r="E142" s="50">
        <f>SUM(E115:E140)*0.6%+(E143*0.6%)</f>
        <v>0</v>
      </c>
      <c r="F142" s="5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57"/>
      <c r="B143" s="57"/>
      <c r="C143" s="26"/>
      <c r="D143" s="2"/>
      <c r="E143" s="26"/>
      <c r="F143" s="2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59" t="s">
        <v>132</v>
      </c>
      <c r="B144" s="60">
        <f>SUM(B114:B143)</f>
        <v>3800</v>
      </c>
      <c r="C144" s="60">
        <f>SUM(C114:C141)</f>
        <v>761175.5846</v>
      </c>
      <c r="D144" s="60">
        <f>SUM(D114:D142)</f>
        <v>333858.11</v>
      </c>
      <c r="E144" s="60">
        <f>E125+E129+E141-E142</f>
        <v>0</v>
      </c>
      <c r="F144" s="61" t="str">
        <f>F118</f>
        <v/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57"/>
      <c r="B145" s="57"/>
      <c r="C145" s="26"/>
      <c r="D145" s="26"/>
      <c r="E145" s="26"/>
      <c r="F145" s="2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59" t="s">
        <v>133</v>
      </c>
      <c r="B146" s="62">
        <f>B111-B144</f>
        <v>2924350</v>
      </c>
      <c r="C146" s="63">
        <f>C111-C144+C142</f>
        <v>65221.70094</v>
      </c>
      <c r="D146" s="63">
        <f t="shared" ref="D146:F146" si="18">D111-D144</f>
        <v>732847.3457</v>
      </c>
      <c r="E146" s="64">
        <f t="shared" si="18"/>
        <v>0</v>
      </c>
      <c r="F146" s="64">
        <f t="shared" si="18"/>
        <v>2642589.66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65" t="s">
        <v>134</v>
      </c>
      <c r="B148" s="66">
        <f>19800-B114-B117</f>
        <v>16000</v>
      </c>
      <c r="C148" s="46"/>
      <c r="D148" s="46"/>
      <c r="E148" s="46"/>
      <c r="F148" s="4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65" t="s">
        <v>135</v>
      </c>
      <c r="B149" s="66">
        <v>2908350.0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46" t="s">
        <v>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46">
        <f>SUM(B148:B149)</f>
        <v>2924350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9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9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9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9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9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9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9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9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9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9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9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9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9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9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9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9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3"/>
      <c r="T225" s="3"/>
      <c r="U225" s="9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9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9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9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9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9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9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9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9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9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3"/>
      <c r="T267" s="3"/>
      <c r="U267" s="9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9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9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9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46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46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46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46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46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46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46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46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46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46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46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46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46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46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46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9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46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46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46"/>
      <c r="R312" s="46"/>
      <c r="S312" s="3"/>
      <c r="T312" s="3"/>
      <c r="U312" s="9"/>
      <c r="V312" s="3"/>
      <c r="W312" s="3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9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9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46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46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46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46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46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46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46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9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9"/>
      <c r="T358" s="3"/>
      <c r="U358" s="2"/>
      <c r="V358" s="3"/>
      <c r="W358" s="3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9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9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9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9"/>
      <c r="T375" s="3"/>
      <c r="U375" s="2"/>
      <c r="V375" s="3"/>
      <c r="W375" s="3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9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9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9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9"/>
      <c r="T386" s="3"/>
      <c r="U386" s="2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9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9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3"/>
      <c r="T402" s="3"/>
      <c r="U402" s="9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9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9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3"/>
      <c r="T416" s="9"/>
      <c r="U416" s="2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9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9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9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9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3"/>
      <c r="T428" s="9"/>
      <c r="U428" s="2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9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9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67"/>
      <c r="R443" s="2"/>
      <c r="S443" s="2"/>
      <c r="T443" s="3"/>
      <c r="U443" s="2"/>
      <c r="V443" s="2"/>
      <c r="W443" s="2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3"/>
      <c r="T444" s="3"/>
      <c r="U444" s="3"/>
      <c r="V444" s="2"/>
      <c r="W444" s="2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8"/>
      <c r="R446" s="38"/>
      <c r="S446" s="38"/>
      <c r="T446" s="38"/>
      <c r="U446" s="38"/>
      <c r="V446" s="38"/>
      <c r="W446" s="38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3"/>
      <c r="T447" s="3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"/>
      <c r="R448" s="2"/>
      <c r="S448" s="3"/>
      <c r="T448" s="3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68"/>
      <c r="R450" s="69"/>
      <c r="S450" s="70"/>
      <c r="T450" s="70"/>
      <c r="U450" s="70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1"/>
      <c r="R451" s="71"/>
      <c r="S451" s="71"/>
      <c r="T451" s="71"/>
      <c r="U451" s="71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46"/>
      <c r="S454" s="46"/>
      <c r="T454" s="46"/>
      <c r="U454" s="46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46"/>
      <c r="R455" s="46"/>
      <c r="S455" s="46"/>
      <c r="T455" s="46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46"/>
      <c r="R456" s="46"/>
      <c r="S456" s="46"/>
      <c r="T456" s="46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46"/>
      <c r="R457" s="46"/>
      <c r="S457" s="46"/>
      <c r="T457" s="46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46"/>
      <c r="R458" s="46"/>
      <c r="S458" s="46"/>
      <c r="T458" s="46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2"/>
      <c r="R459" s="72"/>
      <c r="S459" s="72"/>
      <c r="T459" s="72"/>
      <c r="U459" s="73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"/>
      <c r="R460" s="2"/>
      <c r="S460" s="3"/>
      <c r="T460" s="3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56"/>
      <c r="R462" s="56"/>
      <c r="S462" s="56"/>
      <c r="T462" s="56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56"/>
      <c r="R463" s="56"/>
      <c r="S463" s="56"/>
      <c r="T463" s="56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56"/>
      <c r="R464" s="56"/>
      <c r="S464" s="56"/>
      <c r="T464" s="56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56"/>
      <c r="R465" s="56"/>
      <c r="S465" s="56"/>
      <c r="T465" s="56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56"/>
      <c r="R466" s="56"/>
      <c r="S466" s="56"/>
      <c r="T466" s="56"/>
      <c r="U466" s="2"/>
      <c r="V466" s="2"/>
      <c r="W466" s="56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56"/>
      <c r="R467" s="56"/>
      <c r="S467" s="56"/>
      <c r="T467" s="56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6"/>
      <c r="R468" s="56"/>
      <c r="S468" s="56"/>
      <c r="T468" s="56"/>
      <c r="U468" s="2"/>
      <c r="V468" s="2"/>
      <c r="W468" s="56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56"/>
      <c r="R469" s="56"/>
      <c r="S469" s="56"/>
      <c r="T469" s="56"/>
      <c r="U469" s="2"/>
      <c r="V469" s="2"/>
      <c r="W469" s="56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6"/>
      <c r="R470" s="46"/>
      <c r="S470" s="46"/>
      <c r="T470" s="46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46"/>
      <c r="R471" s="46"/>
      <c r="S471" s="46"/>
      <c r="T471" s="46"/>
      <c r="U471" s="2"/>
      <c r="V471" s="2"/>
      <c r="W471" s="56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46"/>
      <c r="R472" s="46"/>
      <c r="S472" s="46"/>
      <c r="T472" s="46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46"/>
      <c r="R473" s="46"/>
      <c r="S473" s="46"/>
      <c r="T473" s="46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46"/>
      <c r="R474" s="46"/>
      <c r="S474" s="46"/>
      <c r="T474" s="46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46"/>
      <c r="R475" s="46"/>
      <c r="S475" s="46"/>
      <c r="T475" s="46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46"/>
      <c r="R476" s="46"/>
      <c r="S476" s="46"/>
      <c r="T476" s="46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46"/>
      <c r="R477" s="46"/>
      <c r="S477" s="46"/>
      <c r="T477" s="46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46"/>
      <c r="R478" s="46"/>
      <c r="S478" s="46"/>
      <c r="T478" s="46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"/>
      <c r="R479" s="46"/>
      <c r="S479" s="46"/>
      <c r="T479" s="46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2"/>
      <c r="R481" s="72"/>
      <c r="S481" s="72"/>
      <c r="T481" s="72"/>
      <c r="U481" s="73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1"/>
      <c r="R483" s="72"/>
      <c r="S483" s="72"/>
      <c r="T483" s="74"/>
      <c r="U483" s="74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46"/>
      <c r="R485" s="46"/>
      <c r="S485" s="46"/>
      <c r="T485" s="46"/>
      <c r="U485" s="46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46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</sheetData>
  <mergeCells count="8">
    <mergeCell ref="I3:K3"/>
    <mergeCell ref="A94:B94"/>
    <mergeCell ref="U98:W98"/>
    <mergeCell ref="A99:A100"/>
    <mergeCell ref="A102:F102"/>
    <mergeCell ref="A113:F113"/>
    <mergeCell ref="U154:W154"/>
    <mergeCell ref="U189:W189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231</v>
      </c>
      <c r="F3" s="7">
        <v>46036.0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5.0</v>
      </c>
      <c r="B6" s="12" t="s">
        <v>32</v>
      </c>
      <c r="C6" s="14" t="s">
        <v>20</v>
      </c>
      <c r="D6" s="15">
        <v>22000.0</v>
      </c>
      <c r="E6" s="15">
        <f t="shared" ref="E6:E10" si="1">A6*D6</f>
        <v>110000</v>
      </c>
      <c r="F6" s="15">
        <f t="shared" ref="F6:F10" si="2">E6*1.105</f>
        <v>121550</v>
      </c>
      <c r="G6" s="3"/>
      <c r="H6" s="3" t="s">
        <v>2</v>
      </c>
      <c r="I6" s="16">
        <v>18000.0</v>
      </c>
      <c r="J6" s="15">
        <f t="shared" ref="J6:J10" si="3">I6*A6</f>
        <v>90000</v>
      </c>
      <c r="K6" s="15">
        <f t="shared" ref="K6:K10" si="4">F6-J6</f>
        <v>31550</v>
      </c>
      <c r="L6" s="25" t="s">
        <v>2</v>
      </c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2.0</v>
      </c>
      <c r="B7" s="12" t="s">
        <v>13</v>
      </c>
      <c r="C7" s="14" t="s">
        <v>206</v>
      </c>
      <c r="D7" s="15">
        <v>70000.0</v>
      </c>
      <c r="E7" s="15">
        <f t="shared" si="1"/>
        <v>140000</v>
      </c>
      <c r="F7" s="15">
        <f t="shared" si="2"/>
        <v>154700</v>
      </c>
      <c r="G7" s="3"/>
      <c r="H7" s="3" t="s">
        <v>2</v>
      </c>
      <c r="I7" s="16">
        <v>42000.0</v>
      </c>
      <c r="J7" s="15">
        <f t="shared" si="3"/>
        <v>84000</v>
      </c>
      <c r="K7" s="15">
        <f t="shared" si="4"/>
        <v>70700</v>
      </c>
      <c r="L7" s="25" t="s">
        <v>2</v>
      </c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13</v>
      </c>
      <c r="C8" s="14" t="s">
        <v>19</v>
      </c>
      <c r="D8" s="15">
        <v>38000.0</v>
      </c>
      <c r="E8" s="15">
        <f t="shared" si="1"/>
        <v>38000</v>
      </c>
      <c r="F8" s="15">
        <f t="shared" si="2"/>
        <v>41990</v>
      </c>
      <c r="G8" s="3"/>
      <c r="H8" s="3" t="s">
        <v>2</v>
      </c>
      <c r="I8" s="16">
        <v>30000.0</v>
      </c>
      <c r="J8" s="15">
        <f t="shared" si="3"/>
        <v>30000</v>
      </c>
      <c r="K8" s="15">
        <f t="shared" si="4"/>
        <v>11990</v>
      </c>
      <c r="L8" s="25" t="s">
        <v>2</v>
      </c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32</v>
      </c>
      <c r="C9" s="14" t="s">
        <v>20</v>
      </c>
      <c r="D9" s="15">
        <v>22000.0</v>
      </c>
      <c r="E9" s="15">
        <f t="shared" si="1"/>
        <v>22000</v>
      </c>
      <c r="F9" s="15">
        <f t="shared" si="2"/>
        <v>24310</v>
      </c>
      <c r="G9" s="6" t="s">
        <v>42</v>
      </c>
      <c r="H9" s="3" t="s">
        <v>2</v>
      </c>
      <c r="I9" s="16">
        <v>0.0</v>
      </c>
      <c r="J9" s="15">
        <f t="shared" si="3"/>
        <v>0</v>
      </c>
      <c r="K9" s="15">
        <f t="shared" si="4"/>
        <v>24310</v>
      </c>
      <c r="L9" s="4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1.0</v>
      </c>
      <c r="B10" s="12" t="s">
        <v>13</v>
      </c>
      <c r="C10" s="14" t="s">
        <v>206</v>
      </c>
      <c r="D10" s="15">
        <v>70000.0</v>
      </c>
      <c r="E10" s="15">
        <f t="shared" si="1"/>
        <v>70000</v>
      </c>
      <c r="F10" s="15">
        <f t="shared" si="2"/>
        <v>77350</v>
      </c>
      <c r="G10" s="6" t="s">
        <v>42</v>
      </c>
      <c r="H10" s="3" t="s">
        <v>2</v>
      </c>
      <c r="I10" s="16">
        <v>0.0</v>
      </c>
      <c r="J10" s="15">
        <f t="shared" si="3"/>
        <v>0</v>
      </c>
      <c r="K10" s="15">
        <f t="shared" si="4"/>
        <v>77350</v>
      </c>
      <c r="L10" s="4"/>
      <c r="N10" s="21"/>
      <c r="P10" s="21"/>
      <c r="Q10" s="21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/>
      <c r="B11" s="12"/>
      <c r="C11" s="14"/>
      <c r="D11" s="15"/>
      <c r="E11" s="15"/>
      <c r="F11" s="15"/>
      <c r="G11" s="3"/>
      <c r="H11" s="3"/>
      <c r="I11" s="3"/>
      <c r="J11" s="3"/>
      <c r="K11" s="15"/>
      <c r="L11" s="22"/>
      <c r="M11" s="2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/>
      <c r="B12" s="12"/>
      <c r="C12" s="14"/>
      <c r="D12" s="15"/>
      <c r="E12" s="15">
        <f t="shared" ref="E12:F12" si="5">SUM(E6:E10)</f>
        <v>380000</v>
      </c>
      <c r="F12" s="15">
        <f t="shared" si="5"/>
        <v>419900</v>
      </c>
      <c r="G12" s="3"/>
      <c r="H12" s="3"/>
      <c r="I12" s="3"/>
      <c r="J12" s="3"/>
      <c r="K12" s="15">
        <f>SUM(K6:K10)</f>
        <v>215900</v>
      </c>
      <c r="L12" s="22">
        <f>K12/F12</f>
        <v>0.5141700405</v>
      </c>
      <c r="M12" s="2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23"/>
      <c r="B14" s="23"/>
      <c r="C14" s="23"/>
      <c r="D14" s="7"/>
      <c r="E14" s="24"/>
      <c r="F14" s="7"/>
      <c r="G14" s="6"/>
      <c r="H14" s="3"/>
      <c r="I14" s="8"/>
      <c r="J14" s="8"/>
      <c r="K14" s="8"/>
      <c r="L14" s="4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5" t="s">
        <v>158</v>
      </c>
      <c r="B15" s="1"/>
      <c r="C15" s="1"/>
      <c r="D15" s="25" t="s">
        <v>167</v>
      </c>
      <c r="E15" s="7">
        <v>46036.0</v>
      </c>
      <c r="F15" s="28"/>
      <c r="G15" s="24"/>
      <c r="H15" s="24"/>
      <c r="I15" s="16"/>
      <c r="J15" s="16"/>
      <c r="K15" s="16"/>
      <c r="L15" s="29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"/>
      <c r="B16" s="3"/>
      <c r="C16" s="2"/>
      <c r="D16" s="3"/>
      <c r="E16" s="3"/>
      <c r="F16" s="24"/>
      <c r="G16" s="24"/>
      <c r="H16" s="24"/>
      <c r="I16" s="16"/>
      <c r="J16" s="16"/>
      <c r="K16" s="16"/>
      <c r="L16" s="29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5" t="s">
        <v>4</v>
      </c>
      <c r="B17" s="10" t="s">
        <v>5</v>
      </c>
      <c r="C17" s="11" t="s">
        <v>6</v>
      </c>
      <c r="D17" s="10" t="s">
        <v>7</v>
      </c>
      <c r="E17" s="10" t="s">
        <v>8</v>
      </c>
      <c r="F17" s="12"/>
      <c r="G17" s="24"/>
      <c r="H17" s="24"/>
      <c r="I17" s="10" t="s">
        <v>7</v>
      </c>
      <c r="J17" s="10" t="s">
        <v>8</v>
      </c>
      <c r="K17" s="10" t="s">
        <v>10</v>
      </c>
      <c r="L17" s="4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78">
        <v>1.0</v>
      </c>
      <c r="B18" s="10" t="s">
        <v>5</v>
      </c>
      <c r="C18" s="11" t="s">
        <v>49</v>
      </c>
      <c r="D18" s="15">
        <v>1500.0</v>
      </c>
      <c r="E18" s="15">
        <f t="shared" ref="E18:E48" si="6">A18*D18</f>
        <v>1500</v>
      </c>
      <c r="F18" s="16"/>
      <c r="G18" s="24"/>
      <c r="H18" s="24"/>
      <c r="I18" s="15">
        <v>1600.0</v>
      </c>
      <c r="J18" s="15">
        <f t="shared" ref="J18:J48" si="7">I18*A18</f>
        <v>1600</v>
      </c>
      <c r="K18" s="15">
        <f t="shared" ref="K18:K48" si="8">E18-J18</f>
        <v>-100</v>
      </c>
      <c r="L18" s="4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78">
        <v>3.0</v>
      </c>
      <c r="B19" s="10" t="s">
        <v>5</v>
      </c>
      <c r="C19" s="11" t="s">
        <v>69</v>
      </c>
      <c r="D19" s="15">
        <v>1200.0</v>
      </c>
      <c r="E19" s="15">
        <f t="shared" si="6"/>
        <v>3600</v>
      </c>
      <c r="F19" s="16"/>
      <c r="G19" s="32" t="s">
        <v>2</v>
      </c>
      <c r="H19" s="24"/>
      <c r="I19" s="15">
        <v>560.0</v>
      </c>
      <c r="J19" s="15">
        <f t="shared" si="7"/>
        <v>1680</v>
      </c>
      <c r="K19" s="15">
        <f t="shared" si="8"/>
        <v>1920</v>
      </c>
      <c r="L19" s="4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78">
        <v>4.0</v>
      </c>
      <c r="B20" s="10" t="s">
        <v>17</v>
      </c>
      <c r="C20" s="11" t="s">
        <v>86</v>
      </c>
      <c r="D20" s="15">
        <v>1500.0</v>
      </c>
      <c r="E20" s="15">
        <f t="shared" si="6"/>
        <v>6000</v>
      </c>
      <c r="F20" s="16"/>
      <c r="G20" s="24"/>
      <c r="H20" s="24"/>
      <c r="I20" s="15">
        <v>1100.0</v>
      </c>
      <c r="J20" s="15">
        <f t="shared" si="7"/>
        <v>4400</v>
      </c>
      <c r="K20" s="15">
        <f t="shared" si="8"/>
        <v>1600</v>
      </c>
      <c r="L20" s="4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78">
        <v>4.0</v>
      </c>
      <c r="B21" s="10" t="s">
        <v>17</v>
      </c>
      <c r="C21" s="11" t="s">
        <v>159</v>
      </c>
      <c r="D21" s="15">
        <v>3800.0</v>
      </c>
      <c r="E21" s="15">
        <f t="shared" si="6"/>
        <v>15200</v>
      </c>
      <c r="F21" s="16"/>
      <c r="G21" s="24"/>
      <c r="H21" s="24"/>
      <c r="I21" s="15">
        <v>2500.0</v>
      </c>
      <c r="J21" s="15">
        <f t="shared" si="7"/>
        <v>10000</v>
      </c>
      <c r="K21" s="15">
        <f t="shared" si="8"/>
        <v>5200</v>
      </c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78">
        <v>4.0</v>
      </c>
      <c r="B22" s="10" t="s">
        <v>17</v>
      </c>
      <c r="C22" s="11" t="s">
        <v>62</v>
      </c>
      <c r="D22" s="15">
        <v>1600.0</v>
      </c>
      <c r="E22" s="15">
        <f t="shared" si="6"/>
        <v>6400</v>
      </c>
      <c r="F22" s="16"/>
      <c r="G22" s="32" t="s">
        <v>2</v>
      </c>
      <c r="H22" s="24"/>
      <c r="I22" s="15">
        <f>9000/8</f>
        <v>1125</v>
      </c>
      <c r="J22" s="15">
        <f t="shared" si="7"/>
        <v>4500</v>
      </c>
      <c r="K22" s="15">
        <f t="shared" si="8"/>
        <v>1900</v>
      </c>
      <c r="L22" s="4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78">
        <v>3.0</v>
      </c>
      <c r="B23" s="10" t="s">
        <v>17</v>
      </c>
      <c r="C23" s="11" t="s">
        <v>36</v>
      </c>
      <c r="D23" s="15">
        <v>2800.0</v>
      </c>
      <c r="E23" s="15">
        <f t="shared" si="6"/>
        <v>8400</v>
      </c>
      <c r="F23" s="16"/>
      <c r="G23" s="24"/>
      <c r="H23" s="24"/>
      <c r="I23" s="15">
        <f>15000/8</f>
        <v>1875</v>
      </c>
      <c r="J23" s="15">
        <f t="shared" si="7"/>
        <v>5625</v>
      </c>
      <c r="K23" s="15">
        <f t="shared" si="8"/>
        <v>2775</v>
      </c>
      <c r="L23" s="4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78">
        <v>4.0</v>
      </c>
      <c r="B24" s="10" t="s">
        <v>28</v>
      </c>
      <c r="C24" s="11" t="s">
        <v>67</v>
      </c>
      <c r="D24" s="15">
        <v>1700.0</v>
      </c>
      <c r="E24" s="15">
        <f t="shared" si="6"/>
        <v>6800</v>
      </c>
      <c r="F24" s="16"/>
      <c r="G24" s="24"/>
      <c r="H24" s="24"/>
      <c r="I24" s="15">
        <f>7200/4</f>
        <v>1800</v>
      </c>
      <c r="J24" s="15">
        <f t="shared" si="7"/>
        <v>7200</v>
      </c>
      <c r="K24" s="15">
        <f t="shared" si="8"/>
        <v>-400</v>
      </c>
      <c r="L24" s="4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78">
        <v>2.0</v>
      </c>
      <c r="B25" s="10" t="s">
        <v>17</v>
      </c>
      <c r="C25" s="11" t="s">
        <v>23</v>
      </c>
      <c r="D25" s="15">
        <v>3000.0</v>
      </c>
      <c r="E25" s="15">
        <f t="shared" si="6"/>
        <v>6000</v>
      </c>
      <c r="F25" s="16"/>
      <c r="G25" s="24"/>
      <c r="H25" s="24"/>
      <c r="I25" s="15">
        <f>12000/8</f>
        <v>1500</v>
      </c>
      <c r="J25" s="15">
        <f t="shared" si="7"/>
        <v>3000</v>
      </c>
      <c r="K25" s="15">
        <f t="shared" si="8"/>
        <v>3000</v>
      </c>
      <c r="L25" s="4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78">
        <v>1.0</v>
      </c>
      <c r="B26" s="10" t="s">
        <v>17</v>
      </c>
      <c r="C26" s="11" t="s">
        <v>79</v>
      </c>
      <c r="D26" s="15">
        <v>3500.0</v>
      </c>
      <c r="E26" s="15">
        <f t="shared" si="6"/>
        <v>3500</v>
      </c>
      <c r="F26" s="16"/>
      <c r="G26" s="24"/>
      <c r="H26" s="24"/>
      <c r="I26" s="15">
        <v>3000.0</v>
      </c>
      <c r="J26" s="15">
        <f t="shared" si="7"/>
        <v>3000</v>
      </c>
      <c r="K26" s="15">
        <f t="shared" si="8"/>
        <v>500</v>
      </c>
      <c r="L26" s="4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78">
        <v>2.0</v>
      </c>
      <c r="B27" s="10" t="s">
        <v>5</v>
      </c>
      <c r="C27" s="11" t="s">
        <v>38</v>
      </c>
      <c r="D27" s="15">
        <v>1300.0</v>
      </c>
      <c r="E27" s="15">
        <f t="shared" si="6"/>
        <v>2600</v>
      </c>
      <c r="F27" s="16"/>
      <c r="G27" s="24"/>
      <c r="H27" s="24"/>
      <c r="I27" s="15">
        <f>65000/80</f>
        <v>812.5</v>
      </c>
      <c r="J27" s="15">
        <f t="shared" si="7"/>
        <v>1625</v>
      </c>
      <c r="K27" s="15">
        <f t="shared" si="8"/>
        <v>975</v>
      </c>
      <c r="L27" s="4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78">
        <v>0.5</v>
      </c>
      <c r="B28" s="10" t="s">
        <v>146</v>
      </c>
      <c r="C28" s="11" t="s">
        <v>53</v>
      </c>
      <c r="D28" s="15">
        <v>3500.0</v>
      </c>
      <c r="E28" s="15">
        <f t="shared" si="6"/>
        <v>1750</v>
      </c>
      <c r="F28" s="16"/>
      <c r="G28" s="24"/>
      <c r="H28" s="24"/>
      <c r="I28" s="15">
        <v>2000.0</v>
      </c>
      <c r="J28" s="15">
        <f t="shared" si="7"/>
        <v>1000</v>
      </c>
      <c r="K28" s="15">
        <f t="shared" si="8"/>
        <v>750</v>
      </c>
      <c r="L28" s="4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78">
        <v>6.0</v>
      </c>
      <c r="B29" s="10" t="s">
        <v>146</v>
      </c>
      <c r="C29" s="11" t="s">
        <v>33</v>
      </c>
      <c r="D29" s="15">
        <v>2000.0</v>
      </c>
      <c r="E29" s="15">
        <f t="shared" si="6"/>
        <v>12000</v>
      </c>
      <c r="F29" s="16"/>
      <c r="G29" s="24"/>
      <c r="H29" s="24"/>
      <c r="I29" s="15">
        <v>1400.0</v>
      </c>
      <c r="J29" s="15">
        <f t="shared" si="7"/>
        <v>8400</v>
      </c>
      <c r="K29" s="15">
        <f t="shared" si="8"/>
        <v>3600</v>
      </c>
      <c r="L29" s="4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78">
        <v>4.0</v>
      </c>
      <c r="B30" s="10" t="s">
        <v>28</v>
      </c>
      <c r="C30" s="11" t="s">
        <v>60</v>
      </c>
      <c r="D30" s="15">
        <v>500.0</v>
      </c>
      <c r="E30" s="15">
        <f t="shared" si="6"/>
        <v>2000</v>
      </c>
      <c r="F30" s="16"/>
      <c r="G30" s="24"/>
      <c r="H30" s="24"/>
      <c r="I30" s="15">
        <v>350.0</v>
      </c>
      <c r="J30" s="15">
        <f t="shared" si="7"/>
        <v>1400</v>
      </c>
      <c r="K30" s="15">
        <f t="shared" si="8"/>
        <v>600</v>
      </c>
      <c r="L30" s="4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78">
        <v>4.0</v>
      </c>
      <c r="B31" s="10" t="s">
        <v>17</v>
      </c>
      <c r="C31" s="11" t="s">
        <v>162</v>
      </c>
      <c r="D31" s="15">
        <v>2000.0</v>
      </c>
      <c r="E31" s="15">
        <f t="shared" si="6"/>
        <v>8000</v>
      </c>
      <c r="F31" s="16"/>
      <c r="G31" s="24"/>
      <c r="H31" s="24"/>
      <c r="I31" s="15">
        <f>28000/15</f>
        <v>1866.666667</v>
      </c>
      <c r="J31" s="15">
        <f t="shared" si="7"/>
        <v>7466.666667</v>
      </c>
      <c r="K31" s="15">
        <f t="shared" si="8"/>
        <v>533.3333333</v>
      </c>
      <c r="L31" s="4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78">
        <v>4.0</v>
      </c>
      <c r="B32" s="10" t="s">
        <v>17</v>
      </c>
      <c r="C32" s="11" t="s">
        <v>163</v>
      </c>
      <c r="D32" s="15">
        <v>900.0</v>
      </c>
      <c r="E32" s="15">
        <f t="shared" si="6"/>
        <v>3600</v>
      </c>
      <c r="F32" s="16"/>
      <c r="G32" s="24"/>
      <c r="H32" s="24"/>
      <c r="I32" s="15">
        <f>18000/14</f>
        <v>1285.714286</v>
      </c>
      <c r="J32" s="15">
        <f t="shared" si="7"/>
        <v>5142.857143</v>
      </c>
      <c r="K32" s="15">
        <f t="shared" si="8"/>
        <v>-1542.857143</v>
      </c>
      <c r="L32" s="4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78">
        <v>2.0</v>
      </c>
      <c r="B33" s="10" t="s">
        <v>17</v>
      </c>
      <c r="C33" s="11" t="s">
        <v>30</v>
      </c>
      <c r="D33" s="15">
        <v>1000.0</v>
      </c>
      <c r="E33" s="15">
        <f t="shared" si="6"/>
        <v>2000</v>
      </c>
      <c r="F33" s="16"/>
      <c r="G33" s="24"/>
      <c r="H33" s="24"/>
      <c r="I33" s="15">
        <v>2000.0</v>
      </c>
      <c r="J33" s="15">
        <f t="shared" si="7"/>
        <v>4000</v>
      </c>
      <c r="K33" s="15">
        <f t="shared" si="8"/>
        <v>-2000</v>
      </c>
      <c r="L33" s="4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78">
        <v>1.0</v>
      </c>
      <c r="B34" s="10" t="s">
        <v>42</v>
      </c>
      <c r="C34" s="11" t="s">
        <v>76</v>
      </c>
      <c r="D34" s="15">
        <v>12000.0</v>
      </c>
      <c r="E34" s="15">
        <f t="shared" si="6"/>
        <v>12000</v>
      </c>
      <c r="F34" s="3"/>
      <c r="G34" s="2"/>
      <c r="H34" s="2"/>
      <c r="I34" s="15">
        <v>9000.0</v>
      </c>
      <c r="J34" s="15">
        <f t="shared" si="7"/>
        <v>9000</v>
      </c>
      <c r="K34" s="15">
        <f t="shared" si="8"/>
        <v>3000</v>
      </c>
      <c r="L34" s="4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78">
        <v>0.5</v>
      </c>
      <c r="B35" s="10" t="s">
        <v>42</v>
      </c>
      <c r="C35" s="11" t="s">
        <v>66</v>
      </c>
      <c r="D35" s="15">
        <v>13000.0</v>
      </c>
      <c r="E35" s="15">
        <f t="shared" si="6"/>
        <v>6500</v>
      </c>
      <c r="F35" s="3"/>
      <c r="G35" s="2"/>
      <c r="H35" s="2"/>
      <c r="I35" s="15">
        <v>9000.0</v>
      </c>
      <c r="J35" s="15">
        <f t="shared" si="7"/>
        <v>4500</v>
      </c>
      <c r="K35" s="15">
        <f t="shared" si="8"/>
        <v>2000</v>
      </c>
      <c r="L35" s="4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78">
        <v>1.0</v>
      </c>
      <c r="B36" s="10" t="s">
        <v>42</v>
      </c>
      <c r="C36" s="11" t="s">
        <v>70</v>
      </c>
      <c r="D36" s="15">
        <v>14000.0</v>
      </c>
      <c r="E36" s="15">
        <f t="shared" si="6"/>
        <v>14000</v>
      </c>
      <c r="F36" s="3"/>
      <c r="G36" s="2"/>
      <c r="H36" s="2"/>
      <c r="I36" s="15">
        <v>13000.0</v>
      </c>
      <c r="J36" s="15">
        <f t="shared" si="7"/>
        <v>13000</v>
      </c>
      <c r="K36" s="15">
        <f t="shared" si="8"/>
        <v>1000</v>
      </c>
      <c r="L36" s="4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78">
        <v>1.0</v>
      </c>
      <c r="B37" s="10" t="s">
        <v>42</v>
      </c>
      <c r="C37" s="11" t="s">
        <v>68</v>
      </c>
      <c r="D37" s="15">
        <v>13000.0</v>
      </c>
      <c r="E37" s="15">
        <f t="shared" si="6"/>
        <v>13000</v>
      </c>
      <c r="F37" s="3"/>
      <c r="G37" s="2"/>
      <c r="H37" s="2"/>
      <c r="I37" s="15">
        <v>12000.0</v>
      </c>
      <c r="J37" s="15">
        <f t="shared" si="7"/>
        <v>12000</v>
      </c>
      <c r="K37" s="15">
        <f t="shared" si="8"/>
        <v>1000</v>
      </c>
      <c r="L37" s="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78">
        <v>1.0</v>
      </c>
      <c r="B38" s="10" t="s">
        <v>32</v>
      </c>
      <c r="C38" s="11" t="s">
        <v>152</v>
      </c>
      <c r="D38" s="15">
        <v>50000.0</v>
      </c>
      <c r="E38" s="15">
        <f t="shared" si="6"/>
        <v>50000</v>
      </c>
      <c r="F38" s="3"/>
      <c r="G38" s="2"/>
      <c r="H38" s="2"/>
      <c r="I38" s="15">
        <v>38000.0</v>
      </c>
      <c r="J38" s="15">
        <f t="shared" si="7"/>
        <v>38000</v>
      </c>
      <c r="K38" s="15">
        <f t="shared" si="8"/>
        <v>12000</v>
      </c>
      <c r="L38" s="4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78">
        <v>1.0</v>
      </c>
      <c r="B39" s="10" t="s">
        <v>13</v>
      </c>
      <c r="C39" s="11" t="s">
        <v>19</v>
      </c>
      <c r="D39" s="15">
        <v>40000.0</v>
      </c>
      <c r="E39" s="15">
        <f t="shared" si="6"/>
        <v>40000</v>
      </c>
      <c r="F39" s="3"/>
      <c r="G39" s="2"/>
      <c r="H39" s="2"/>
      <c r="I39" s="15">
        <v>30000.0</v>
      </c>
      <c r="J39" s="15">
        <f t="shared" si="7"/>
        <v>30000</v>
      </c>
      <c r="K39" s="15">
        <f t="shared" si="8"/>
        <v>10000</v>
      </c>
      <c r="L39" s="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78">
        <v>2.0</v>
      </c>
      <c r="B40" s="10" t="s">
        <v>17</v>
      </c>
      <c r="C40" s="11" t="s">
        <v>153</v>
      </c>
      <c r="D40" s="15">
        <v>4000.0</v>
      </c>
      <c r="E40" s="15">
        <f t="shared" si="6"/>
        <v>8000</v>
      </c>
      <c r="F40" s="3"/>
      <c r="G40" s="2"/>
      <c r="H40" s="2"/>
      <c r="I40" s="15"/>
      <c r="J40" s="15">
        <f t="shared" si="7"/>
        <v>0</v>
      </c>
      <c r="K40" s="15">
        <f t="shared" si="8"/>
        <v>8000</v>
      </c>
      <c r="L40" s="4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78">
        <v>3.0</v>
      </c>
      <c r="B41" s="10" t="s">
        <v>17</v>
      </c>
      <c r="C41" s="11" t="s">
        <v>15</v>
      </c>
      <c r="D41" s="15">
        <v>4000.0</v>
      </c>
      <c r="E41" s="15">
        <f t="shared" si="6"/>
        <v>12000</v>
      </c>
      <c r="F41" s="3"/>
      <c r="G41" s="2"/>
      <c r="H41" s="2"/>
      <c r="I41" s="15"/>
      <c r="J41" s="15">
        <f t="shared" si="7"/>
        <v>0</v>
      </c>
      <c r="K41" s="15">
        <f t="shared" si="8"/>
        <v>12000</v>
      </c>
      <c r="L41" s="4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78">
        <v>0.5</v>
      </c>
      <c r="B42" s="10" t="s">
        <v>17</v>
      </c>
      <c r="C42" s="11" t="s">
        <v>165</v>
      </c>
      <c r="D42" s="15">
        <v>12000.0</v>
      </c>
      <c r="E42" s="15">
        <f t="shared" si="6"/>
        <v>6000</v>
      </c>
      <c r="F42" s="3"/>
      <c r="G42" s="2"/>
      <c r="H42" s="2"/>
      <c r="I42" s="15"/>
      <c r="J42" s="15">
        <f t="shared" si="7"/>
        <v>0</v>
      </c>
      <c r="K42" s="15">
        <f t="shared" si="8"/>
        <v>6000</v>
      </c>
      <c r="L42" s="4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78">
        <v>3.0</v>
      </c>
      <c r="B43" s="10" t="s">
        <v>17</v>
      </c>
      <c r="C43" s="11" t="s">
        <v>22</v>
      </c>
      <c r="D43" s="15">
        <v>3000.0</v>
      </c>
      <c r="E43" s="15">
        <f t="shared" si="6"/>
        <v>9000</v>
      </c>
      <c r="F43" s="3"/>
      <c r="G43" s="2"/>
      <c r="H43" s="2"/>
      <c r="I43" s="15">
        <f>35000/15</f>
        <v>2333.333333</v>
      </c>
      <c r="J43" s="15">
        <f t="shared" si="7"/>
        <v>7000</v>
      </c>
      <c r="K43" s="15">
        <f t="shared" si="8"/>
        <v>2000</v>
      </c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78">
        <v>4.0</v>
      </c>
      <c r="B44" s="10" t="s">
        <v>17</v>
      </c>
      <c r="C44" s="11" t="s">
        <v>14</v>
      </c>
      <c r="D44" s="15">
        <v>5000.0</v>
      </c>
      <c r="E44" s="15">
        <f t="shared" si="6"/>
        <v>20000</v>
      </c>
      <c r="F44" s="3"/>
      <c r="G44" s="2"/>
      <c r="H44" s="2"/>
      <c r="I44" s="15">
        <f>40000/18</f>
        <v>2222.222222</v>
      </c>
      <c r="J44" s="15">
        <f t="shared" si="7"/>
        <v>8888.888889</v>
      </c>
      <c r="K44" s="15">
        <f t="shared" si="8"/>
        <v>11111.11111</v>
      </c>
      <c r="L44" s="4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78">
        <v>7.0</v>
      </c>
      <c r="B45" s="10" t="s">
        <v>17</v>
      </c>
      <c r="C45" s="11" t="s">
        <v>20</v>
      </c>
      <c r="D45" s="15">
        <v>1600.0</v>
      </c>
      <c r="E45" s="15">
        <f t="shared" si="6"/>
        <v>11200</v>
      </c>
      <c r="F45" s="3"/>
      <c r="G45" s="2"/>
      <c r="H45" s="2"/>
      <c r="I45" s="15">
        <f>18000/15</f>
        <v>1200</v>
      </c>
      <c r="J45" s="15">
        <f t="shared" si="7"/>
        <v>8400</v>
      </c>
      <c r="K45" s="15">
        <f t="shared" si="8"/>
        <v>2800</v>
      </c>
      <c r="L45" s="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78">
        <v>2.0</v>
      </c>
      <c r="B46" s="10" t="s">
        <v>5</v>
      </c>
      <c r="C46" s="11" t="s">
        <v>155</v>
      </c>
      <c r="D46" s="15">
        <v>4000.0</v>
      </c>
      <c r="E46" s="15">
        <f t="shared" si="6"/>
        <v>8000</v>
      </c>
      <c r="F46" s="3"/>
      <c r="G46" s="2"/>
      <c r="H46" s="2"/>
      <c r="I46" s="15">
        <v>5000.0</v>
      </c>
      <c r="J46" s="15">
        <f t="shared" si="7"/>
        <v>10000</v>
      </c>
      <c r="K46" s="15">
        <f t="shared" si="8"/>
        <v>-2000</v>
      </c>
      <c r="L46" s="4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78">
        <v>12.0</v>
      </c>
      <c r="B47" s="10" t="s">
        <v>17</v>
      </c>
      <c r="C47" s="11" t="s">
        <v>18</v>
      </c>
      <c r="D47" s="15">
        <v>1200.0</v>
      </c>
      <c r="E47" s="15">
        <f t="shared" si="6"/>
        <v>14400</v>
      </c>
      <c r="F47" s="3"/>
      <c r="G47" s="2"/>
      <c r="H47" s="2"/>
      <c r="I47" s="15">
        <v>600.0</v>
      </c>
      <c r="J47" s="15">
        <f t="shared" si="7"/>
        <v>7200</v>
      </c>
      <c r="K47" s="15">
        <f t="shared" si="8"/>
        <v>7200</v>
      </c>
      <c r="L47" s="4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78">
        <v>2.0</v>
      </c>
      <c r="B48" s="10" t="s">
        <v>17</v>
      </c>
      <c r="C48" s="11" t="s">
        <v>220</v>
      </c>
      <c r="D48" s="15">
        <v>3500.0</v>
      </c>
      <c r="E48" s="15">
        <f t="shared" si="6"/>
        <v>7000</v>
      </c>
      <c r="F48" s="3"/>
      <c r="G48" s="2"/>
      <c r="H48" s="2"/>
      <c r="I48" s="15"/>
      <c r="J48" s="15">
        <f t="shared" si="7"/>
        <v>0</v>
      </c>
      <c r="K48" s="15">
        <f t="shared" si="8"/>
        <v>7000</v>
      </c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"/>
      <c r="B49" s="3"/>
      <c r="C49" s="2"/>
      <c r="D49" s="3"/>
      <c r="E49" s="3"/>
      <c r="F49" s="3"/>
      <c r="G49" s="2"/>
      <c r="H49" s="2"/>
      <c r="I49" s="3"/>
      <c r="J49" s="3"/>
      <c r="K49" s="3"/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"/>
      <c r="B50" s="3"/>
      <c r="C50" s="2"/>
      <c r="D50" s="3"/>
      <c r="E50" s="15">
        <f>SUM(E18:E48)</f>
        <v>320450</v>
      </c>
      <c r="F50" s="3"/>
      <c r="G50" s="2"/>
      <c r="H50" s="2"/>
      <c r="I50" s="2"/>
      <c r="J50" s="2"/>
      <c r="K50" s="15">
        <f>SUM(K18:K48)</f>
        <v>102421.5873</v>
      </c>
      <c r="L50" s="22">
        <f>K50/E50</f>
        <v>0.3196179975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33"/>
      <c r="B51" s="34"/>
      <c r="C51" s="2"/>
      <c r="D51" s="3"/>
      <c r="E51" s="3"/>
      <c r="F51" s="3"/>
      <c r="G51" s="2"/>
      <c r="H51" s="2"/>
      <c r="I51" s="2"/>
      <c r="J51" s="2"/>
      <c r="K51" s="3"/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33"/>
      <c r="B52" s="34"/>
      <c r="C52" s="2"/>
      <c r="D52" s="3"/>
      <c r="E52" s="3"/>
      <c r="F52" s="3"/>
      <c r="G52" s="2"/>
      <c r="H52" s="2"/>
      <c r="I52" s="2"/>
      <c r="J52" s="2"/>
      <c r="K52" s="3"/>
      <c r="L52" s="4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33"/>
      <c r="B53" s="34"/>
      <c r="C53" s="2"/>
      <c r="D53" s="3"/>
      <c r="E53" s="3"/>
      <c r="F53" s="3"/>
      <c r="G53" s="2"/>
      <c r="H53" s="2"/>
      <c r="I53" s="2"/>
      <c r="J53" s="2"/>
      <c r="K53" s="3"/>
      <c r="L53" s="4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23" t="s">
        <v>71</v>
      </c>
      <c r="B54" s="23"/>
      <c r="C54" s="23"/>
      <c r="D54" s="25" t="s">
        <v>171</v>
      </c>
      <c r="E54" s="7">
        <v>46035.0</v>
      </c>
      <c r="G54" s="24"/>
      <c r="H54" s="24"/>
      <c r="I54" s="16"/>
      <c r="J54" s="16"/>
      <c r="K54" s="16"/>
      <c r="L54" s="29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B55" s="24"/>
      <c r="C55" s="26"/>
      <c r="D55" s="24"/>
      <c r="E55" s="24"/>
      <c r="F55" s="24"/>
      <c r="G55" s="24"/>
      <c r="H55" s="24"/>
      <c r="I55" s="16"/>
      <c r="J55" s="16"/>
      <c r="K55" s="16"/>
      <c r="L55" s="29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5" t="s">
        <v>4</v>
      </c>
      <c r="B56" s="10" t="s">
        <v>5</v>
      </c>
      <c r="C56" s="11" t="s">
        <v>6</v>
      </c>
      <c r="D56" s="12" t="s">
        <v>7</v>
      </c>
      <c r="E56" s="10" t="s">
        <v>8</v>
      </c>
      <c r="F56" s="12"/>
      <c r="G56" s="24"/>
      <c r="H56" s="24"/>
      <c r="I56" s="12" t="s">
        <v>7</v>
      </c>
      <c r="J56" s="12" t="s">
        <v>8</v>
      </c>
      <c r="K56" s="12" t="s">
        <v>10</v>
      </c>
      <c r="L56" s="29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5.0</v>
      </c>
      <c r="B57" s="12" t="s">
        <v>75</v>
      </c>
      <c r="C57" s="14" t="s">
        <v>152</v>
      </c>
      <c r="D57" s="15">
        <v>4500.0</v>
      </c>
      <c r="E57" s="15">
        <f t="shared" ref="E57:E58" si="9">A57*D57</f>
        <v>22500</v>
      </c>
      <c r="F57" s="16"/>
      <c r="G57" s="24"/>
      <c r="H57" s="24"/>
      <c r="I57" s="15">
        <f>38000/12</f>
        <v>3166.666667</v>
      </c>
      <c r="J57" s="16">
        <f t="shared" ref="J57:J58" si="10">I57*A57</f>
        <v>15833.33333</v>
      </c>
      <c r="K57" s="16">
        <f t="shared" ref="K57:K58" si="11">E57-J57</f>
        <v>6666.666667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6.0</v>
      </c>
      <c r="B58" s="12" t="s">
        <v>17</v>
      </c>
      <c r="C58" s="14" t="s">
        <v>163</v>
      </c>
      <c r="D58" s="15">
        <v>1200.0</v>
      </c>
      <c r="E58" s="15">
        <f t="shared" si="9"/>
        <v>7200</v>
      </c>
      <c r="F58" s="16"/>
      <c r="G58" s="24"/>
      <c r="H58" s="24"/>
      <c r="I58" s="15">
        <f>18000/15</f>
        <v>1200</v>
      </c>
      <c r="J58" s="16">
        <f t="shared" si="10"/>
        <v>7200</v>
      </c>
      <c r="K58" s="16">
        <f t="shared" si="11"/>
        <v>0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16"/>
      <c r="F59" s="16"/>
      <c r="G59" s="24"/>
      <c r="H59" s="24"/>
      <c r="I59" s="16"/>
      <c r="J59" s="16"/>
      <c r="K59" s="16"/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/>
      <c r="B60" s="12"/>
      <c r="C60" s="14"/>
      <c r="D60" s="15"/>
      <c r="E60" s="16">
        <f>SUM(E57:E58)</f>
        <v>29700</v>
      </c>
      <c r="F60" s="16"/>
      <c r="G60" s="24"/>
      <c r="H60" s="24"/>
      <c r="I60" s="16"/>
      <c r="J60" s="16"/>
      <c r="K60" s="16">
        <f>SUM(K57:K58)</f>
        <v>6666.666667</v>
      </c>
      <c r="L60" s="30">
        <f>K60/E60</f>
        <v>0.2244668911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33"/>
      <c r="B61" s="34"/>
      <c r="C61" s="2"/>
      <c r="D61" s="3"/>
      <c r="E61" s="3"/>
      <c r="F61" s="3"/>
      <c r="G61" s="2"/>
      <c r="H61" s="2"/>
      <c r="I61" s="2"/>
      <c r="J61" s="2"/>
      <c r="K61" s="3"/>
      <c r="L61" s="4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1"/>
      <c r="P62" s="21"/>
      <c r="Q62" s="21"/>
      <c r="R62" s="2"/>
      <c r="S62" s="3"/>
      <c r="T62" s="3"/>
      <c r="U62" s="1"/>
      <c r="V62" s="3"/>
      <c r="W62" s="3"/>
      <c r="X62" s="3"/>
      <c r="Y62" s="3"/>
      <c r="Z62" s="3"/>
    </row>
    <row r="63">
      <c r="A63" s="33"/>
      <c r="B63" s="34"/>
      <c r="C63" s="2"/>
      <c r="D63" s="3"/>
      <c r="E63" s="3"/>
      <c r="F63" s="3"/>
      <c r="G63" s="2"/>
      <c r="H63" s="2"/>
      <c r="I63" s="2"/>
      <c r="J63" s="2"/>
      <c r="K63" s="3"/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33" t="s">
        <v>88</v>
      </c>
      <c r="B64" s="34">
        <f>E60+E50+F12</f>
        <v>770050</v>
      </c>
      <c r="C64" s="2"/>
      <c r="D64" s="3"/>
      <c r="E64" s="3"/>
      <c r="F64" s="3"/>
      <c r="G64" s="2"/>
      <c r="H64" s="2"/>
      <c r="I64" s="2"/>
      <c r="J64" s="2"/>
      <c r="K64" s="3"/>
      <c r="L64" s="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"/>
      <c r="B65" s="2"/>
      <c r="C65" s="2"/>
      <c r="D65" s="3"/>
      <c r="E65" s="3"/>
      <c r="F65" s="3"/>
      <c r="G65" s="2"/>
      <c r="H65" s="2"/>
      <c r="I65" s="2"/>
      <c r="J65" s="2"/>
      <c r="K65" s="3"/>
      <c r="L65" s="4"/>
      <c r="M65" s="2"/>
      <c r="N65" s="2"/>
      <c r="O65" s="2"/>
      <c r="P65" s="2"/>
      <c r="Q65" s="3"/>
      <c r="R65" s="9"/>
      <c r="S65" s="3"/>
      <c r="T65" s="3"/>
      <c r="U65" s="1"/>
      <c r="V65" s="3"/>
      <c r="W65" s="3"/>
      <c r="X65" s="3"/>
      <c r="Y65" s="3"/>
      <c r="Z65" s="3"/>
    </row>
    <row r="66">
      <c r="A66" s="33" t="s">
        <v>89</v>
      </c>
      <c r="B66" s="34">
        <f>K60+K50+K12</f>
        <v>324988.254</v>
      </c>
      <c r="C66" s="2"/>
      <c r="D66" s="3"/>
      <c r="E66" s="3"/>
      <c r="F66" s="3"/>
      <c r="G66" s="2"/>
      <c r="H66" s="2"/>
      <c r="I66" s="2"/>
      <c r="J66" s="2"/>
      <c r="K66" s="3"/>
      <c r="L66" s="4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"/>
      <c r="B67" s="2"/>
      <c r="C67" s="2"/>
      <c r="D67" s="3"/>
      <c r="E67" s="3"/>
      <c r="F67" s="3"/>
      <c r="G67" s="2"/>
      <c r="H67" s="2"/>
      <c r="I67" s="2"/>
      <c r="J67" s="2"/>
      <c r="K67" s="3"/>
      <c r="L67" s="4"/>
      <c r="M67" s="2"/>
      <c r="N67" s="2"/>
      <c r="O67" s="2"/>
      <c r="P67" s="2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33" t="s">
        <v>90</v>
      </c>
      <c r="B68" s="35">
        <f>B66/B64</f>
        <v>0.4220352626</v>
      </c>
      <c r="C68" s="2"/>
      <c r="D68" s="3"/>
      <c r="E68" s="3"/>
      <c r="F68" s="3"/>
      <c r="G68" s="2"/>
      <c r="H68" s="2"/>
      <c r="I68" s="2"/>
      <c r="J68" s="2"/>
      <c r="K68" s="3"/>
      <c r="L68" s="4"/>
      <c r="M68" s="2"/>
      <c r="N68" s="2"/>
      <c r="O68" s="2"/>
      <c r="P68" s="2"/>
      <c r="Q68" s="2"/>
      <c r="R68" s="2"/>
      <c r="S68" s="3"/>
      <c r="T68" s="3"/>
      <c r="U68" s="1"/>
      <c r="V68" s="3"/>
      <c r="W68" s="3"/>
      <c r="X68" s="2"/>
      <c r="Y68" s="2"/>
      <c r="Z68" s="2"/>
    </row>
    <row r="69">
      <c r="A69" s="1"/>
      <c r="B69" s="2"/>
      <c r="C69" s="2"/>
      <c r="D69" s="3"/>
      <c r="E69" s="3"/>
      <c r="F69" s="3"/>
      <c r="G69" s="2"/>
      <c r="H69" s="2"/>
      <c r="I69" s="2"/>
      <c r="J69" s="2"/>
      <c r="K69" s="3"/>
      <c r="L69" s="4"/>
      <c r="M69" s="2"/>
      <c r="N69" s="2"/>
      <c r="O69" s="2"/>
      <c r="P69" s="2"/>
      <c r="Q69" s="3"/>
      <c r="R69" s="9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36" t="s">
        <v>91</v>
      </c>
      <c r="C70" s="37">
        <v>22.0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9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1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 ht="15.75" customHeight="1">
      <c r="A73" s="1"/>
      <c r="B73" s="1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X74" s="3"/>
      <c r="Y74" s="3"/>
      <c r="Z74" s="3"/>
    </row>
    <row r="75" ht="15.75" customHeight="1">
      <c r="A75" s="39"/>
      <c r="B75" s="40" t="s">
        <v>92</v>
      </c>
      <c r="C75" s="41" t="s">
        <v>93</v>
      </c>
      <c r="D75" s="42" t="s">
        <v>94</v>
      </c>
      <c r="E75" s="42" t="s">
        <v>95</v>
      </c>
      <c r="F75" s="42" t="s">
        <v>96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9"/>
      <c r="X75" s="3"/>
      <c r="Y75" s="3"/>
      <c r="Z75" s="3"/>
    </row>
    <row r="76" ht="15.75" customHeight="1">
      <c r="A76" s="43"/>
      <c r="B76" s="44">
        <f>'13-01-2026 '!B146</f>
        <v>2924350</v>
      </c>
      <c r="C76" s="44">
        <f>'13-01-2026 '!C146</f>
        <v>65221.70094</v>
      </c>
      <c r="D76" s="44">
        <f>'13-01-2026 '!D146</f>
        <v>732847.3457</v>
      </c>
      <c r="E76" s="44">
        <f>'13-01-2026 '!E146</f>
        <v>0</v>
      </c>
      <c r="F76" s="44">
        <f>'13-01-2026 '!F146</f>
        <v>2642589.66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 ht="15.75" customHeight="1">
      <c r="A77" s="1"/>
      <c r="B77" s="46"/>
      <c r="C77" s="46"/>
      <c r="D77" s="46"/>
      <c r="E77" s="4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 ht="15.75" customHeight="1">
      <c r="A78" s="40" t="s">
        <v>97</v>
      </c>
      <c r="B78" s="47"/>
      <c r="C78" s="47"/>
      <c r="D78" s="47"/>
      <c r="E78" s="47"/>
      <c r="F78" s="48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 ht="15.75" customHeight="1">
      <c r="A79" s="13" t="s">
        <v>98</v>
      </c>
      <c r="B79" s="49">
        <v>0.0</v>
      </c>
      <c r="C79" s="49">
        <v>0.0</v>
      </c>
      <c r="D79" s="49">
        <v>0.0</v>
      </c>
      <c r="E79" s="49">
        <v>0.0</v>
      </c>
      <c r="F79" s="49">
        <v>0.0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 ht="15.75" customHeight="1">
      <c r="A80" s="13" t="s">
        <v>99</v>
      </c>
      <c r="B80" s="49">
        <v>0.0</v>
      </c>
      <c r="C80" s="49">
        <v>76.53</v>
      </c>
      <c r="D80" s="49">
        <v>0.0</v>
      </c>
      <c r="E80" s="49">
        <v>0.0</v>
      </c>
      <c r="F80" s="49">
        <v>0.0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 ht="15.75" customHeight="1">
      <c r="A81" s="13" t="s">
        <v>100</v>
      </c>
      <c r="B81" s="49">
        <v>0.0</v>
      </c>
      <c r="C81" s="49">
        <v>0.0</v>
      </c>
      <c r="D81" s="49">
        <v>0.0</v>
      </c>
      <c r="E81" s="49">
        <v>0.0</v>
      </c>
      <c r="F81" s="49">
        <v>0.0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 ht="15.75" customHeight="1">
      <c r="A82" s="13" t="s">
        <v>101</v>
      </c>
      <c r="B82" s="49">
        <v>0.0</v>
      </c>
      <c r="C82" s="49">
        <v>0.0</v>
      </c>
      <c r="D82" s="49">
        <v>0.0</v>
      </c>
      <c r="E82" s="49">
        <v>0.0</v>
      </c>
      <c r="F82" s="49">
        <v>0.0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 ht="15.75" customHeight="1">
      <c r="A83" s="13" t="s">
        <v>102</v>
      </c>
      <c r="B83" s="49">
        <v>0.0</v>
      </c>
      <c r="C83" s="49">
        <v>0.0</v>
      </c>
      <c r="D83" s="49">
        <v>0.0</v>
      </c>
      <c r="E83" s="49">
        <v>0.0</v>
      </c>
      <c r="F83" s="49">
        <v>0.0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13" t="s">
        <v>203</v>
      </c>
      <c r="B84" s="49">
        <v>0.0</v>
      </c>
      <c r="C84" s="50">
        <f>C79*2%</f>
        <v>0</v>
      </c>
      <c r="D84" s="49">
        <v>0.0</v>
      </c>
      <c r="E84" s="49">
        <v>0.0</v>
      </c>
      <c r="F84" s="49">
        <v>0.0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13" t="s">
        <v>103</v>
      </c>
      <c r="B85" s="49">
        <v>0.0</v>
      </c>
      <c r="C85" s="50">
        <f>C79*0.6%+C82*0.6%</f>
        <v>0</v>
      </c>
      <c r="D85" s="49">
        <f>SUM(D79:D81)*0.6%</f>
        <v>0</v>
      </c>
      <c r="E85" s="49">
        <v>0.0</v>
      </c>
      <c r="F85" s="49">
        <v>0.0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 ht="15.75" customHeight="1">
      <c r="A86" s="1"/>
      <c r="B86" s="46"/>
      <c r="C86" s="46"/>
      <c r="D86" s="46"/>
      <c r="E86" s="4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 ht="15.75" customHeight="1">
      <c r="A87" s="51" t="s">
        <v>8</v>
      </c>
      <c r="B87" s="52">
        <f>SUM(B76:B85)</f>
        <v>2924350</v>
      </c>
      <c r="C87" s="52">
        <f>C76+C79+C82+C83-C85+C80-C84</f>
        <v>65298.23094</v>
      </c>
      <c r="D87" s="53">
        <f>D76+D79+D82+D83-D85+D81</f>
        <v>732847.3457</v>
      </c>
      <c r="E87" s="52">
        <f>E76+E79+E82+E83-E85</f>
        <v>0</v>
      </c>
      <c r="F87" s="54">
        <f>F76+F79+F82+F83-F85-D81</f>
        <v>2642589.66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1"/>
      <c r="B88" s="1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40" t="s">
        <v>104</v>
      </c>
      <c r="B89" s="47"/>
      <c r="C89" s="47"/>
      <c r="D89" s="47"/>
      <c r="E89" s="47"/>
      <c r="F89" s="48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13" t="s">
        <v>105</v>
      </c>
      <c r="B90" s="55">
        <v>1000.0</v>
      </c>
      <c r="C90" s="55">
        <v>0.0</v>
      </c>
      <c r="D90" s="55">
        <v>0.0</v>
      </c>
      <c r="E90" s="55">
        <v>0.0</v>
      </c>
      <c r="F90" s="26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13" t="s">
        <v>106</v>
      </c>
      <c r="B91" s="49"/>
      <c r="C91" s="49">
        <v>0.0</v>
      </c>
      <c r="D91" s="49">
        <v>0.0</v>
      </c>
      <c r="E91" s="49">
        <v>0.0</v>
      </c>
      <c r="F91" s="26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13" t="s">
        <v>107</v>
      </c>
      <c r="B92" s="55"/>
      <c r="C92" s="55">
        <v>0.0</v>
      </c>
      <c r="D92" s="49">
        <v>0.0</v>
      </c>
      <c r="E92" s="55">
        <v>0.0</v>
      </c>
      <c r="F92" s="26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13" t="s">
        <v>108</v>
      </c>
      <c r="B93" s="55">
        <v>2800.0</v>
      </c>
      <c r="C93" s="55">
        <v>0.0</v>
      </c>
      <c r="D93" s="55">
        <v>0.0</v>
      </c>
      <c r="E93" s="55">
        <v>0.0</v>
      </c>
      <c r="F93" s="26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13" t="s">
        <v>109</v>
      </c>
      <c r="B94" s="55"/>
      <c r="C94" s="55">
        <f>7350+132000</f>
        <v>139350</v>
      </c>
      <c r="D94" s="55">
        <v>0.0</v>
      </c>
      <c r="E94" s="55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3" t="s">
        <v>110</v>
      </c>
      <c r="B95" s="55"/>
      <c r="C95" s="55">
        <v>40000.0</v>
      </c>
      <c r="D95" s="55">
        <v>0.0</v>
      </c>
      <c r="E95" s="55">
        <v>0.0</v>
      </c>
      <c r="F95" s="26"/>
      <c r="G95" s="2"/>
      <c r="H95" s="56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13" t="s">
        <v>111</v>
      </c>
      <c r="B96" s="49">
        <v>0.0</v>
      </c>
      <c r="C96" s="49">
        <v>0.0</v>
      </c>
      <c r="D96" s="49">
        <v>0.0</v>
      </c>
      <c r="E96" s="49">
        <v>0.0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3" t="s">
        <v>112</v>
      </c>
      <c r="B97" s="49">
        <v>0.0</v>
      </c>
      <c r="C97" s="49">
        <v>0.0</v>
      </c>
      <c r="D97" s="49">
        <v>0.0</v>
      </c>
      <c r="E97" s="49">
        <v>0.0</v>
      </c>
      <c r="F97" s="26"/>
      <c r="G97" s="2"/>
      <c r="H97" s="56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13" t="s">
        <v>113</v>
      </c>
      <c r="B98" s="49">
        <v>0.0</v>
      </c>
      <c r="C98" s="49">
        <v>0.0</v>
      </c>
      <c r="D98" s="49">
        <v>0.0</v>
      </c>
      <c r="E98" s="49">
        <v>0.0</v>
      </c>
      <c r="F98" s="26"/>
      <c r="G98" s="2"/>
      <c r="H98" s="56"/>
      <c r="I98" s="2"/>
      <c r="J98" s="2"/>
      <c r="K98" s="2"/>
      <c r="L98" s="2"/>
      <c r="M98" s="2"/>
      <c r="N98" s="2"/>
      <c r="O98" s="2"/>
      <c r="P98" s="2"/>
      <c r="Q98" s="3"/>
      <c r="R98" s="9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114</v>
      </c>
      <c r="B99" s="55">
        <v>0.0</v>
      </c>
      <c r="C99" s="55">
        <v>0.0</v>
      </c>
      <c r="D99" s="55">
        <v>0.0</v>
      </c>
      <c r="E99" s="55">
        <v>0.0</v>
      </c>
      <c r="F99" s="26"/>
      <c r="G99" s="2"/>
      <c r="H99" s="56"/>
      <c r="I99" s="2"/>
      <c r="J99" s="2"/>
      <c r="K99" s="2"/>
      <c r="L99" s="2"/>
      <c r="M99" s="2"/>
      <c r="N99" s="2"/>
      <c r="O99" s="2"/>
      <c r="P99" s="2"/>
      <c r="Q99" s="3"/>
      <c r="R99" s="9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3" t="s">
        <v>115</v>
      </c>
      <c r="B100" s="55">
        <v>0.0</v>
      </c>
      <c r="C100" s="55">
        <v>0.0</v>
      </c>
      <c r="D100" s="55">
        <v>0.0</v>
      </c>
      <c r="E100" s="55">
        <v>0.0</v>
      </c>
      <c r="F100" s="26"/>
      <c r="G100" s="2"/>
      <c r="H100" s="56"/>
      <c r="I100" s="2"/>
      <c r="J100" s="2"/>
      <c r="K100" s="2"/>
      <c r="L100" s="2"/>
      <c r="M100" s="2"/>
      <c r="N100" s="2"/>
      <c r="O100" s="2"/>
      <c r="P100" s="2"/>
      <c r="Q100" s="3"/>
      <c r="R100" s="9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3" t="s">
        <v>116</v>
      </c>
      <c r="B101" s="50">
        <v>0.0</v>
      </c>
      <c r="C101" s="50">
        <v>0.0</v>
      </c>
      <c r="D101" s="49">
        <v>0.0</v>
      </c>
      <c r="E101" s="49">
        <v>0.0</v>
      </c>
      <c r="F101" s="2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117</v>
      </c>
      <c r="B102" s="50">
        <v>0.0</v>
      </c>
      <c r="C102" s="50">
        <v>0.0</v>
      </c>
      <c r="D102" s="49">
        <v>0.0</v>
      </c>
      <c r="E102" s="49">
        <v>0.0</v>
      </c>
      <c r="F102" s="26"/>
      <c r="G102" s="2"/>
      <c r="H102" s="56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118</v>
      </c>
      <c r="B103" s="50">
        <v>0.0</v>
      </c>
      <c r="C103" s="50">
        <v>0.0</v>
      </c>
      <c r="D103" s="49">
        <v>0.0</v>
      </c>
      <c r="E103" s="49">
        <v>0.0</v>
      </c>
      <c r="F103" s="2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3" t="s">
        <v>119</v>
      </c>
      <c r="B104" s="50">
        <v>0.0</v>
      </c>
      <c r="C104" s="50">
        <v>0.0</v>
      </c>
      <c r="D104" s="49">
        <v>0.0</v>
      </c>
      <c r="E104" s="49">
        <v>0.0</v>
      </c>
      <c r="F104" s="2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9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3" t="s">
        <v>120</v>
      </c>
      <c r="B105" s="50">
        <v>0.0</v>
      </c>
      <c r="C105" s="50">
        <v>0.0</v>
      </c>
      <c r="D105" s="49">
        <v>0.0</v>
      </c>
      <c r="E105" s="49">
        <v>0.0</v>
      </c>
      <c r="F105" s="2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9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3" t="s">
        <v>121</v>
      </c>
      <c r="B106" s="50">
        <v>0.0</v>
      </c>
      <c r="C106" s="50">
        <v>0.0</v>
      </c>
      <c r="D106" s="49">
        <v>0.0</v>
      </c>
      <c r="E106" s="49">
        <v>0.0</v>
      </c>
      <c r="F106" s="2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3" t="s">
        <v>122</v>
      </c>
      <c r="B107" s="49">
        <v>0.0</v>
      </c>
      <c r="C107" s="49">
        <v>0.0</v>
      </c>
      <c r="D107" s="49">
        <v>0.0</v>
      </c>
      <c r="E107" s="49">
        <v>0.0</v>
      </c>
      <c r="F107" s="2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3" t="s">
        <v>230</v>
      </c>
      <c r="B108" s="49">
        <v>0.0</v>
      </c>
      <c r="C108" s="49">
        <v>0.0</v>
      </c>
      <c r="D108" s="49">
        <v>0.0</v>
      </c>
      <c r="E108" s="49">
        <v>0.0</v>
      </c>
      <c r="F108" s="2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3" t="s">
        <v>123</v>
      </c>
      <c r="B109" s="49">
        <v>0.0</v>
      </c>
      <c r="C109" s="49">
        <v>0.0</v>
      </c>
      <c r="D109" s="49">
        <v>0.0</v>
      </c>
      <c r="E109" s="49">
        <v>0.0</v>
      </c>
      <c r="F109" s="2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3" t="s">
        <v>124</v>
      </c>
      <c r="B110" s="49">
        <v>0.0</v>
      </c>
      <c r="C110" s="49">
        <v>0.0</v>
      </c>
      <c r="D110" s="49">
        <v>0.0</v>
      </c>
      <c r="E110" s="49">
        <v>0.0</v>
      </c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125</v>
      </c>
      <c r="B111" s="50">
        <v>0.0</v>
      </c>
      <c r="C111" s="50">
        <v>0.0</v>
      </c>
      <c r="D111" s="49">
        <v>0.0</v>
      </c>
      <c r="E111" s="49">
        <v>0.0</v>
      </c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126</v>
      </c>
      <c r="B112" s="49">
        <v>0.0</v>
      </c>
      <c r="C112" s="49">
        <v>0.0</v>
      </c>
      <c r="D112" s="49">
        <v>0.0</v>
      </c>
      <c r="E112" s="49">
        <v>0.0</v>
      </c>
      <c r="F112" s="2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127</v>
      </c>
      <c r="B113" s="49">
        <v>0.0</v>
      </c>
      <c r="C113" s="49">
        <v>0.0</v>
      </c>
      <c r="D113" s="49">
        <v>0.0</v>
      </c>
      <c r="E113" s="49">
        <v>0.0</v>
      </c>
      <c r="F113" s="2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128</v>
      </c>
      <c r="B114" s="49">
        <v>0.0</v>
      </c>
      <c r="C114" s="49">
        <v>0.0</v>
      </c>
      <c r="D114" s="49">
        <v>0.0</v>
      </c>
      <c r="E114" s="49">
        <v>0.0</v>
      </c>
      <c r="F114" s="2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129</v>
      </c>
      <c r="B115" s="49">
        <v>0.0</v>
      </c>
      <c r="C115" s="49">
        <v>0.0</v>
      </c>
      <c r="D115" s="49">
        <v>0.0</v>
      </c>
      <c r="E115" s="49">
        <v>0.0</v>
      </c>
      <c r="F115" s="2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57"/>
      <c r="B116" s="49"/>
      <c r="C116" s="49"/>
      <c r="D116" s="49"/>
      <c r="E116" s="49"/>
      <c r="F116" s="2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130</v>
      </c>
      <c r="B117" s="50">
        <v>0.0</v>
      </c>
      <c r="C117" s="50">
        <f>SUM(C90:C114)*0.6%</f>
        <v>1076.1</v>
      </c>
      <c r="D117" s="50">
        <f>SUM(D90:D114)*0.6%+(D118*0.6%)</f>
        <v>900</v>
      </c>
      <c r="E117" s="50">
        <f>(E94*0.6%)+(E95*0.6%)+(E96*0.6%)+(E99*0.6%)+(E100*0.6%)</f>
        <v>0</v>
      </c>
      <c r="F117" s="2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131</v>
      </c>
      <c r="B118" s="50">
        <v>0.0</v>
      </c>
      <c r="C118" s="50">
        <f>150000</f>
        <v>150000</v>
      </c>
      <c r="D118" s="50">
        <v>150000.0</v>
      </c>
      <c r="E118" s="50">
        <f>SUM(E91:E116)*0.6%+(E119*0.6%)</f>
        <v>0</v>
      </c>
      <c r="F118" s="5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57"/>
      <c r="B119" s="57"/>
      <c r="C119" s="26"/>
      <c r="D119" s="2"/>
      <c r="E119" s="26"/>
      <c r="F119" s="2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59" t="s">
        <v>132</v>
      </c>
      <c r="B120" s="60">
        <f>SUM(B90:B119)</f>
        <v>3800</v>
      </c>
      <c r="C120" s="60">
        <f>SUM(C90:C117)</f>
        <v>180426.1</v>
      </c>
      <c r="D120" s="60">
        <f>SUM(D90:D118)</f>
        <v>150900</v>
      </c>
      <c r="E120" s="60">
        <f>E101+E105+E117-E118</f>
        <v>0</v>
      </c>
      <c r="F120" s="61" t="str">
        <f>F94</f>
        <v/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57"/>
      <c r="B121" s="57"/>
      <c r="C121" s="26"/>
      <c r="D121" s="26"/>
      <c r="E121" s="26"/>
      <c r="F121" s="2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59" t="s">
        <v>133</v>
      </c>
      <c r="B122" s="62">
        <f>B87-B120</f>
        <v>2920550</v>
      </c>
      <c r="C122" s="63">
        <f>C87-C120+C118</f>
        <v>34872.13094</v>
      </c>
      <c r="D122" s="63">
        <f t="shared" ref="D122:F122" si="12">D87-D120</f>
        <v>581947.3457</v>
      </c>
      <c r="E122" s="64">
        <f t="shared" si="12"/>
        <v>0</v>
      </c>
      <c r="F122" s="64">
        <f t="shared" si="12"/>
        <v>2642589.66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65" t="s">
        <v>134</v>
      </c>
      <c r="B124" s="66">
        <f>16000-B90-B93</f>
        <v>12200</v>
      </c>
      <c r="C124" s="46"/>
      <c r="D124" s="46"/>
      <c r="E124" s="46"/>
      <c r="F124" s="4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9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65" t="s">
        <v>135</v>
      </c>
      <c r="B125" s="66">
        <v>2908350.0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2"/>
      <c r="B126" s="46" t="s">
        <v>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46">
        <f>SUM(B124:B125)</f>
        <v>2920550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9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9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9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9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9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9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9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9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9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9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9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9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9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9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9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9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9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2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2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3"/>
      <c r="T201" s="3"/>
      <c r="U201" s="9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9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9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9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9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9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9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3"/>
      <c r="T243" s="3"/>
      <c r="U243" s="9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9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9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46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46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46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46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46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46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46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46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46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46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46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46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46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46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46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9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46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46"/>
      <c r="R288" s="46"/>
      <c r="S288" s="3"/>
      <c r="T288" s="3"/>
      <c r="U288" s="9"/>
      <c r="V288" s="3"/>
      <c r="W288" s="3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9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46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46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46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46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46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9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9"/>
      <c r="T334" s="3"/>
      <c r="U334" s="2"/>
      <c r="V334" s="3"/>
      <c r="W334" s="3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9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9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9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9"/>
      <c r="T351" s="3"/>
      <c r="U351" s="2"/>
      <c r="V351" s="3"/>
      <c r="W351" s="3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9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9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9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9"/>
      <c r="T362" s="3"/>
      <c r="U362" s="2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9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9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3"/>
      <c r="T378" s="3"/>
      <c r="U378" s="9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9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9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3"/>
      <c r="T392" s="9"/>
      <c r="U392" s="2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9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9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9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9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3"/>
      <c r="T404" s="9"/>
      <c r="U404" s="2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9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9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67"/>
      <c r="R419" s="2"/>
      <c r="S419" s="2"/>
      <c r="T419" s="3"/>
      <c r="U419" s="2"/>
      <c r="V419" s="2"/>
      <c r="W419" s="2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3"/>
      <c r="T420" s="3"/>
      <c r="U420" s="3"/>
      <c r="V420" s="2"/>
      <c r="W420" s="2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8"/>
      <c r="R422" s="38"/>
      <c r="S422" s="38"/>
      <c r="T422" s="38"/>
      <c r="U422" s="38"/>
      <c r="V422" s="38"/>
      <c r="W422" s="38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3"/>
      <c r="T423" s="3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"/>
      <c r="R424" s="2"/>
      <c r="S424" s="3"/>
      <c r="T424" s="3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68"/>
      <c r="R426" s="69"/>
      <c r="S426" s="70"/>
      <c r="T426" s="70"/>
      <c r="U426" s="70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1"/>
      <c r="R427" s="71"/>
      <c r="S427" s="71"/>
      <c r="T427" s="71"/>
      <c r="U427" s="71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46"/>
      <c r="R428" s="46"/>
      <c r="S428" s="46"/>
      <c r="T428" s="46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46"/>
      <c r="R430" s="46"/>
      <c r="S430" s="46"/>
      <c r="T430" s="46"/>
      <c r="U430" s="46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6"/>
      <c r="R431" s="46"/>
      <c r="S431" s="46"/>
      <c r="T431" s="46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"/>
      <c r="R432" s="46"/>
      <c r="S432" s="46"/>
      <c r="T432" s="46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6"/>
      <c r="R433" s="46"/>
      <c r="S433" s="46"/>
      <c r="T433" s="46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"/>
      <c r="R434" s="46"/>
      <c r="S434" s="46"/>
      <c r="T434" s="46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2"/>
      <c r="R435" s="72"/>
      <c r="S435" s="72"/>
      <c r="T435" s="72"/>
      <c r="U435" s="73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"/>
      <c r="R436" s="2"/>
      <c r="S436" s="3"/>
      <c r="T436" s="3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56"/>
      <c r="R438" s="56"/>
      <c r="S438" s="56"/>
      <c r="T438" s="56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56"/>
      <c r="R439" s="56"/>
      <c r="S439" s="56"/>
      <c r="T439" s="56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56"/>
      <c r="R440" s="56"/>
      <c r="S440" s="56"/>
      <c r="T440" s="56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56"/>
      <c r="R441" s="56"/>
      <c r="S441" s="56"/>
      <c r="T441" s="56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6"/>
      <c r="R442" s="56"/>
      <c r="S442" s="56"/>
      <c r="T442" s="56"/>
      <c r="U442" s="2"/>
      <c r="V442" s="2"/>
      <c r="W442" s="56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6"/>
      <c r="R443" s="56"/>
      <c r="S443" s="56"/>
      <c r="T443" s="56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6"/>
      <c r="R444" s="56"/>
      <c r="S444" s="56"/>
      <c r="T444" s="56"/>
      <c r="U444" s="2"/>
      <c r="V444" s="2"/>
      <c r="W444" s="56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6"/>
      <c r="R445" s="56"/>
      <c r="S445" s="56"/>
      <c r="T445" s="56"/>
      <c r="U445" s="2"/>
      <c r="V445" s="2"/>
      <c r="W445" s="56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6"/>
      <c r="R446" s="46"/>
      <c r="S446" s="46"/>
      <c r="T446" s="46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46"/>
      <c r="R447" s="46"/>
      <c r="S447" s="46"/>
      <c r="T447" s="46"/>
      <c r="U447" s="2"/>
      <c r="V447" s="2"/>
      <c r="W447" s="56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"/>
      <c r="R448" s="46"/>
      <c r="S448" s="46"/>
      <c r="T448" s="46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46"/>
      <c r="R449" s="46"/>
      <c r="S449" s="46"/>
      <c r="T449" s="46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"/>
      <c r="R450" s="46"/>
      <c r="S450" s="46"/>
      <c r="T450" s="46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6"/>
      <c r="R451" s="46"/>
      <c r="S451" s="46"/>
      <c r="T451" s="46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6"/>
      <c r="R453" s="46"/>
      <c r="S453" s="46"/>
      <c r="T453" s="46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46"/>
      <c r="S454" s="46"/>
      <c r="T454" s="46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"/>
      <c r="R455" s="46"/>
      <c r="S455" s="46"/>
      <c r="T455" s="46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2"/>
      <c r="R457" s="72"/>
      <c r="S457" s="72"/>
      <c r="T457" s="72"/>
      <c r="U457" s="73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1"/>
      <c r="R459" s="72"/>
      <c r="S459" s="72"/>
      <c r="T459" s="74"/>
      <c r="U459" s="74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46"/>
      <c r="R461" s="46"/>
      <c r="S461" s="46"/>
      <c r="T461" s="46"/>
      <c r="U461" s="46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6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</sheetData>
  <mergeCells count="8">
    <mergeCell ref="I3:K3"/>
    <mergeCell ref="A70:B70"/>
    <mergeCell ref="U74:W74"/>
    <mergeCell ref="A75:A76"/>
    <mergeCell ref="A78:F78"/>
    <mergeCell ref="A89:F89"/>
    <mergeCell ref="U130:W130"/>
    <mergeCell ref="U165:W165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232</v>
      </c>
      <c r="F3" s="7">
        <v>46037.0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2.0</v>
      </c>
      <c r="B6" s="12" t="s">
        <v>32</v>
      </c>
      <c r="C6" s="14" t="s">
        <v>192</v>
      </c>
      <c r="D6" s="15">
        <v>30000.0</v>
      </c>
      <c r="E6" s="15">
        <f t="shared" ref="E6:E17" si="1">A6*D6</f>
        <v>60000</v>
      </c>
      <c r="F6" s="15">
        <f t="shared" ref="F6:F17" si="2">E6*1.105</f>
        <v>66300</v>
      </c>
      <c r="G6" s="3"/>
      <c r="H6" s="3" t="s">
        <v>2</v>
      </c>
      <c r="I6" s="16">
        <v>30000.0</v>
      </c>
      <c r="J6" s="15">
        <f t="shared" ref="J6:J17" si="3">I6*A6</f>
        <v>60000</v>
      </c>
      <c r="K6" s="15">
        <f t="shared" ref="K6:K17" si="4">F6-J6</f>
        <v>6300</v>
      </c>
      <c r="L6" s="25" t="s">
        <v>2</v>
      </c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6.0</v>
      </c>
      <c r="B7" s="12" t="s">
        <v>28</v>
      </c>
      <c r="C7" s="14" t="s">
        <v>74</v>
      </c>
      <c r="D7" s="15">
        <v>1000.0</v>
      </c>
      <c r="E7" s="15">
        <f t="shared" si="1"/>
        <v>6000</v>
      </c>
      <c r="F7" s="15">
        <f t="shared" si="2"/>
        <v>6630</v>
      </c>
      <c r="G7" s="3"/>
      <c r="H7" s="3" t="s">
        <v>2</v>
      </c>
      <c r="I7" s="16">
        <v>500.0</v>
      </c>
      <c r="J7" s="15">
        <f t="shared" si="3"/>
        <v>3000</v>
      </c>
      <c r="K7" s="15">
        <f t="shared" si="4"/>
        <v>3630</v>
      </c>
      <c r="L7" s="25" t="s">
        <v>2</v>
      </c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32</v>
      </c>
      <c r="C8" s="14" t="s">
        <v>35</v>
      </c>
      <c r="D8" s="15">
        <v>32000.0</v>
      </c>
      <c r="E8" s="15">
        <f t="shared" si="1"/>
        <v>64000</v>
      </c>
      <c r="F8" s="15">
        <f t="shared" si="2"/>
        <v>70720</v>
      </c>
      <c r="G8" s="3"/>
      <c r="H8" s="3" t="s">
        <v>2</v>
      </c>
      <c r="I8" s="16">
        <v>25000.0</v>
      </c>
      <c r="J8" s="15">
        <f t="shared" si="3"/>
        <v>50000</v>
      </c>
      <c r="K8" s="15">
        <f t="shared" si="4"/>
        <v>20720</v>
      </c>
      <c r="L8" s="25" t="s">
        <v>2</v>
      </c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4.0</v>
      </c>
      <c r="B9" s="12" t="s">
        <v>13</v>
      </c>
      <c r="C9" s="14" t="s">
        <v>19</v>
      </c>
      <c r="D9" s="15">
        <v>38000.0</v>
      </c>
      <c r="E9" s="15">
        <f t="shared" si="1"/>
        <v>152000</v>
      </c>
      <c r="F9" s="15">
        <f t="shared" si="2"/>
        <v>167960</v>
      </c>
      <c r="G9" s="6" t="s">
        <v>2</v>
      </c>
      <c r="H9" s="3" t="s">
        <v>2</v>
      </c>
      <c r="I9" s="16">
        <v>28000.0</v>
      </c>
      <c r="J9" s="15">
        <f t="shared" si="3"/>
        <v>112000</v>
      </c>
      <c r="K9" s="15">
        <f t="shared" si="4"/>
        <v>55960</v>
      </c>
      <c r="L9" s="4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4.0</v>
      </c>
      <c r="B10" s="12" t="s">
        <v>13</v>
      </c>
      <c r="C10" s="14" t="s">
        <v>15</v>
      </c>
      <c r="D10" s="15">
        <v>35000.0</v>
      </c>
      <c r="E10" s="15">
        <f t="shared" si="1"/>
        <v>140000</v>
      </c>
      <c r="F10" s="15">
        <f t="shared" si="2"/>
        <v>154700</v>
      </c>
      <c r="G10" s="6" t="s">
        <v>2</v>
      </c>
      <c r="H10" s="3" t="s">
        <v>2</v>
      </c>
      <c r="I10" s="16">
        <v>30000.0</v>
      </c>
      <c r="J10" s="15">
        <f t="shared" si="3"/>
        <v>120000</v>
      </c>
      <c r="K10" s="15">
        <f t="shared" si="4"/>
        <v>34700</v>
      </c>
      <c r="L10" s="4"/>
      <c r="N10" s="21"/>
      <c r="P10" s="21"/>
      <c r="Q10" s="21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2.0</v>
      </c>
      <c r="B11" s="12" t="s">
        <v>13</v>
      </c>
      <c r="C11" s="14" t="s">
        <v>206</v>
      </c>
      <c r="D11" s="15">
        <v>70000.0</v>
      </c>
      <c r="E11" s="15">
        <f t="shared" si="1"/>
        <v>140000</v>
      </c>
      <c r="F11" s="15">
        <f t="shared" si="2"/>
        <v>154700</v>
      </c>
      <c r="G11" s="3"/>
      <c r="H11" s="3"/>
      <c r="I11" s="6">
        <v>40000.0</v>
      </c>
      <c r="J11" s="15">
        <f t="shared" si="3"/>
        <v>80000</v>
      </c>
      <c r="K11" s="15">
        <f t="shared" si="4"/>
        <v>74700</v>
      </c>
      <c r="L11" s="22"/>
      <c r="M11" s="2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1.0</v>
      </c>
      <c r="B12" s="12" t="s">
        <v>13</v>
      </c>
      <c r="C12" s="14" t="s">
        <v>220</v>
      </c>
      <c r="D12" s="15">
        <v>32000.0</v>
      </c>
      <c r="E12" s="15">
        <f t="shared" si="1"/>
        <v>32000</v>
      </c>
      <c r="F12" s="15">
        <f t="shared" si="2"/>
        <v>35360</v>
      </c>
      <c r="G12" s="3"/>
      <c r="H12" s="3"/>
      <c r="I12" s="6">
        <v>30000.0</v>
      </c>
      <c r="J12" s="15">
        <f t="shared" si="3"/>
        <v>30000</v>
      </c>
      <c r="K12" s="15">
        <f t="shared" si="4"/>
        <v>5360</v>
      </c>
      <c r="L12" s="22"/>
      <c r="M12" s="2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1.0</v>
      </c>
      <c r="B13" s="12" t="s">
        <v>13</v>
      </c>
      <c r="C13" s="14" t="s">
        <v>153</v>
      </c>
      <c r="D13" s="15">
        <v>32000.0</v>
      </c>
      <c r="E13" s="15">
        <f t="shared" si="1"/>
        <v>32000</v>
      </c>
      <c r="F13" s="15">
        <f t="shared" si="2"/>
        <v>35360</v>
      </c>
      <c r="G13" s="3"/>
      <c r="H13" s="3"/>
      <c r="I13" s="6">
        <v>35000.0</v>
      </c>
      <c r="J13" s="15">
        <f t="shared" si="3"/>
        <v>35000</v>
      </c>
      <c r="K13" s="15">
        <f t="shared" si="4"/>
        <v>360</v>
      </c>
      <c r="L13" s="22"/>
      <c r="M13" s="2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32</v>
      </c>
      <c r="C14" s="14" t="s">
        <v>35</v>
      </c>
      <c r="D14" s="15">
        <v>32000.0</v>
      </c>
      <c r="E14" s="15">
        <f t="shared" si="1"/>
        <v>32000</v>
      </c>
      <c r="F14" s="15">
        <f t="shared" si="2"/>
        <v>35360</v>
      </c>
      <c r="G14" s="6" t="s">
        <v>42</v>
      </c>
      <c r="H14" s="3"/>
      <c r="I14" s="6">
        <v>0.0</v>
      </c>
      <c r="J14" s="15">
        <f t="shared" si="3"/>
        <v>0</v>
      </c>
      <c r="K14" s="15">
        <f t="shared" si="4"/>
        <v>35360</v>
      </c>
      <c r="L14" s="22"/>
      <c r="M14" s="2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32</v>
      </c>
      <c r="C15" s="14" t="s">
        <v>50</v>
      </c>
      <c r="D15" s="15">
        <v>30000.0</v>
      </c>
      <c r="E15" s="15">
        <f t="shared" si="1"/>
        <v>30000</v>
      </c>
      <c r="F15" s="15">
        <f t="shared" si="2"/>
        <v>33150</v>
      </c>
      <c r="G15" s="6" t="s">
        <v>42</v>
      </c>
      <c r="H15" s="3"/>
      <c r="I15" s="6">
        <v>0.0</v>
      </c>
      <c r="J15" s="15">
        <f t="shared" si="3"/>
        <v>0</v>
      </c>
      <c r="K15" s="15">
        <f t="shared" si="4"/>
        <v>33150</v>
      </c>
      <c r="L15" s="22"/>
      <c r="M15" s="2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13</v>
      </c>
      <c r="C16" s="14" t="s">
        <v>206</v>
      </c>
      <c r="D16" s="15">
        <v>70000.0</v>
      </c>
      <c r="E16" s="15">
        <f t="shared" si="1"/>
        <v>70000</v>
      </c>
      <c r="F16" s="15">
        <f t="shared" si="2"/>
        <v>77350</v>
      </c>
      <c r="G16" s="6" t="s">
        <v>42</v>
      </c>
      <c r="H16" s="3"/>
      <c r="I16" s="6">
        <v>0.0</v>
      </c>
      <c r="J16" s="15">
        <f t="shared" si="3"/>
        <v>0</v>
      </c>
      <c r="K16" s="15">
        <f t="shared" si="4"/>
        <v>77350</v>
      </c>
      <c r="L16" s="22"/>
      <c r="M16" s="2"/>
      <c r="N16" s="21"/>
      <c r="P16" s="21"/>
      <c r="Q16" s="21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13</v>
      </c>
      <c r="C17" s="14" t="s">
        <v>153</v>
      </c>
      <c r="D17" s="15">
        <v>32000.0</v>
      </c>
      <c r="E17" s="15">
        <f t="shared" si="1"/>
        <v>32000</v>
      </c>
      <c r="F17" s="15">
        <f t="shared" si="2"/>
        <v>35360</v>
      </c>
      <c r="G17" s="6" t="s">
        <v>46</v>
      </c>
      <c r="H17" s="3"/>
      <c r="I17" s="6">
        <v>0.0</v>
      </c>
      <c r="J17" s="15">
        <f t="shared" si="3"/>
        <v>0</v>
      </c>
      <c r="K17" s="15">
        <f t="shared" si="4"/>
        <v>35360</v>
      </c>
      <c r="L17" s="22"/>
      <c r="M17" s="2"/>
      <c r="N17" s="21"/>
      <c r="P17" s="21"/>
      <c r="Q17" s="21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/>
      <c r="B18" s="12"/>
      <c r="C18" s="14"/>
      <c r="D18" s="15"/>
      <c r="E18" s="15"/>
      <c r="F18" s="15"/>
      <c r="G18" s="3"/>
      <c r="H18" s="3"/>
      <c r="I18" s="3"/>
      <c r="J18" s="3"/>
      <c r="K18" s="15"/>
      <c r="L18" s="22"/>
      <c r="M18" s="2"/>
      <c r="N18" s="21"/>
      <c r="P18" s="21"/>
      <c r="Q18" s="21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/>
      <c r="B19" s="12"/>
      <c r="C19" s="14"/>
      <c r="D19" s="15"/>
      <c r="E19" s="15">
        <f t="shared" ref="E19:F19" si="5">SUM(E6:E17)</f>
        <v>790000</v>
      </c>
      <c r="F19" s="15">
        <f t="shared" si="5"/>
        <v>872950</v>
      </c>
      <c r="G19" s="3"/>
      <c r="H19" s="3"/>
      <c r="I19" s="3"/>
      <c r="J19" s="3"/>
      <c r="K19" s="15">
        <f>SUM(K6:K17)</f>
        <v>382950</v>
      </c>
      <c r="L19" s="22">
        <f>K19/F19</f>
        <v>0.438684919</v>
      </c>
      <c r="M19" s="2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23"/>
      <c r="B21" s="23"/>
      <c r="C21" s="23"/>
      <c r="D21" s="7"/>
      <c r="E21" s="24"/>
      <c r="F21" s="7"/>
      <c r="G21" s="6"/>
      <c r="H21" s="3"/>
      <c r="I21" s="8"/>
      <c r="J21" s="8"/>
      <c r="K21" s="8"/>
      <c r="L21" s="4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5" t="s">
        <v>183</v>
      </c>
      <c r="B22" s="1"/>
      <c r="C22" s="1"/>
      <c r="D22" s="25" t="s">
        <v>167</v>
      </c>
      <c r="E22" s="7">
        <v>46037.0</v>
      </c>
      <c r="F22" s="28"/>
      <c r="G22" s="24"/>
      <c r="H22" s="24"/>
      <c r="I22" s="16"/>
      <c r="J22" s="16"/>
      <c r="K22" s="16"/>
      <c r="L22" s="29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"/>
      <c r="B23" s="3"/>
      <c r="C23" s="2"/>
      <c r="D23" s="3"/>
      <c r="E23" s="3"/>
      <c r="F23" s="24"/>
      <c r="G23" s="24"/>
      <c r="H23" s="24"/>
      <c r="I23" s="16"/>
      <c r="J23" s="16"/>
      <c r="K23" s="16"/>
      <c r="L23" s="29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5" t="s">
        <v>4</v>
      </c>
      <c r="B24" s="10" t="s">
        <v>5</v>
      </c>
      <c r="C24" s="11" t="s">
        <v>6</v>
      </c>
      <c r="D24" s="10" t="s">
        <v>7</v>
      </c>
      <c r="E24" s="10" t="s">
        <v>8</v>
      </c>
      <c r="F24" s="12"/>
      <c r="G24" s="24"/>
      <c r="H24" s="24"/>
      <c r="I24" s="10" t="s">
        <v>7</v>
      </c>
      <c r="J24" s="10" t="s">
        <v>8</v>
      </c>
      <c r="K24" s="10" t="s">
        <v>10</v>
      </c>
      <c r="L24" s="4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78">
        <v>3.0</v>
      </c>
      <c r="B25" s="10" t="s">
        <v>5</v>
      </c>
      <c r="C25" s="11" t="s">
        <v>69</v>
      </c>
      <c r="D25" s="15">
        <v>1000.0</v>
      </c>
      <c r="E25" s="15">
        <f t="shared" ref="E25:E39" si="6">A25*D25</f>
        <v>3000</v>
      </c>
      <c r="F25" s="16"/>
      <c r="G25" s="24"/>
      <c r="H25" s="24"/>
      <c r="I25" s="15">
        <f>560</f>
        <v>560</v>
      </c>
      <c r="J25" s="15">
        <f t="shared" ref="J25:J39" si="7">I25*A25</f>
        <v>1680</v>
      </c>
      <c r="K25" s="15">
        <f t="shared" ref="K25:K39" si="8">E25-J25</f>
        <v>1320</v>
      </c>
      <c r="L25" s="25" t="s">
        <v>2</v>
      </c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78">
        <v>2.0</v>
      </c>
      <c r="B26" s="10" t="s">
        <v>17</v>
      </c>
      <c r="C26" s="11" t="s">
        <v>19</v>
      </c>
      <c r="D26" s="15">
        <v>3000.0</v>
      </c>
      <c r="E26" s="15">
        <f t="shared" si="6"/>
        <v>6000</v>
      </c>
      <c r="F26" s="16"/>
      <c r="G26" s="32" t="s">
        <v>2</v>
      </c>
      <c r="H26" s="24"/>
      <c r="I26" s="15">
        <v>0.0</v>
      </c>
      <c r="J26" s="15">
        <f t="shared" si="7"/>
        <v>0</v>
      </c>
      <c r="K26" s="15">
        <f t="shared" si="8"/>
        <v>6000</v>
      </c>
      <c r="L26" s="25" t="s">
        <v>2</v>
      </c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78">
        <v>4.0</v>
      </c>
      <c r="B27" s="10" t="s">
        <v>184</v>
      </c>
      <c r="C27" s="11" t="s">
        <v>185</v>
      </c>
      <c r="D27" s="15">
        <v>2500.0</v>
      </c>
      <c r="E27" s="15">
        <f t="shared" si="6"/>
        <v>10000</v>
      </c>
      <c r="F27" s="16"/>
      <c r="G27" s="24"/>
      <c r="H27" s="24"/>
      <c r="I27" s="15">
        <f>18000/12</f>
        <v>1500</v>
      </c>
      <c r="J27" s="15">
        <f t="shared" si="7"/>
        <v>6000</v>
      </c>
      <c r="K27" s="15">
        <f t="shared" si="8"/>
        <v>4000</v>
      </c>
      <c r="L27" s="25" t="s">
        <v>2</v>
      </c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78">
        <v>0.5</v>
      </c>
      <c r="B28" s="10" t="s">
        <v>17</v>
      </c>
      <c r="C28" s="11" t="s">
        <v>186</v>
      </c>
      <c r="D28" s="15">
        <v>19000.0</v>
      </c>
      <c r="E28" s="15">
        <f t="shared" si="6"/>
        <v>9500</v>
      </c>
      <c r="F28" s="16"/>
      <c r="G28" s="24"/>
      <c r="H28" s="24"/>
      <c r="I28" s="15">
        <v>16000.0</v>
      </c>
      <c r="J28" s="15">
        <f t="shared" si="7"/>
        <v>8000</v>
      </c>
      <c r="K28" s="15">
        <f t="shared" si="8"/>
        <v>1500</v>
      </c>
      <c r="L28" s="25" t="s">
        <v>2</v>
      </c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78">
        <v>2.0</v>
      </c>
      <c r="B29" s="10" t="s">
        <v>32</v>
      </c>
      <c r="C29" s="11" t="s">
        <v>152</v>
      </c>
      <c r="D29" s="15">
        <v>50000.0</v>
      </c>
      <c r="E29" s="15">
        <f t="shared" si="6"/>
        <v>100000</v>
      </c>
      <c r="F29" s="16"/>
      <c r="G29" s="32" t="s">
        <v>2</v>
      </c>
      <c r="H29" s="24"/>
      <c r="I29" s="15">
        <v>38000.0</v>
      </c>
      <c r="J29" s="15">
        <f t="shared" si="7"/>
        <v>76000</v>
      </c>
      <c r="K29" s="15">
        <f t="shared" si="8"/>
        <v>24000</v>
      </c>
      <c r="L29" s="25" t="s">
        <v>2</v>
      </c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78">
        <v>1.0</v>
      </c>
      <c r="B30" s="10" t="s">
        <v>17</v>
      </c>
      <c r="C30" s="11" t="s">
        <v>165</v>
      </c>
      <c r="D30" s="15">
        <v>13000.0</v>
      </c>
      <c r="E30" s="15">
        <f t="shared" si="6"/>
        <v>13000</v>
      </c>
      <c r="F30" s="16"/>
      <c r="G30" s="24"/>
      <c r="H30" s="24"/>
      <c r="I30" s="15">
        <v>10000.0</v>
      </c>
      <c r="J30" s="15">
        <f t="shared" si="7"/>
        <v>10000</v>
      </c>
      <c r="K30" s="15">
        <f t="shared" si="8"/>
        <v>3000</v>
      </c>
      <c r="L30" s="25" t="s">
        <v>2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78">
        <v>2.0</v>
      </c>
      <c r="B31" s="10" t="s">
        <v>17</v>
      </c>
      <c r="C31" s="11" t="s">
        <v>144</v>
      </c>
      <c r="D31" s="15">
        <v>4000.0</v>
      </c>
      <c r="E31" s="15">
        <f t="shared" si="6"/>
        <v>8000</v>
      </c>
      <c r="F31" s="16"/>
      <c r="G31" s="24"/>
      <c r="H31" s="24"/>
      <c r="I31" s="15">
        <v>3000.0</v>
      </c>
      <c r="J31" s="15">
        <f t="shared" si="7"/>
        <v>6000</v>
      </c>
      <c r="K31" s="15">
        <f t="shared" si="8"/>
        <v>2000</v>
      </c>
      <c r="L31" s="25" t="s">
        <v>2</v>
      </c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78">
        <v>3.0</v>
      </c>
      <c r="B32" s="10" t="s">
        <v>17</v>
      </c>
      <c r="C32" s="11" t="s">
        <v>45</v>
      </c>
      <c r="D32" s="15">
        <v>3200.0</v>
      </c>
      <c r="E32" s="15">
        <f t="shared" si="6"/>
        <v>9600</v>
      </c>
      <c r="F32" s="16"/>
      <c r="G32" s="24"/>
      <c r="H32" s="24"/>
      <c r="I32" s="15">
        <f>35000/15</f>
        <v>2333.333333</v>
      </c>
      <c r="J32" s="15">
        <f t="shared" si="7"/>
        <v>7000</v>
      </c>
      <c r="K32" s="15">
        <f t="shared" si="8"/>
        <v>2600</v>
      </c>
      <c r="L32" s="25" t="s">
        <v>2</v>
      </c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78">
        <v>2.0</v>
      </c>
      <c r="B33" s="10" t="s">
        <v>5</v>
      </c>
      <c r="C33" s="11" t="s">
        <v>55</v>
      </c>
      <c r="D33" s="15">
        <v>2500.0</v>
      </c>
      <c r="E33" s="15">
        <f t="shared" si="6"/>
        <v>5000</v>
      </c>
      <c r="F33" s="16"/>
      <c r="G33" s="24"/>
      <c r="H33" s="24"/>
      <c r="I33" s="15">
        <f>15000/9</f>
        <v>1666.666667</v>
      </c>
      <c r="J33" s="15">
        <f t="shared" si="7"/>
        <v>3333.333333</v>
      </c>
      <c r="K33" s="15">
        <f t="shared" si="8"/>
        <v>1666.666667</v>
      </c>
      <c r="L33" s="25" t="s">
        <v>2</v>
      </c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78">
        <v>1.0</v>
      </c>
      <c r="B34" s="10" t="s">
        <v>17</v>
      </c>
      <c r="C34" s="11" t="s">
        <v>206</v>
      </c>
      <c r="D34" s="15">
        <v>3200.0</v>
      </c>
      <c r="E34" s="15">
        <f t="shared" si="6"/>
        <v>3200</v>
      </c>
      <c r="F34" s="16"/>
      <c r="G34" s="24"/>
      <c r="H34" s="24"/>
      <c r="I34" s="15">
        <f>44000/18</f>
        <v>2444.444444</v>
      </c>
      <c r="J34" s="15">
        <f t="shared" si="7"/>
        <v>2444.444444</v>
      </c>
      <c r="K34" s="15">
        <f t="shared" si="8"/>
        <v>755.5555556</v>
      </c>
      <c r="L34" s="25" t="s">
        <v>2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78">
        <v>15.0</v>
      </c>
      <c r="B35" s="10" t="s">
        <v>5</v>
      </c>
      <c r="C35" s="11" t="s">
        <v>38</v>
      </c>
      <c r="D35" s="15">
        <v>1200.0</v>
      </c>
      <c r="E35" s="15">
        <f t="shared" si="6"/>
        <v>18000</v>
      </c>
      <c r="F35" s="16"/>
      <c r="G35" s="24"/>
      <c r="H35" s="24"/>
      <c r="I35" s="15">
        <f>65000/80</f>
        <v>812.5</v>
      </c>
      <c r="J35" s="15">
        <f t="shared" si="7"/>
        <v>12187.5</v>
      </c>
      <c r="K35" s="15">
        <f t="shared" si="8"/>
        <v>5812.5</v>
      </c>
      <c r="L35" s="25" t="s">
        <v>2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78">
        <v>1.0</v>
      </c>
      <c r="B36" s="10" t="s">
        <v>17</v>
      </c>
      <c r="C36" s="11" t="s">
        <v>192</v>
      </c>
      <c r="D36" s="15">
        <v>4000.0</v>
      </c>
      <c r="E36" s="15">
        <f t="shared" si="6"/>
        <v>4000</v>
      </c>
      <c r="F36" s="16"/>
      <c r="G36" s="24"/>
      <c r="H36" s="24"/>
      <c r="I36" s="15">
        <f>30000/8</f>
        <v>3750</v>
      </c>
      <c r="J36" s="15">
        <f t="shared" si="7"/>
        <v>3750</v>
      </c>
      <c r="K36" s="15">
        <f t="shared" si="8"/>
        <v>250</v>
      </c>
      <c r="L36" s="25" t="s">
        <v>2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78">
        <v>1.0</v>
      </c>
      <c r="B37" s="10" t="s">
        <v>32</v>
      </c>
      <c r="C37" s="11" t="s">
        <v>35</v>
      </c>
      <c r="D37" s="15">
        <v>30000.0</v>
      </c>
      <c r="E37" s="15">
        <f t="shared" si="6"/>
        <v>30000</v>
      </c>
      <c r="F37" s="16"/>
      <c r="G37" s="24"/>
      <c r="H37" s="24"/>
      <c r="I37" s="15">
        <v>22000.0</v>
      </c>
      <c r="J37" s="15">
        <f t="shared" si="7"/>
        <v>22000</v>
      </c>
      <c r="K37" s="15">
        <f t="shared" si="8"/>
        <v>8000</v>
      </c>
      <c r="L37" s="25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78">
        <v>1.0</v>
      </c>
      <c r="B38" s="10" t="s">
        <v>42</v>
      </c>
      <c r="C38" s="11" t="s">
        <v>68</v>
      </c>
      <c r="D38" s="15">
        <v>16000.0</v>
      </c>
      <c r="E38" s="15">
        <f t="shared" si="6"/>
        <v>16000</v>
      </c>
      <c r="F38" s="16"/>
      <c r="G38" s="24"/>
      <c r="H38" s="24"/>
      <c r="I38" s="15">
        <v>13000.0</v>
      </c>
      <c r="J38" s="15">
        <f t="shared" si="7"/>
        <v>13000</v>
      </c>
      <c r="K38" s="15">
        <f t="shared" si="8"/>
        <v>3000</v>
      </c>
      <c r="L38" s="25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78">
        <v>2.0</v>
      </c>
      <c r="B39" s="10" t="s">
        <v>17</v>
      </c>
      <c r="C39" s="11" t="s">
        <v>198</v>
      </c>
      <c r="D39" s="15">
        <v>2000.0</v>
      </c>
      <c r="E39" s="15">
        <f t="shared" si="6"/>
        <v>4000</v>
      </c>
      <c r="F39" s="16"/>
      <c r="G39" s="24"/>
      <c r="H39" s="24"/>
      <c r="I39" s="15">
        <f>20000/14</f>
        <v>1428.571429</v>
      </c>
      <c r="J39" s="15">
        <f t="shared" si="7"/>
        <v>2857.142857</v>
      </c>
      <c r="K39" s="15">
        <f t="shared" si="8"/>
        <v>1142.857143</v>
      </c>
      <c r="L39" s="25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"/>
      <c r="B40" s="3"/>
      <c r="C40" s="2"/>
      <c r="D40" s="3"/>
      <c r="E40" s="3"/>
      <c r="F40" s="3"/>
      <c r="G40" s="2"/>
      <c r="H40" s="2"/>
      <c r="I40" s="3"/>
      <c r="J40" s="3"/>
      <c r="K40" s="3"/>
      <c r="L40" s="4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"/>
      <c r="B41" s="3"/>
      <c r="C41" s="2"/>
      <c r="D41" s="3"/>
      <c r="E41" s="15">
        <f>SUM(E25:E39)</f>
        <v>239300</v>
      </c>
      <c r="F41" s="3"/>
      <c r="G41" s="2"/>
      <c r="H41" s="2"/>
      <c r="I41" s="2"/>
      <c r="J41" s="2"/>
      <c r="K41" s="15">
        <f>SUM(K25:K39)</f>
        <v>65047.57937</v>
      </c>
      <c r="L41" s="22">
        <f>K41/E41</f>
        <v>0.2718244019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33"/>
      <c r="B42" s="34"/>
      <c r="C42" s="2"/>
      <c r="D42" s="3"/>
      <c r="E42" s="3"/>
      <c r="F42" s="3"/>
      <c r="G42" s="2"/>
      <c r="H42" s="2"/>
      <c r="I42" s="2"/>
      <c r="J42" s="2"/>
      <c r="K42" s="3"/>
      <c r="L42" s="4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33"/>
      <c r="B43" s="34"/>
      <c r="C43" s="2"/>
      <c r="D43" s="3"/>
      <c r="E43" s="3"/>
      <c r="F43" s="3"/>
      <c r="G43" s="2"/>
      <c r="H43" s="2"/>
      <c r="I43" s="2"/>
      <c r="J43" s="2"/>
      <c r="K43" s="3"/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33"/>
      <c r="B44" s="34"/>
      <c r="C44" s="2"/>
      <c r="D44" s="3"/>
      <c r="E44" s="3"/>
      <c r="F44" s="3"/>
      <c r="G44" s="2"/>
      <c r="H44" s="2"/>
      <c r="I44" s="2"/>
      <c r="J44" s="2"/>
      <c r="K44" s="3"/>
      <c r="L44" s="4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23" t="s">
        <v>80</v>
      </c>
      <c r="B45" s="23"/>
      <c r="C45" s="23"/>
      <c r="D45" s="25" t="s">
        <v>233</v>
      </c>
      <c r="E45" s="7">
        <v>46035.0</v>
      </c>
      <c r="G45" s="24"/>
      <c r="H45" s="24"/>
      <c r="I45" s="16"/>
      <c r="J45" s="16"/>
      <c r="K45" s="16"/>
      <c r="L45" s="29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B46" s="24"/>
      <c r="C46" s="26"/>
      <c r="D46" s="24"/>
      <c r="E46" s="24"/>
      <c r="F46" s="24"/>
      <c r="G46" s="24"/>
      <c r="H46" s="24"/>
      <c r="I46" s="16"/>
      <c r="J46" s="16"/>
      <c r="K46" s="16"/>
      <c r="L46" s="29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5" t="s">
        <v>4</v>
      </c>
      <c r="B47" s="10" t="s">
        <v>5</v>
      </c>
      <c r="C47" s="11" t="s">
        <v>6</v>
      </c>
      <c r="D47" s="12" t="s">
        <v>7</v>
      </c>
      <c r="E47" s="10" t="s">
        <v>8</v>
      </c>
      <c r="F47" s="12"/>
      <c r="G47" s="24"/>
      <c r="H47" s="24"/>
      <c r="I47" s="12" t="s">
        <v>7</v>
      </c>
      <c r="J47" s="12" t="s">
        <v>8</v>
      </c>
      <c r="K47" s="12" t="s">
        <v>10</v>
      </c>
      <c r="L47" s="29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4.0</v>
      </c>
      <c r="B48" s="12" t="s">
        <v>28</v>
      </c>
      <c r="C48" s="14" t="s">
        <v>74</v>
      </c>
      <c r="D48" s="15">
        <v>1200.0</v>
      </c>
      <c r="E48" s="15">
        <f t="shared" ref="E48:E58" si="9">A48*D48</f>
        <v>4800</v>
      </c>
      <c r="F48" s="16"/>
      <c r="G48" s="24"/>
      <c r="H48" s="24"/>
      <c r="I48" s="15">
        <v>500.0</v>
      </c>
      <c r="J48" s="16">
        <f t="shared" ref="J48:J58" si="10">I48*A48</f>
        <v>2000</v>
      </c>
      <c r="K48" s="16">
        <f t="shared" ref="K48:K58" si="11">E48-J48</f>
        <v>2800</v>
      </c>
      <c r="L48" s="30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2.0</v>
      </c>
      <c r="B49" s="12" t="s">
        <v>5</v>
      </c>
      <c r="C49" s="14" t="s">
        <v>69</v>
      </c>
      <c r="D49" s="15">
        <v>1200.0</v>
      </c>
      <c r="E49" s="15">
        <f t="shared" si="9"/>
        <v>2400</v>
      </c>
      <c r="F49" s="16"/>
      <c r="G49" s="24"/>
      <c r="H49" s="24"/>
      <c r="I49" s="15">
        <v>560.0</v>
      </c>
      <c r="J49" s="16">
        <f t="shared" si="10"/>
        <v>1120</v>
      </c>
      <c r="K49" s="16">
        <f t="shared" si="11"/>
        <v>1280</v>
      </c>
      <c r="L49" s="30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1.0</v>
      </c>
      <c r="B50" s="12" t="s">
        <v>17</v>
      </c>
      <c r="C50" s="14" t="s">
        <v>168</v>
      </c>
      <c r="D50" s="15">
        <v>3000.0</v>
      </c>
      <c r="E50" s="15">
        <f t="shared" si="9"/>
        <v>3000</v>
      </c>
      <c r="F50" s="16"/>
      <c r="G50" s="24"/>
      <c r="H50" s="24"/>
      <c r="I50" s="15">
        <v>3000.0</v>
      </c>
      <c r="J50" s="16">
        <f t="shared" si="10"/>
        <v>3000</v>
      </c>
      <c r="K50" s="16">
        <f t="shared" si="11"/>
        <v>0</v>
      </c>
      <c r="L50" s="30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0.5</v>
      </c>
      <c r="B51" s="12" t="s">
        <v>32</v>
      </c>
      <c r="C51" s="14" t="s">
        <v>147</v>
      </c>
      <c r="D51" s="15">
        <v>12000.0</v>
      </c>
      <c r="E51" s="15">
        <f t="shared" si="9"/>
        <v>6000</v>
      </c>
      <c r="F51" s="16"/>
      <c r="G51" s="24"/>
      <c r="H51" s="24"/>
      <c r="I51" s="15">
        <v>6000.0</v>
      </c>
      <c r="J51" s="16">
        <f t="shared" si="10"/>
        <v>3000</v>
      </c>
      <c r="K51" s="16">
        <f t="shared" si="11"/>
        <v>3000</v>
      </c>
      <c r="L51" s="30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1.5</v>
      </c>
      <c r="B52" s="12" t="s">
        <v>17</v>
      </c>
      <c r="C52" s="14" t="s">
        <v>19</v>
      </c>
      <c r="D52" s="15">
        <v>3000.0</v>
      </c>
      <c r="E52" s="15">
        <f t="shared" si="9"/>
        <v>4500</v>
      </c>
      <c r="F52" s="16"/>
      <c r="G52" s="24"/>
      <c r="H52" s="24"/>
      <c r="I52" s="15">
        <v>0.0</v>
      </c>
      <c r="J52" s="16">
        <f t="shared" si="10"/>
        <v>0</v>
      </c>
      <c r="K52" s="16">
        <f t="shared" si="11"/>
        <v>4500</v>
      </c>
      <c r="L52" s="30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1.0</v>
      </c>
      <c r="B53" s="12" t="s">
        <v>17</v>
      </c>
      <c r="C53" s="14" t="s">
        <v>72</v>
      </c>
      <c r="D53" s="15">
        <v>3400.0</v>
      </c>
      <c r="E53" s="15">
        <f t="shared" si="9"/>
        <v>3400</v>
      </c>
      <c r="F53" s="16"/>
      <c r="G53" s="24"/>
      <c r="H53" s="24"/>
      <c r="I53" s="15">
        <f>44000/18</f>
        <v>2444.444444</v>
      </c>
      <c r="J53" s="16">
        <f t="shared" si="10"/>
        <v>2444.444444</v>
      </c>
      <c r="K53" s="16">
        <f t="shared" si="11"/>
        <v>955.5555556</v>
      </c>
      <c r="L53" s="30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2.0</v>
      </c>
      <c r="B54" s="12" t="s">
        <v>17</v>
      </c>
      <c r="C54" s="14" t="s">
        <v>20</v>
      </c>
      <c r="D54" s="15">
        <v>1600.0</v>
      </c>
      <c r="E54" s="15">
        <f t="shared" si="9"/>
        <v>3200</v>
      </c>
      <c r="F54" s="16"/>
      <c r="G54" s="24"/>
      <c r="H54" s="24"/>
      <c r="I54" s="15">
        <f>18000/15</f>
        <v>1200</v>
      </c>
      <c r="J54" s="16">
        <f t="shared" si="10"/>
        <v>2400</v>
      </c>
      <c r="K54" s="16">
        <f t="shared" si="11"/>
        <v>800</v>
      </c>
      <c r="L54" s="30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4.0</v>
      </c>
      <c r="B55" s="12" t="s">
        <v>184</v>
      </c>
      <c r="C55" s="14" t="s">
        <v>185</v>
      </c>
      <c r="D55" s="15">
        <v>2500.0</v>
      </c>
      <c r="E55" s="15">
        <f t="shared" si="9"/>
        <v>10000</v>
      </c>
      <c r="F55" s="16"/>
      <c r="G55" s="24"/>
      <c r="H55" s="24"/>
      <c r="I55" s="15">
        <f>18000/12</f>
        <v>1500</v>
      </c>
      <c r="J55" s="16">
        <f t="shared" si="10"/>
        <v>6000</v>
      </c>
      <c r="K55" s="16">
        <f t="shared" si="11"/>
        <v>4000</v>
      </c>
      <c r="L55" s="30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1.0</v>
      </c>
      <c r="B56" s="12" t="s">
        <v>17</v>
      </c>
      <c r="C56" s="14" t="s">
        <v>220</v>
      </c>
      <c r="D56" s="15">
        <v>4500.0</v>
      </c>
      <c r="E56" s="15">
        <f t="shared" si="9"/>
        <v>4500</v>
      </c>
      <c r="F56" s="16"/>
      <c r="G56" s="24"/>
      <c r="H56" s="24"/>
      <c r="I56" s="15">
        <f>30000/8</f>
        <v>3750</v>
      </c>
      <c r="J56" s="16">
        <f t="shared" si="10"/>
        <v>3750</v>
      </c>
      <c r="K56" s="16">
        <f t="shared" si="11"/>
        <v>750</v>
      </c>
      <c r="L56" s="30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0.5</v>
      </c>
      <c r="B57" s="12" t="s">
        <v>17</v>
      </c>
      <c r="C57" s="14" t="s">
        <v>165</v>
      </c>
      <c r="D57" s="15">
        <v>13000.0</v>
      </c>
      <c r="E57" s="15">
        <f t="shared" si="9"/>
        <v>6500</v>
      </c>
      <c r="F57" s="16"/>
      <c r="G57" s="24"/>
      <c r="H57" s="24"/>
      <c r="I57" s="15">
        <v>10000.0</v>
      </c>
      <c r="J57" s="16">
        <f t="shared" si="10"/>
        <v>5000</v>
      </c>
      <c r="K57" s="16">
        <f t="shared" si="11"/>
        <v>1500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0.5</v>
      </c>
      <c r="B58" s="12" t="s">
        <v>17</v>
      </c>
      <c r="C58" s="14" t="s">
        <v>153</v>
      </c>
      <c r="D58" s="15">
        <v>4500.0</v>
      </c>
      <c r="E58" s="15">
        <f t="shared" si="9"/>
        <v>2250</v>
      </c>
      <c r="F58" s="16"/>
      <c r="G58" s="24"/>
      <c r="H58" s="24"/>
      <c r="I58" s="15">
        <f>35000/12</f>
        <v>2916.666667</v>
      </c>
      <c r="J58" s="16">
        <f t="shared" si="10"/>
        <v>1458.333333</v>
      </c>
      <c r="K58" s="16">
        <f t="shared" si="11"/>
        <v>791.6666667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16"/>
      <c r="F59" s="16"/>
      <c r="G59" s="24"/>
      <c r="H59" s="24"/>
      <c r="I59" s="16"/>
      <c r="J59" s="16"/>
      <c r="K59" s="16"/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/>
      <c r="B60" s="12"/>
      <c r="C60" s="14"/>
      <c r="D60" s="15"/>
      <c r="E60" s="16">
        <f>SUM(E48:E58)</f>
        <v>50550</v>
      </c>
      <c r="F60" s="16"/>
      <c r="G60" s="24"/>
      <c r="H60" s="24"/>
      <c r="I60" s="16"/>
      <c r="J60" s="16"/>
      <c r="K60" s="16">
        <f>SUM(K48:K58)</f>
        <v>20377.22222</v>
      </c>
      <c r="L60" s="30">
        <f>K60/E60</f>
        <v>0.4031102319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33"/>
      <c r="B61" s="34"/>
      <c r="C61" s="2"/>
      <c r="D61" s="3"/>
      <c r="E61" s="3"/>
      <c r="F61" s="3"/>
      <c r="G61" s="2"/>
      <c r="H61" s="2"/>
      <c r="I61" s="2"/>
      <c r="J61" s="2"/>
      <c r="K61" s="3"/>
      <c r="L61" s="4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1"/>
      <c r="P62" s="21"/>
      <c r="Q62" s="21"/>
      <c r="R62" s="2"/>
      <c r="S62" s="3"/>
      <c r="T62" s="3"/>
      <c r="U62" s="1"/>
      <c r="V62" s="3"/>
      <c r="W62" s="3"/>
      <c r="X62" s="3"/>
      <c r="Y62" s="3"/>
      <c r="Z62" s="3"/>
    </row>
    <row r="63">
      <c r="A63" s="33"/>
      <c r="B63" s="34"/>
      <c r="C63" s="2"/>
      <c r="D63" s="3"/>
      <c r="E63" s="3"/>
      <c r="F63" s="3"/>
      <c r="G63" s="2"/>
      <c r="H63" s="2"/>
      <c r="I63" s="2"/>
      <c r="J63" s="2"/>
      <c r="K63" s="3"/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33" t="s">
        <v>88</v>
      </c>
      <c r="B64" s="34">
        <f>E60+E41+F19</f>
        <v>1162800</v>
      </c>
      <c r="C64" s="2"/>
      <c r="D64" s="3"/>
      <c r="E64" s="3"/>
      <c r="F64" s="3"/>
      <c r="G64" s="2"/>
      <c r="H64" s="2"/>
      <c r="I64" s="2"/>
      <c r="J64" s="2"/>
      <c r="K64" s="3"/>
      <c r="L64" s="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"/>
      <c r="B65" s="2"/>
      <c r="C65" s="2"/>
      <c r="D65" s="3"/>
      <c r="E65" s="3"/>
      <c r="F65" s="3"/>
      <c r="G65" s="2"/>
      <c r="H65" s="2"/>
      <c r="I65" s="2"/>
      <c r="J65" s="2"/>
      <c r="K65" s="3"/>
      <c r="L65" s="4"/>
      <c r="M65" s="2"/>
      <c r="N65" s="2"/>
      <c r="O65" s="2"/>
      <c r="P65" s="2"/>
      <c r="Q65" s="3"/>
      <c r="R65" s="9"/>
      <c r="S65" s="3"/>
      <c r="T65" s="3"/>
      <c r="U65" s="1"/>
      <c r="V65" s="3"/>
      <c r="W65" s="3"/>
      <c r="X65" s="3"/>
      <c r="Y65" s="3"/>
      <c r="Z65" s="3"/>
    </row>
    <row r="66">
      <c r="A66" s="33" t="s">
        <v>89</v>
      </c>
      <c r="B66" s="34">
        <f>K60+K41+K19</f>
        <v>468374.8016</v>
      </c>
      <c r="C66" s="2"/>
      <c r="D66" s="3"/>
      <c r="E66" s="3"/>
      <c r="F66" s="3"/>
      <c r="G66" s="2"/>
      <c r="H66" s="2"/>
      <c r="I66" s="2"/>
      <c r="J66" s="2"/>
      <c r="K66" s="3"/>
      <c r="L66" s="4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"/>
      <c r="B67" s="2"/>
      <c r="C67" s="2"/>
      <c r="D67" s="3"/>
      <c r="E67" s="3"/>
      <c r="F67" s="3"/>
      <c r="G67" s="2"/>
      <c r="H67" s="2"/>
      <c r="I67" s="2"/>
      <c r="J67" s="2"/>
      <c r="K67" s="3"/>
      <c r="L67" s="4"/>
      <c r="M67" s="2"/>
      <c r="N67" s="2"/>
      <c r="O67" s="2"/>
      <c r="P67" s="2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33" t="s">
        <v>90</v>
      </c>
      <c r="B68" s="35">
        <f>B66/B64</f>
        <v>0.402799107</v>
      </c>
      <c r="C68" s="2"/>
      <c r="D68" s="3"/>
      <c r="E68" s="3"/>
      <c r="F68" s="3"/>
      <c r="G68" s="2"/>
      <c r="H68" s="2"/>
      <c r="I68" s="2"/>
      <c r="J68" s="2"/>
      <c r="K68" s="3"/>
      <c r="L68" s="4"/>
      <c r="M68" s="2"/>
      <c r="N68" s="2"/>
      <c r="O68" s="2"/>
      <c r="P68" s="2"/>
      <c r="Q68" s="2"/>
      <c r="R68" s="2"/>
      <c r="S68" s="3"/>
      <c r="T68" s="3"/>
      <c r="U68" s="1"/>
      <c r="V68" s="3"/>
      <c r="W68" s="3"/>
      <c r="X68" s="2"/>
      <c r="Y68" s="2"/>
      <c r="Z68" s="2"/>
    </row>
    <row r="69">
      <c r="A69" s="1"/>
      <c r="B69" s="2"/>
      <c r="C69" s="2"/>
      <c r="D69" s="3"/>
      <c r="E69" s="3"/>
      <c r="F69" s="3"/>
      <c r="G69" s="2"/>
      <c r="H69" s="2"/>
      <c r="I69" s="2"/>
      <c r="J69" s="2"/>
      <c r="K69" s="3"/>
      <c r="L69" s="4"/>
      <c r="M69" s="2"/>
      <c r="N69" s="2"/>
      <c r="O69" s="2"/>
      <c r="P69" s="2"/>
      <c r="Q69" s="3"/>
      <c r="R69" s="9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36" t="s">
        <v>91</v>
      </c>
      <c r="C70" s="37">
        <v>26.0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9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1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 ht="15.75" customHeight="1">
      <c r="A73" s="1"/>
      <c r="B73" s="1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X74" s="3"/>
      <c r="Y74" s="3"/>
      <c r="Z74" s="3"/>
    </row>
    <row r="75" ht="15.75" customHeight="1">
      <c r="A75" s="39"/>
      <c r="B75" s="40" t="s">
        <v>92</v>
      </c>
      <c r="C75" s="41" t="s">
        <v>93</v>
      </c>
      <c r="D75" s="42" t="s">
        <v>94</v>
      </c>
      <c r="E75" s="42" t="s">
        <v>95</v>
      </c>
      <c r="F75" s="42" t="s">
        <v>96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9"/>
      <c r="X75" s="3"/>
      <c r="Y75" s="3"/>
      <c r="Z75" s="3"/>
    </row>
    <row r="76" ht="15.75" customHeight="1">
      <c r="A76" s="43"/>
      <c r="B76" s="44">
        <f>'14-01-2026 '!B122</f>
        <v>2920550</v>
      </c>
      <c r="C76" s="44">
        <f>'14-01-2026 '!C122</f>
        <v>34872.13094</v>
      </c>
      <c r="D76" s="44">
        <f>'14-01-2026 '!D122</f>
        <v>581947.3457</v>
      </c>
      <c r="E76" s="44">
        <f>'14-01-2026 '!E122</f>
        <v>0</v>
      </c>
      <c r="F76" s="44">
        <f>'14-01-2026 '!F122</f>
        <v>2642589.66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 ht="15.75" customHeight="1">
      <c r="A77" s="1"/>
      <c r="B77" s="46"/>
      <c r="C77" s="46"/>
      <c r="D77" s="46"/>
      <c r="E77" s="4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 ht="15.75" customHeight="1">
      <c r="A78" s="40" t="s">
        <v>97</v>
      </c>
      <c r="B78" s="47"/>
      <c r="C78" s="47"/>
      <c r="D78" s="47"/>
      <c r="E78" s="47"/>
      <c r="F78" s="48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 ht="15.75" customHeight="1">
      <c r="A79" s="13" t="s">
        <v>98</v>
      </c>
      <c r="B79" s="49">
        <v>50550.0</v>
      </c>
      <c r="C79" s="49">
        <v>1575520.73</v>
      </c>
      <c r="D79" s="49">
        <v>0.0</v>
      </c>
      <c r="E79" s="49">
        <v>0.0</v>
      </c>
      <c r="F79" s="49">
        <v>0.0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 ht="15.75" customHeight="1">
      <c r="A80" s="13" t="s">
        <v>99</v>
      </c>
      <c r="B80" s="49">
        <v>0.0</v>
      </c>
      <c r="C80" s="49">
        <v>26.82</v>
      </c>
      <c r="D80" s="49">
        <v>0.0</v>
      </c>
      <c r="E80" s="49">
        <v>0.0</v>
      </c>
      <c r="F80" s="49">
        <v>0.0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 ht="15.75" customHeight="1">
      <c r="A81" s="13" t="s">
        <v>100</v>
      </c>
      <c r="B81" s="49">
        <v>0.0</v>
      </c>
      <c r="C81" s="49">
        <v>0.0</v>
      </c>
      <c r="D81" s="49">
        <v>0.0</v>
      </c>
      <c r="E81" s="49">
        <v>0.0</v>
      </c>
      <c r="F81" s="49">
        <v>0.0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 ht="15.75" customHeight="1">
      <c r="A82" s="13" t="s">
        <v>101</v>
      </c>
      <c r="B82" s="49">
        <v>0.0</v>
      </c>
      <c r="C82" s="49">
        <v>0.0</v>
      </c>
      <c r="D82" s="49">
        <v>0.0</v>
      </c>
      <c r="E82" s="49">
        <v>0.0</v>
      </c>
      <c r="F82" s="49">
        <v>0.0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 ht="15.75" customHeight="1">
      <c r="A83" s="13" t="s">
        <v>102</v>
      </c>
      <c r="B83" s="49">
        <v>0.0</v>
      </c>
      <c r="C83" s="49">
        <v>0.0</v>
      </c>
      <c r="D83" s="49">
        <v>0.0</v>
      </c>
      <c r="E83" s="49">
        <v>0.0</v>
      </c>
      <c r="F83" s="49">
        <v>0.0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13" t="s">
        <v>203</v>
      </c>
      <c r="B84" s="49">
        <v>0.0</v>
      </c>
      <c r="C84" s="50">
        <f>C79*2%</f>
        <v>31510.4146</v>
      </c>
      <c r="D84" s="49">
        <f>SUM(D78:D79)*2%</f>
        <v>0</v>
      </c>
      <c r="E84" s="49">
        <v>0.0</v>
      </c>
      <c r="F84" s="49">
        <v>0.0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13" t="s">
        <v>103</v>
      </c>
      <c r="B85" s="49">
        <v>0.0</v>
      </c>
      <c r="C85" s="50">
        <f>C79*0.6%+C82*0.6%</f>
        <v>9453.12438</v>
      </c>
      <c r="D85" s="49">
        <f>SUM(D79:D81)*0.6%</f>
        <v>0</v>
      </c>
      <c r="E85" s="49">
        <v>0.0</v>
      </c>
      <c r="F85" s="49">
        <v>0.0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 ht="15.75" customHeight="1">
      <c r="A86" s="1"/>
      <c r="B86" s="46"/>
      <c r="C86" s="46"/>
      <c r="D86" s="46"/>
      <c r="E86" s="4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 ht="15.75" customHeight="1">
      <c r="A87" s="51" t="s">
        <v>8</v>
      </c>
      <c r="B87" s="52">
        <f>SUM(B76:B85)</f>
        <v>2971100</v>
      </c>
      <c r="C87" s="52">
        <f>C76+C79+C82+C83-C85+C80-C84</f>
        <v>1569456.142</v>
      </c>
      <c r="D87" s="53">
        <f>D76+D79+D82+D83-D85+D81</f>
        <v>581947.3457</v>
      </c>
      <c r="E87" s="52">
        <f>E76+E79+E82+E83-E85</f>
        <v>0</v>
      </c>
      <c r="F87" s="54">
        <f>F76+F79+F82+F83-F85-D81</f>
        <v>2642589.66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1"/>
      <c r="B88" s="1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40" t="s">
        <v>104</v>
      </c>
      <c r="B89" s="47"/>
      <c r="C89" s="47"/>
      <c r="D89" s="47"/>
      <c r="E89" s="47"/>
      <c r="F89" s="48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13" t="s">
        <v>105</v>
      </c>
      <c r="B90" s="55">
        <v>1000.0</v>
      </c>
      <c r="C90" s="55">
        <v>0.0</v>
      </c>
      <c r="D90" s="55">
        <v>0.0</v>
      </c>
      <c r="E90" s="55">
        <v>0.0</v>
      </c>
      <c r="F90" s="26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13" t="s">
        <v>106</v>
      </c>
      <c r="B91" s="49">
        <v>0.0</v>
      </c>
      <c r="C91" s="49">
        <v>0.0</v>
      </c>
      <c r="D91" s="49">
        <v>0.0</v>
      </c>
      <c r="E91" s="49">
        <v>0.0</v>
      </c>
      <c r="F91" s="26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13" t="s">
        <v>107</v>
      </c>
      <c r="B92" s="55">
        <v>0.0</v>
      </c>
      <c r="C92" s="55">
        <v>0.0</v>
      </c>
      <c r="D92" s="49">
        <v>0.0</v>
      </c>
      <c r="E92" s="55">
        <v>0.0</v>
      </c>
      <c r="F92" s="26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13" t="s">
        <v>108</v>
      </c>
      <c r="B93" s="55">
        <v>2800.0</v>
      </c>
      <c r="C93" s="55">
        <v>0.0</v>
      </c>
      <c r="D93" s="55">
        <v>0.0</v>
      </c>
      <c r="E93" s="55">
        <v>0.0</v>
      </c>
      <c r="F93" s="26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13" t="s">
        <v>109</v>
      </c>
      <c r="B94" s="55">
        <v>0.0</v>
      </c>
      <c r="C94" s="55">
        <f>84000+95000+93000</f>
        <v>272000</v>
      </c>
      <c r="D94" s="55">
        <v>0.0</v>
      </c>
      <c r="E94" s="55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3" t="s">
        <v>110</v>
      </c>
      <c r="B95" s="55">
        <v>0.0</v>
      </c>
      <c r="C95" s="55">
        <v>0.0</v>
      </c>
      <c r="D95" s="55">
        <v>0.0</v>
      </c>
      <c r="E95" s="55">
        <v>0.0</v>
      </c>
      <c r="F95" s="26"/>
      <c r="G95" s="2"/>
      <c r="H95" s="56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13" t="s">
        <v>111</v>
      </c>
      <c r="B96" s="49">
        <v>0.0</v>
      </c>
      <c r="C96" s="49">
        <v>0.0</v>
      </c>
      <c r="D96" s="49">
        <v>0.0</v>
      </c>
      <c r="E96" s="49">
        <v>0.0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3" t="s">
        <v>112</v>
      </c>
      <c r="B97" s="49">
        <v>0.0</v>
      </c>
      <c r="C97" s="49">
        <v>0.0</v>
      </c>
      <c r="D97" s="49">
        <v>0.0</v>
      </c>
      <c r="E97" s="49">
        <v>0.0</v>
      </c>
      <c r="F97" s="26"/>
      <c r="G97" s="2"/>
      <c r="H97" s="56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13" t="s">
        <v>113</v>
      </c>
      <c r="B98" s="49">
        <v>0.0</v>
      </c>
      <c r="C98" s="49">
        <v>0.0</v>
      </c>
      <c r="D98" s="49">
        <v>0.0</v>
      </c>
      <c r="E98" s="49">
        <v>0.0</v>
      </c>
      <c r="F98" s="26"/>
      <c r="G98" s="2"/>
      <c r="H98" s="56"/>
      <c r="I98" s="2"/>
      <c r="J98" s="2"/>
      <c r="K98" s="2"/>
      <c r="L98" s="2"/>
      <c r="M98" s="2"/>
      <c r="N98" s="2"/>
      <c r="O98" s="2"/>
      <c r="P98" s="2"/>
      <c r="Q98" s="3"/>
      <c r="R98" s="9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114</v>
      </c>
      <c r="B99" s="55">
        <v>0.0</v>
      </c>
      <c r="C99" s="55">
        <v>0.0</v>
      </c>
      <c r="D99" s="55">
        <v>0.0</v>
      </c>
      <c r="E99" s="55">
        <v>0.0</v>
      </c>
      <c r="F99" s="26"/>
      <c r="G99" s="2"/>
      <c r="H99" s="56"/>
      <c r="I99" s="2"/>
      <c r="J99" s="2"/>
      <c r="K99" s="2"/>
      <c r="L99" s="2"/>
      <c r="M99" s="2"/>
      <c r="N99" s="2"/>
      <c r="O99" s="2"/>
      <c r="P99" s="2"/>
      <c r="Q99" s="3"/>
      <c r="R99" s="9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3" t="s">
        <v>115</v>
      </c>
      <c r="B100" s="55">
        <v>0.0</v>
      </c>
      <c r="C100" s="55">
        <v>200000.0</v>
      </c>
      <c r="D100" s="55">
        <v>0.0</v>
      </c>
      <c r="E100" s="55">
        <v>0.0</v>
      </c>
      <c r="F100" s="26"/>
      <c r="G100" s="2"/>
      <c r="H100" s="56"/>
      <c r="I100" s="2"/>
      <c r="J100" s="2"/>
      <c r="K100" s="2"/>
      <c r="L100" s="2"/>
      <c r="M100" s="2"/>
      <c r="N100" s="2"/>
      <c r="O100" s="2"/>
      <c r="P100" s="2"/>
      <c r="Q100" s="3"/>
      <c r="R100" s="9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3" t="s">
        <v>116</v>
      </c>
      <c r="B101" s="50">
        <v>0.0</v>
      </c>
      <c r="C101" s="50">
        <v>0.0</v>
      </c>
      <c r="D101" s="49">
        <v>0.0</v>
      </c>
      <c r="E101" s="49">
        <v>0.0</v>
      </c>
      <c r="F101" s="2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117</v>
      </c>
      <c r="B102" s="50">
        <v>0.0</v>
      </c>
      <c r="C102" s="50">
        <v>0.0</v>
      </c>
      <c r="D102" s="49">
        <v>0.0</v>
      </c>
      <c r="E102" s="49">
        <v>0.0</v>
      </c>
      <c r="F102" s="26"/>
      <c r="G102" s="2"/>
      <c r="H102" s="56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118</v>
      </c>
      <c r="B103" s="50">
        <v>0.0</v>
      </c>
      <c r="C103" s="50">
        <v>0.0</v>
      </c>
      <c r="D103" s="49">
        <v>0.0</v>
      </c>
      <c r="E103" s="49">
        <v>0.0</v>
      </c>
      <c r="F103" s="2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3" t="s">
        <v>119</v>
      </c>
      <c r="B104" s="50">
        <v>0.0</v>
      </c>
      <c r="C104" s="50">
        <v>0.0</v>
      </c>
      <c r="D104" s="49">
        <v>0.0</v>
      </c>
      <c r="E104" s="49">
        <v>0.0</v>
      </c>
      <c r="F104" s="2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9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3" t="s">
        <v>120</v>
      </c>
      <c r="B105" s="50">
        <v>0.0</v>
      </c>
      <c r="C105" s="50">
        <v>0.0</v>
      </c>
      <c r="D105" s="49">
        <v>0.0</v>
      </c>
      <c r="E105" s="49">
        <v>0.0</v>
      </c>
      <c r="F105" s="2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9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3" t="s">
        <v>121</v>
      </c>
      <c r="B106" s="50">
        <v>0.0</v>
      </c>
      <c r="C106" s="50">
        <v>0.0</v>
      </c>
      <c r="D106" s="49">
        <v>0.0</v>
      </c>
      <c r="E106" s="49">
        <v>0.0</v>
      </c>
      <c r="F106" s="2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3" t="s">
        <v>122</v>
      </c>
      <c r="B107" s="49">
        <v>0.0</v>
      </c>
      <c r="C107" s="49">
        <v>0.0</v>
      </c>
      <c r="D107" s="49">
        <v>0.0</v>
      </c>
      <c r="E107" s="49">
        <v>0.0</v>
      </c>
      <c r="F107" s="2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3" t="s">
        <v>230</v>
      </c>
      <c r="B108" s="49">
        <v>0.0</v>
      </c>
      <c r="C108" s="49">
        <v>0.0</v>
      </c>
      <c r="D108" s="49">
        <v>0.0</v>
      </c>
      <c r="E108" s="49">
        <v>0.0</v>
      </c>
      <c r="F108" s="2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3" t="s">
        <v>123</v>
      </c>
      <c r="B109" s="49">
        <v>0.0</v>
      </c>
      <c r="C109" s="49">
        <v>0.0</v>
      </c>
      <c r="D109" s="49">
        <v>0.0</v>
      </c>
      <c r="E109" s="49">
        <v>0.0</v>
      </c>
      <c r="F109" s="2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3" t="s">
        <v>124</v>
      </c>
      <c r="B110" s="49">
        <v>0.0</v>
      </c>
      <c r="C110" s="49">
        <v>131542.37</v>
      </c>
      <c r="D110" s="49">
        <v>0.0</v>
      </c>
      <c r="E110" s="49">
        <v>0.0</v>
      </c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125</v>
      </c>
      <c r="B111" s="50">
        <v>0.0</v>
      </c>
      <c r="C111" s="50">
        <v>0.0</v>
      </c>
      <c r="D111" s="49">
        <v>0.0</v>
      </c>
      <c r="E111" s="49">
        <v>0.0</v>
      </c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126</v>
      </c>
      <c r="B112" s="49">
        <v>0.0</v>
      </c>
      <c r="C112" s="49">
        <v>0.0</v>
      </c>
      <c r="D112" s="49">
        <v>0.0</v>
      </c>
      <c r="E112" s="49">
        <v>0.0</v>
      </c>
      <c r="F112" s="2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127</v>
      </c>
      <c r="B113" s="49">
        <v>0.0</v>
      </c>
      <c r="C113" s="49">
        <v>0.0</v>
      </c>
      <c r="D113" s="49">
        <v>0.0</v>
      </c>
      <c r="E113" s="49">
        <v>0.0</v>
      </c>
      <c r="F113" s="2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128</v>
      </c>
      <c r="B114" s="49">
        <v>0.0</v>
      </c>
      <c r="C114" s="49">
        <v>0.0</v>
      </c>
      <c r="D114" s="49">
        <v>0.0</v>
      </c>
      <c r="E114" s="49">
        <v>0.0</v>
      </c>
      <c r="F114" s="2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129</v>
      </c>
      <c r="B115" s="49">
        <v>0.0</v>
      </c>
      <c r="C115" s="49">
        <v>0.0</v>
      </c>
      <c r="D115" s="49">
        <v>0.0</v>
      </c>
      <c r="E115" s="49">
        <v>0.0</v>
      </c>
      <c r="F115" s="2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57"/>
      <c r="B116" s="49"/>
      <c r="C116" s="49"/>
      <c r="D116" s="49"/>
      <c r="E116" s="49"/>
      <c r="F116" s="2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130</v>
      </c>
      <c r="B117" s="50">
        <v>0.0</v>
      </c>
      <c r="C117" s="50">
        <f>SUM(C90:C114)*0.6%</f>
        <v>3621.25422</v>
      </c>
      <c r="D117" s="50">
        <f>SUM(D90:D114)*0.6%+(D118*0.6%)</f>
        <v>2880</v>
      </c>
      <c r="E117" s="50">
        <f>(E94*0.6%)+(E95*0.6%)+(E96*0.6%)+(E99*0.6%)+(E100*0.6%)</f>
        <v>0</v>
      </c>
      <c r="F117" s="2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131</v>
      </c>
      <c r="B118" s="50">
        <v>0.0</v>
      </c>
      <c r="C118" s="50">
        <f>200000+100000+180000</f>
        <v>480000</v>
      </c>
      <c r="D118" s="50">
        <v>480000.0</v>
      </c>
      <c r="E118" s="50">
        <f>SUM(E91:E116)*0.6%+(E119*0.6%)</f>
        <v>0</v>
      </c>
      <c r="F118" s="5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57"/>
      <c r="B119" s="57"/>
      <c r="C119" s="26"/>
      <c r="D119" s="2"/>
      <c r="E119" s="26"/>
      <c r="F119" s="2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59" t="s">
        <v>132</v>
      </c>
      <c r="B120" s="60">
        <f>SUM(B90:B119)</f>
        <v>3800</v>
      </c>
      <c r="C120" s="60">
        <f>SUM(C90:C117)</f>
        <v>607163.6242</v>
      </c>
      <c r="D120" s="60">
        <f>SUM(D90:D118)</f>
        <v>482880</v>
      </c>
      <c r="E120" s="60">
        <f>E101+E105+E117-E118</f>
        <v>0</v>
      </c>
      <c r="F120" s="61" t="str">
        <f>F94</f>
        <v/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57"/>
      <c r="B121" s="57"/>
      <c r="C121" s="26"/>
      <c r="D121" s="26"/>
      <c r="E121" s="26"/>
      <c r="F121" s="2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59" t="s">
        <v>133</v>
      </c>
      <c r="B122" s="62">
        <f>B87-B120</f>
        <v>2967300</v>
      </c>
      <c r="C122" s="63">
        <f>C87-C120+C118</f>
        <v>1442292.518</v>
      </c>
      <c r="D122" s="63">
        <f t="shared" ref="D122:F122" si="12">D87-D120</f>
        <v>99067.34566</v>
      </c>
      <c r="E122" s="64">
        <f t="shared" si="12"/>
        <v>0</v>
      </c>
      <c r="F122" s="64">
        <f t="shared" si="12"/>
        <v>2642589.66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65" t="s">
        <v>134</v>
      </c>
      <c r="B124" s="66">
        <f>12200-B90-B93</f>
        <v>8400</v>
      </c>
      <c r="C124" s="46"/>
      <c r="D124" s="46"/>
      <c r="E124" s="46"/>
      <c r="F124" s="4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9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65" t="s">
        <v>135</v>
      </c>
      <c r="B125" s="66">
        <f>2908350+B79</f>
        <v>2958900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2"/>
      <c r="B126" s="46" t="s">
        <v>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46">
        <f>SUM(B124:B125)</f>
        <v>2967300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9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9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9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9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9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9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9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9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9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9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9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9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9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9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9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9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9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2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2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3"/>
      <c r="T201" s="3"/>
      <c r="U201" s="9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9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9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9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9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9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9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3"/>
      <c r="T243" s="3"/>
      <c r="U243" s="9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9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9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46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46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46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46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46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46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46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46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46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46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46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46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46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46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46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9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46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46"/>
      <c r="R288" s="46"/>
      <c r="S288" s="3"/>
      <c r="T288" s="3"/>
      <c r="U288" s="9"/>
      <c r="V288" s="3"/>
      <c r="W288" s="3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9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46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46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46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46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46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9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9"/>
      <c r="T334" s="3"/>
      <c r="U334" s="2"/>
      <c r="V334" s="3"/>
      <c r="W334" s="3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9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9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9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9"/>
      <c r="T351" s="3"/>
      <c r="U351" s="2"/>
      <c r="V351" s="3"/>
      <c r="W351" s="3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9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9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9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9"/>
      <c r="T362" s="3"/>
      <c r="U362" s="2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9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9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3"/>
      <c r="T378" s="3"/>
      <c r="U378" s="9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9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9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3"/>
      <c r="T392" s="9"/>
      <c r="U392" s="2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9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9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9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9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3"/>
      <c r="T404" s="9"/>
      <c r="U404" s="2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9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9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67"/>
      <c r="R419" s="2"/>
      <c r="S419" s="2"/>
      <c r="T419" s="3"/>
      <c r="U419" s="2"/>
      <c r="V419" s="2"/>
      <c r="W419" s="2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3"/>
      <c r="T420" s="3"/>
      <c r="U420" s="3"/>
      <c r="V420" s="2"/>
      <c r="W420" s="2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8"/>
      <c r="R422" s="38"/>
      <c r="S422" s="38"/>
      <c r="T422" s="38"/>
      <c r="U422" s="38"/>
      <c r="V422" s="38"/>
      <c r="W422" s="38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3"/>
      <c r="T423" s="3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"/>
      <c r="R424" s="2"/>
      <c r="S424" s="3"/>
      <c r="T424" s="3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68"/>
      <c r="R426" s="69"/>
      <c r="S426" s="70"/>
      <c r="T426" s="70"/>
      <c r="U426" s="70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1"/>
      <c r="R427" s="71"/>
      <c r="S427" s="71"/>
      <c r="T427" s="71"/>
      <c r="U427" s="71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46"/>
      <c r="R428" s="46"/>
      <c r="S428" s="46"/>
      <c r="T428" s="46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46"/>
      <c r="R430" s="46"/>
      <c r="S430" s="46"/>
      <c r="T430" s="46"/>
      <c r="U430" s="46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6"/>
      <c r="R431" s="46"/>
      <c r="S431" s="46"/>
      <c r="T431" s="46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"/>
      <c r="R432" s="46"/>
      <c r="S432" s="46"/>
      <c r="T432" s="46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6"/>
      <c r="R433" s="46"/>
      <c r="S433" s="46"/>
      <c r="T433" s="46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"/>
      <c r="R434" s="46"/>
      <c r="S434" s="46"/>
      <c r="T434" s="46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2"/>
      <c r="R435" s="72"/>
      <c r="S435" s="72"/>
      <c r="T435" s="72"/>
      <c r="U435" s="73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"/>
      <c r="R436" s="2"/>
      <c r="S436" s="3"/>
      <c r="T436" s="3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56"/>
      <c r="R438" s="56"/>
      <c r="S438" s="56"/>
      <c r="T438" s="56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56"/>
      <c r="R439" s="56"/>
      <c r="S439" s="56"/>
      <c r="T439" s="56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56"/>
      <c r="R440" s="56"/>
      <c r="S440" s="56"/>
      <c r="T440" s="56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56"/>
      <c r="R441" s="56"/>
      <c r="S441" s="56"/>
      <c r="T441" s="56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6"/>
      <c r="R442" s="56"/>
      <c r="S442" s="56"/>
      <c r="T442" s="56"/>
      <c r="U442" s="2"/>
      <c r="V442" s="2"/>
      <c r="W442" s="56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6"/>
      <c r="R443" s="56"/>
      <c r="S443" s="56"/>
      <c r="T443" s="56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6"/>
      <c r="R444" s="56"/>
      <c r="S444" s="56"/>
      <c r="T444" s="56"/>
      <c r="U444" s="2"/>
      <c r="V444" s="2"/>
      <c r="W444" s="56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6"/>
      <c r="R445" s="56"/>
      <c r="S445" s="56"/>
      <c r="T445" s="56"/>
      <c r="U445" s="2"/>
      <c r="V445" s="2"/>
      <c r="W445" s="56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6"/>
      <c r="R446" s="46"/>
      <c r="S446" s="46"/>
      <c r="T446" s="46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46"/>
      <c r="R447" s="46"/>
      <c r="S447" s="46"/>
      <c r="T447" s="46"/>
      <c r="U447" s="2"/>
      <c r="V447" s="2"/>
      <c r="W447" s="56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"/>
      <c r="R448" s="46"/>
      <c r="S448" s="46"/>
      <c r="T448" s="46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46"/>
      <c r="R449" s="46"/>
      <c r="S449" s="46"/>
      <c r="T449" s="46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"/>
      <c r="R450" s="46"/>
      <c r="S450" s="46"/>
      <c r="T450" s="46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6"/>
      <c r="R451" s="46"/>
      <c r="S451" s="46"/>
      <c r="T451" s="46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6"/>
      <c r="R453" s="46"/>
      <c r="S453" s="46"/>
      <c r="T453" s="46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46"/>
      <c r="S454" s="46"/>
      <c r="T454" s="46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"/>
      <c r="R455" s="46"/>
      <c r="S455" s="46"/>
      <c r="T455" s="46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2"/>
      <c r="R457" s="72"/>
      <c r="S457" s="72"/>
      <c r="T457" s="72"/>
      <c r="U457" s="73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1"/>
      <c r="R459" s="72"/>
      <c r="S459" s="72"/>
      <c r="T459" s="74"/>
      <c r="U459" s="74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46"/>
      <c r="R461" s="46"/>
      <c r="S461" s="46"/>
      <c r="T461" s="46"/>
      <c r="U461" s="46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6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</sheetData>
  <mergeCells count="8">
    <mergeCell ref="I3:K3"/>
    <mergeCell ref="A70:B70"/>
    <mergeCell ref="U74:W74"/>
    <mergeCell ref="A75:A76"/>
    <mergeCell ref="A78:F78"/>
    <mergeCell ref="A89:F89"/>
    <mergeCell ref="U130:W130"/>
    <mergeCell ref="U165:W165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234</v>
      </c>
      <c r="F3" s="7">
        <v>46038.0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4.0</v>
      </c>
      <c r="B6" s="12" t="s">
        <v>13</v>
      </c>
      <c r="C6" s="14" t="s">
        <v>19</v>
      </c>
      <c r="D6" s="15">
        <v>38000.0</v>
      </c>
      <c r="E6" s="15">
        <f t="shared" ref="E6:E14" si="1">A6*D6</f>
        <v>152000</v>
      </c>
      <c r="F6" s="15">
        <f t="shared" ref="F6:F14" si="2">E6*1.105</f>
        <v>167960</v>
      </c>
      <c r="G6" s="3"/>
      <c r="H6" s="3" t="s">
        <v>2</v>
      </c>
      <c r="I6" s="16">
        <v>30000.0</v>
      </c>
      <c r="J6" s="15">
        <f t="shared" ref="J6:J14" si="3">I6*A6</f>
        <v>120000</v>
      </c>
      <c r="K6" s="15">
        <f t="shared" ref="K6:K14" si="4">F6-J6</f>
        <v>47960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3.0</v>
      </c>
      <c r="B7" s="12" t="s">
        <v>13</v>
      </c>
      <c r="C7" s="14" t="s">
        <v>235</v>
      </c>
      <c r="D7" s="15">
        <v>70000.0</v>
      </c>
      <c r="E7" s="15">
        <f t="shared" si="1"/>
        <v>210000</v>
      </c>
      <c r="F7" s="15">
        <f t="shared" si="2"/>
        <v>232050</v>
      </c>
      <c r="G7" s="3"/>
      <c r="H7" s="3" t="s">
        <v>2</v>
      </c>
      <c r="I7" s="15">
        <v>40000.0</v>
      </c>
      <c r="J7" s="15">
        <f t="shared" si="3"/>
        <v>120000</v>
      </c>
      <c r="K7" s="15">
        <f t="shared" si="4"/>
        <v>112050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13</v>
      </c>
      <c r="C8" s="14" t="s">
        <v>20</v>
      </c>
      <c r="D8" s="15">
        <v>22000.0</v>
      </c>
      <c r="E8" s="15">
        <f t="shared" si="1"/>
        <v>44000</v>
      </c>
      <c r="F8" s="15">
        <f t="shared" si="2"/>
        <v>48620</v>
      </c>
      <c r="G8" s="3"/>
      <c r="H8" s="3" t="s">
        <v>2</v>
      </c>
      <c r="I8" s="15">
        <v>19000.0</v>
      </c>
      <c r="J8" s="15">
        <f t="shared" si="3"/>
        <v>38000</v>
      </c>
      <c r="K8" s="15">
        <f t="shared" si="4"/>
        <v>10620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32</v>
      </c>
      <c r="C9" s="14" t="s">
        <v>220</v>
      </c>
      <c r="D9" s="15">
        <v>32000.0</v>
      </c>
      <c r="E9" s="15">
        <f t="shared" si="1"/>
        <v>32000</v>
      </c>
      <c r="F9" s="15">
        <f t="shared" si="2"/>
        <v>35360</v>
      </c>
      <c r="G9" s="6"/>
      <c r="H9" s="3" t="s">
        <v>2</v>
      </c>
      <c r="I9" s="16">
        <v>27000.0</v>
      </c>
      <c r="J9" s="15">
        <f t="shared" si="3"/>
        <v>27000</v>
      </c>
      <c r="K9" s="15">
        <f t="shared" si="4"/>
        <v>8360</v>
      </c>
      <c r="L9" s="4"/>
      <c r="M9" s="17"/>
      <c r="N9" s="18"/>
      <c r="O9" s="19"/>
      <c r="P9" s="18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23.8</v>
      </c>
      <c r="B10" s="12" t="s">
        <v>17</v>
      </c>
      <c r="C10" s="14" t="s">
        <v>156</v>
      </c>
      <c r="D10" s="15">
        <v>1200.0</v>
      </c>
      <c r="E10" s="15">
        <f t="shared" si="1"/>
        <v>28560</v>
      </c>
      <c r="F10" s="15">
        <f t="shared" si="2"/>
        <v>31558.8</v>
      </c>
      <c r="G10" s="6"/>
      <c r="H10" s="3" t="s">
        <v>2</v>
      </c>
      <c r="I10" s="16">
        <v>700.0</v>
      </c>
      <c r="J10" s="15">
        <f t="shared" si="3"/>
        <v>16660</v>
      </c>
      <c r="K10" s="15">
        <f t="shared" si="4"/>
        <v>14898.8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1.0</v>
      </c>
      <c r="B11" s="12" t="s">
        <v>42</v>
      </c>
      <c r="C11" s="14" t="s">
        <v>66</v>
      </c>
      <c r="D11" s="15">
        <v>14000.0</v>
      </c>
      <c r="E11" s="15">
        <f t="shared" si="1"/>
        <v>14000</v>
      </c>
      <c r="F11" s="15">
        <f t="shared" si="2"/>
        <v>15470</v>
      </c>
      <c r="G11" s="6"/>
      <c r="H11" s="3" t="s">
        <v>2</v>
      </c>
      <c r="I11" s="15">
        <v>10000.0</v>
      </c>
      <c r="J11" s="15">
        <f t="shared" si="3"/>
        <v>10000</v>
      </c>
      <c r="K11" s="15">
        <f t="shared" si="4"/>
        <v>5470</v>
      </c>
      <c r="L11" s="4"/>
      <c r="M11" s="20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1.0</v>
      </c>
      <c r="B12" s="12" t="s">
        <v>13</v>
      </c>
      <c r="C12" s="14" t="s">
        <v>19</v>
      </c>
      <c r="D12" s="15">
        <v>38000.0</v>
      </c>
      <c r="E12" s="15">
        <f t="shared" si="1"/>
        <v>38000</v>
      </c>
      <c r="F12" s="15">
        <f t="shared" si="2"/>
        <v>41990</v>
      </c>
      <c r="G12" s="6" t="s">
        <v>42</v>
      </c>
      <c r="H12" s="3" t="s">
        <v>2</v>
      </c>
      <c r="I12" s="15"/>
      <c r="J12" s="15">
        <f t="shared" si="3"/>
        <v>0</v>
      </c>
      <c r="K12" s="15">
        <f t="shared" si="4"/>
        <v>41990</v>
      </c>
      <c r="L12" s="4"/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78">
        <v>1.0</v>
      </c>
      <c r="B13" s="10" t="s">
        <v>13</v>
      </c>
      <c r="C13" s="11" t="s">
        <v>72</v>
      </c>
      <c r="D13" s="15">
        <v>70000.0</v>
      </c>
      <c r="E13" s="15">
        <f t="shared" si="1"/>
        <v>70000</v>
      </c>
      <c r="F13" s="15">
        <f t="shared" si="2"/>
        <v>77350</v>
      </c>
      <c r="G13" s="6" t="s">
        <v>42</v>
      </c>
      <c r="H13" s="3" t="s">
        <v>2</v>
      </c>
      <c r="I13" s="3"/>
      <c r="J13" s="15">
        <f t="shared" si="3"/>
        <v>0</v>
      </c>
      <c r="K13" s="15">
        <f t="shared" si="4"/>
        <v>77350</v>
      </c>
      <c r="L13" s="4"/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13</v>
      </c>
      <c r="C14" s="14" t="s">
        <v>236</v>
      </c>
      <c r="D14" s="15">
        <v>22000.0</v>
      </c>
      <c r="E14" s="15">
        <f t="shared" si="1"/>
        <v>22000</v>
      </c>
      <c r="F14" s="15">
        <f t="shared" si="2"/>
        <v>24310</v>
      </c>
      <c r="G14" s="6" t="s">
        <v>42</v>
      </c>
      <c r="H14" s="3" t="s">
        <v>2</v>
      </c>
      <c r="I14" s="15"/>
      <c r="J14" s="15">
        <f t="shared" si="3"/>
        <v>0</v>
      </c>
      <c r="K14" s="15">
        <f t="shared" si="4"/>
        <v>24310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/>
      <c r="B15" s="12"/>
      <c r="C15" s="14"/>
      <c r="D15" s="15"/>
      <c r="E15" s="3"/>
      <c r="F15" s="3"/>
      <c r="G15" s="3"/>
      <c r="H15" s="3"/>
      <c r="I15" s="3"/>
      <c r="J15" s="3"/>
      <c r="K15" s="3"/>
      <c r="L15" s="4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/>
      <c r="B16" s="12"/>
      <c r="C16" s="14"/>
      <c r="D16" s="15"/>
      <c r="E16" s="15">
        <f t="shared" ref="E16:F16" si="5">SUM(E6:E14)</f>
        <v>610560</v>
      </c>
      <c r="F16" s="15">
        <f t="shared" si="5"/>
        <v>674668.8</v>
      </c>
      <c r="G16" s="3"/>
      <c r="H16" s="3"/>
      <c r="I16" s="3"/>
      <c r="J16" s="3"/>
      <c r="K16" s="15">
        <f>SUM(K6:K14)</f>
        <v>343008.8</v>
      </c>
      <c r="L16" s="22">
        <f>K16/F16</f>
        <v>0.5084106453</v>
      </c>
      <c r="M16" s="2"/>
      <c r="N16" s="21"/>
      <c r="P16" s="21"/>
      <c r="Q16" s="21"/>
      <c r="R16" s="2"/>
      <c r="S16" s="3"/>
      <c r="T16" s="3"/>
      <c r="U16" s="1"/>
      <c r="V16" s="3"/>
      <c r="W16" s="3"/>
      <c r="X16" s="3"/>
      <c r="Y16" s="3"/>
      <c r="Z16" s="3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"/>
      <c r="N17" s="21"/>
      <c r="P17" s="21"/>
      <c r="Q17" s="21"/>
      <c r="R17" s="2"/>
      <c r="S17" s="3"/>
      <c r="T17" s="3"/>
      <c r="U17" s="1"/>
      <c r="V17" s="3"/>
      <c r="W17" s="3"/>
      <c r="X17" s="3"/>
      <c r="Y17" s="3"/>
      <c r="Z17" s="3"/>
    </row>
    <row r="18">
      <c r="A18" s="23"/>
      <c r="B18" s="23"/>
      <c r="C18" s="23"/>
      <c r="D18" s="7"/>
      <c r="E18" s="24"/>
      <c r="F18" s="7"/>
      <c r="G18" s="6"/>
      <c r="H18" s="3"/>
      <c r="I18" s="8"/>
      <c r="J18" s="8"/>
      <c r="K18" s="8"/>
      <c r="L18" s="4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23" t="s">
        <v>47</v>
      </c>
      <c r="B19" s="23"/>
      <c r="C19" s="23"/>
      <c r="D19" s="25" t="s">
        <v>215</v>
      </c>
      <c r="E19" s="7">
        <v>46038.0</v>
      </c>
      <c r="F19" s="7"/>
      <c r="G19" s="6"/>
      <c r="H19" s="3"/>
      <c r="I19" s="8" t="s">
        <v>3</v>
      </c>
      <c r="L19" s="4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B20" s="24"/>
      <c r="C20" s="26"/>
      <c r="D20" s="7"/>
      <c r="E20" s="24"/>
      <c r="F20" s="3"/>
      <c r="G20" s="3"/>
      <c r="H20" s="3"/>
      <c r="I20" s="3"/>
      <c r="J20" s="3"/>
      <c r="K20" s="3"/>
      <c r="L20" s="4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5" t="s">
        <v>4</v>
      </c>
      <c r="B21" s="10" t="s">
        <v>5</v>
      </c>
      <c r="C21" s="11" t="s">
        <v>6</v>
      </c>
      <c r="D21" s="12" t="s">
        <v>7</v>
      </c>
      <c r="E21" s="10" t="s">
        <v>8</v>
      </c>
      <c r="F21" s="10"/>
      <c r="G21" s="3"/>
      <c r="H21" s="3"/>
      <c r="I21" s="27" t="s">
        <v>7</v>
      </c>
      <c r="J21" s="10" t="s">
        <v>8</v>
      </c>
      <c r="K21" s="10" t="s">
        <v>10</v>
      </c>
      <c r="L21" s="4"/>
      <c r="M21" s="19"/>
      <c r="N21" s="18"/>
      <c r="O21" s="19"/>
      <c r="P21" s="18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2.0</v>
      </c>
      <c r="B22" s="12" t="s">
        <v>13</v>
      </c>
      <c r="C22" s="14" t="s">
        <v>22</v>
      </c>
      <c r="D22" s="15">
        <v>42000.0</v>
      </c>
      <c r="E22" s="16">
        <f t="shared" ref="E22:E27" si="6">A22*D22</f>
        <v>84000</v>
      </c>
      <c r="F22" s="15"/>
      <c r="G22" s="2"/>
      <c r="H22" s="3"/>
      <c r="I22" s="15">
        <v>32000.0</v>
      </c>
      <c r="J22" s="15">
        <f t="shared" ref="J22:J27" si="7">I22*A22</f>
        <v>64000</v>
      </c>
      <c r="K22" s="15">
        <f t="shared" ref="K22:K27" si="8">E22-J22</f>
        <v>20000</v>
      </c>
      <c r="L22" s="22"/>
      <c r="N22" s="21"/>
      <c r="P22" s="21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2.0</v>
      </c>
      <c r="B23" s="12" t="s">
        <v>11</v>
      </c>
      <c r="C23" s="14" t="s">
        <v>20</v>
      </c>
      <c r="D23" s="15">
        <v>19000.0</v>
      </c>
      <c r="E23" s="16">
        <f t="shared" si="6"/>
        <v>38000</v>
      </c>
      <c r="F23" s="15"/>
      <c r="G23" s="2"/>
      <c r="H23" s="3" t="s">
        <v>2</v>
      </c>
      <c r="I23" s="15">
        <v>15000.0</v>
      </c>
      <c r="J23" s="15">
        <f t="shared" si="7"/>
        <v>30000</v>
      </c>
      <c r="K23" s="15">
        <f t="shared" si="8"/>
        <v>8000</v>
      </c>
      <c r="L23" s="22"/>
      <c r="N23" s="21"/>
      <c r="P23" s="21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4.0</v>
      </c>
      <c r="B24" s="12" t="s">
        <v>28</v>
      </c>
      <c r="C24" s="14" t="s">
        <v>54</v>
      </c>
      <c r="D24" s="15">
        <v>5000.0</v>
      </c>
      <c r="E24" s="16">
        <f t="shared" si="6"/>
        <v>20000</v>
      </c>
      <c r="F24" s="15"/>
      <c r="G24" s="2"/>
      <c r="H24" s="3"/>
      <c r="I24" s="16">
        <v>4000.0</v>
      </c>
      <c r="J24" s="15">
        <f t="shared" si="7"/>
        <v>16000</v>
      </c>
      <c r="K24" s="15">
        <f t="shared" si="8"/>
        <v>4000</v>
      </c>
      <c r="L24" s="22"/>
      <c r="N24" s="21"/>
      <c r="P24" s="21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1.0</v>
      </c>
      <c r="B25" s="12" t="s">
        <v>13</v>
      </c>
      <c r="C25" s="14" t="s">
        <v>38</v>
      </c>
      <c r="D25" s="15">
        <v>65000.0</v>
      </c>
      <c r="E25" s="16">
        <f t="shared" si="6"/>
        <v>65000</v>
      </c>
      <c r="F25" s="15"/>
      <c r="G25" s="2"/>
      <c r="H25" s="2"/>
      <c r="I25" s="16">
        <v>57000.0</v>
      </c>
      <c r="J25" s="15">
        <f t="shared" si="7"/>
        <v>57000</v>
      </c>
      <c r="K25" s="15">
        <f t="shared" si="8"/>
        <v>8000</v>
      </c>
      <c r="L25" s="22"/>
      <c r="N25" s="21"/>
      <c r="P25" s="21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4.0</v>
      </c>
      <c r="B26" s="12" t="s">
        <v>5</v>
      </c>
      <c r="C26" s="14" t="s">
        <v>55</v>
      </c>
      <c r="D26" s="15">
        <v>2500.0</v>
      </c>
      <c r="E26" s="16">
        <f t="shared" si="6"/>
        <v>10000</v>
      </c>
      <c r="F26" s="15"/>
      <c r="G26" s="2"/>
      <c r="H26" s="3"/>
      <c r="I26" s="15">
        <f>15000/9</f>
        <v>1666.666667</v>
      </c>
      <c r="J26" s="15">
        <f t="shared" si="7"/>
        <v>6666.666667</v>
      </c>
      <c r="K26" s="15">
        <f t="shared" si="8"/>
        <v>3333.333333</v>
      </c>
      <c r="L26" s="22"/>
      <c r="M26" s="20"/>
      <c r="N26" s="21"/>
      <c r="P26" s="21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39</v>
      </c>
      <c r="C27" s="14" t="s">
        <v>36</v>
      </c>
      <c r="D27" s="15">
        <v>22500.0</v>
      </c>
      <c r="E27" s="16">
        <f t="shared" si="6"/>
        <v>22500</v>
      </c>
      <c r="F27" s="15"/>
      <c r="G27" s="2"/>
      <c r="H27" s="3"/>
      <c r="I27" s="15">
        <f>3750*5</f>
        <v>18750</v>
      </c>
      <c r="J27" s="15">
        <f t="shared" si="7"/>
        <v>18750</v>
      </c>
      <c r="K27" s="15">
        <f t="shared" si="8"/>
        <v>3750</v>
      </c>
      <c r="L27" s="22"/>
      <c r="M27" s="20"/>
      <c r="N27" s="21"/>
      <c r="P27" s="21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/>
      <c r="B28" s="12"/>
      <c r="C28" s="14"/>
      <c r="D28" s="15"/>
      <c r="E28" s="16"/>
      <c r="F28" s="10"/>
      <c r="G28" s="3"/>
      <c r="H28" s="3"/>
      <c r="I28" s="3"/>
      <c r="J28" s="3"/>
      <c r="K28" s="3"/>
      <c r="L28" s="4"/>
      <c r="M28" s="17"/>
      <c r="N28" s="18"/>
      <c r="O28" s="19"/>
      <c r="P28" s="18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/>
      <c r="B29" s="12"/>
      <c r="C29" s="14"/>
      <c r="D29" s="15"/>
      <c r="E29" s="16">
        <f>SUM(E22:E27)</f>
        <v>239500</v>
      </c>
      <c r="F29" s="15"/>
      <c r="G29" s="2"/>
      <c r="H29" s="3"/>
      <c r="I29" s="3"/>
      <c r="J29" s="3"/>
      <c r="K29" s="15">
        <f>SUM(K22:K27)</f>
        <v>47083.33333</v>
      </c>
      <c r="L29" s="22">
        <f>K29/E29</f>
        <v>0.1965901183</v>
      </c>
      <c r="M29" s="20"/>
      <c r="N29" s="21"/>
      <c r="P29" s="21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/>
      <c r="B30" s="12"/>
      <c r="C30" s="14"/>
      <c r="D30" s="15"/>
      <c r="E30" s="16"/>
      <c r="F30" s="15"/>
      <c r="G30" s="2"/>
      <c r="H30" s="3"/>
      <c r="I30" s="16"/>
      <c r="J30" s="15"/>
      <c r="K30" s="15"/>
      <c r="L30" s="25"/>
      <c r="M30" s="20"/>
      <c r="N30" s="21"/>
      <c r="P30" s="21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"/>
      <c r="B31" s="2"/>
      <c r="C31" s="2"/>
      <c r="D31" s="3"/>
      <c r="E31" s="3"/>
      <c r="F31" s="3"/>
      <c r="G31" s="2"/>
      <c r="H31" s="2"/>
      <c r="I31" s="2"/>
      <c r="J31" s="2"/>
      <c r="K31" s="3"/>
      <c r="L31" s="4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23" t="s">
        <v>57</v>
      </c>
      <c r="B32" s="23"/>
      <c r="C32" s="23"/>
      <c r="D32" s="25" t="s">
        <v>237</v>
      </c>
      <c r="E32" s="7">
        <v>46038.0</v>
      </c>
      <c r="F32" s="28"/>
      <c r="G32" s="24"/>
      <c r="H32" s="24"/>
      <c r="I32" s="16"/>
      <c r="J32" s="16"/>
      <c r="K32" s="16"/>
      <c r="L32" s="29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B33" s="24"/>
      <c r="C33" s="26"/>
      <c r="D33" s="24"/>
      <c r="E33" s="24"/>
      <c r="F33" s="24"/>
      <c r="G33" s="24"/>
      <c r="H33" s="24"/>
      <c r="I33" s="16"/>
      <c r="J33" s="16"/>
      <c r="K33" s="16"/>
      <c r="L33" s="29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5" t="s">
        <v>4</v>
      </c>
      <c r="B34" s="10" t="s">
        <v>5</v>
      </c>
      <c r="C34" s="11" t="s">
        <v>6</v>
      </c>
      <c r="D34" s="12" t="s">
        <v>7</v>
      </c>
      <c r="E34" s="10" t="s">
        <v>8</v>
      </c>
      <c r="F34" s="12"/>
      <c r="G34" s="24"/>
      <c r="H34" s="24"/>
      <c r="I34" s="12" t="s">
        <v>7</v>
      </c>
      <c r="J34" s="12" t="s">
        <v>8</v>
      </c>
      <c r="K34" s="12" t="s">
        <v>10</v>
      </c>
      <c r="L34" s="29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2.0</v>
      </c>
      <c r="B35" s="12" t="s">
        <v>42</v>
      </c>
      <c r="C35" s="14" t="s">
        <v>238</v>
      </c>
      <c r="D35" s="15">
        <v>23000.0</v>
      </c>
      <c r="E35" s="15">
        <f t="shared" ref="E35:E69" si="9">A35*D35</f>
        <v>46000</v>
      </c>
      <c r="F35" s="16"/>
      <c r="G35" s="24"/>
      <c r="H35" s="24"/>
      <c r="I35" s="16">
        <v>19500.0</v>
      </c>
      <c r="J35" s="16">
        <f t="shared" ref="J35:J69" si="10">I35*A35</f>
        <v>39000</v>
      </c>
      <c r="K35" s="16">
        <f t="shared" ref="K35:K69" si="11">E35-J35</f>
        <v>7000</v>
      </c>
      <c r="L35" s="30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1.0</v>
      </c>
      <c r="B36" s="12" t="s">
        <v>42</v>
      </c>
      <c r="C36" s="14" t="s">
        <v>239</v>
      </c>
      <c r="D36" s="15">
        <v>18000.0</v>
      </c>
      <c r="E36" s="15">
        <f t="shared" si="9"/>
        <v>18000</v>
      </c>
      <c r="F36" s="16"/>
      <c r="G36" s="24"/>
      <c r="H36" s="24"/>
      <c r="I36" s="16">
        <v>15000.0</v>
      </c>
      <c r="J36" s="16">
        <f t="shared" si="10"/>
        <v>15000</v>
      </c>
      <c r="K36" s="16">
        <f t="shared" si="11"/>
        <v>3000</v>
      </c>
      <c r="L36" s="30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42</v>
      </c>
      <c r="C37" s="14" t="s">
        <v>68</v>
      </c>
      <c r="D37" s="15">
        <v>15000.0</v>
      </c>
      <c r="E37" s="15">
        <f t="shared" si="9"/>
        <v>15000</v>
      </c>
      <c r="F37" s="16"/>
      <c r="G37" s="24"/>
      <c r="H37" s="24"/>
      <c r="I37" s="16">
        <v>13000.0</v>
      </c>
      <c r="J37" s="16">
        <f t="shared" si="10"/>
        <v>13000</v>
      </c>
      <c r="K37" s="16">
        <f t="shared" si="11"/>
        <v>2000</v>
      </c>
      <c r="L37" s="30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1.0</v>
      </c>
      <c r="B38" s="12" t="s">
        <v>11</v>
      </c>
      <c r="C38" s="14" t="s">
        <v>67</v>
      </c>
      <c r="D38" s="15">
        <v>22000.0</v>
      </c>
      <c r="E38" s="15">
        <f t="shared" si="9"/>
        <v>22000</v>
      </c>
      <c r="F38" s="16"/>
      <c r="G38" s="24"/>
      <c r="H38" s="24"/>
      <c r="I38" s="16">
        <v>17000.0</v>
      </c>
      <c r="J38" s="16">
        <f t="shared" si="10"/>
        <v>17000</v>
      </c>
      <c r="K38" s="16">
        <f t="shared" si="11"/>
        <v>5000</v>
      </c>
      <c r="L38" s="30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1.0</v>
      </c>
      <c r="B39" s="12" t="s">
        <v>11</v>
      </c>
      <c r="C39" s="14" t="s">
        <v>12</v>
      </c>
      <c r="D39" s="15">
        <v>48000.0</v>
      </c>
      <c r="E39" s="15">
        <f t="shared" si="9"/>
        <v>48000</v>
      </c>
      <c r="F39" s="16"/>
      <c r="G39" s="24"/>
      <c r="H39" s="24"/>
      <c r="I39" s="16">
        <v>38000.0</v>
      </c>
      <c r="J39" s="16">
        <f t="shared" si="10"/>
        <v>38000</v>
      </c>
      <c r="K39" s="16">
        <f t="shared" si="11"/>
        <v>10000</v>
      </c>
      <c r="L39" s="30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1.0</v>
      </c>
      <c r="B40" s="12" t="s">
        <v>17</v>
      </c>
      <c r="C40" s="14" t="s">
        <v>14</v>
      </c>
      <c r="D40" s="15">
        <v>3500.0</v>
      </c>
      <c r="E40" s="15">
        <f t="shared" si="9"/>
        <v>3500</v>
      </c>
      <c r="F40" s="16"/>
      <c r="G40" s="24"/>
      <c r="H40" s="24"/>
      <c r="I40" s="16">
        <f>40000/17</f>
        <v>2352.941176</v>
      </c>
      <c r="J40" s="16">
        <f t="shared" si="10"/>
        <v>2352.941176</v>
      </c>
      <c r="K40" s="16">
        <f t="shared" si="11"/>
        <v>1147.058824</v>
      </c>
      <c r="L40" s="30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5.0</v>
      </c>
      <c r="B41" s="12" t="s">
        <v>5</v>
      </c>
      <c r="C41" s="14" t="s">
        <v>69</v>
      </c>
      <c r="D41" s="15">
        <v>1200.0</v>
      </c>
      <c r="E41" s="15">
        <f t="shared" si="9"/>
        <v>6000</v>
      </c>
      <c r="F41" s="16"/>
      <c r="G41" s="24"/>
      <c r="H41" s="24"/>
      <c r="I41" s="16">
        <v>560.0</v>
      </c>
      <c r="J41" s="16">
        <f t="shared" si="10"/>
        <v>2800</v>
      </c>
      <c r="K41" s="16">
        <f t="shared" si="11"/>
        <v>3200</v>
      </c>
      <c r="L41" s="30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1.0</v>
      </c>
      <c r="B42" s="12" t="s">
        <v>240</v>
      </c>
      <c r="C42" s="14" t="s">
        <v>49</v>
      </c>
      <c r="D42" s="15">
        <v>2000.0</v>
      </c>
      <c r="E42" s="15">
        <f t="shared" si="9"/>
        <v>2000</v>
      </c>
      <c r="F42" s="16"/>
      <c r="G42" s="24"/>
      <c r="H42" s="24"/>
      <c r="I42" s="16">
        <v>1600.0</v>
      </c>
      <c r="J42" s="16">
        <f t="shared" si="10"/>
        <v>1600</v>
      </c>
      <c r="K42" s="16">
        <f t="shared" si="11"/>
        <v>400</v>
      </c>
      <c r="L42" s="30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78">
        <v>6.0</v>
      </c>
      <c r="B43" s="10" t="s">
        <v>17</v>
      </c>
      <c r="C43" s="11" t="s">
        <v>179</v>
      </c>
      <c r="D43" s="15">
        <v>1600.0</v>
      </c>
      <c r="E43" s="15">
        <f t="shared" si="9"/>
        <v>9600</v>
      </c>
      <c r="F43" s="3"/>
      <c r="G43" s="3"/>
      <c r="H43" s="3"/>
      <c r="I43" s="15">
        <f>1000</f>
        <v>1000</v>
      </c>
      <c r="J43" s="15">
        <f t="shared" si="10"/>
        <v>6000</v>
      </c>
      <c r="K43" s="15">
        <f t="shared" si="11"/>
        <v>3600</v>
      </c>
      <c r="L43" s="30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78">
        <v>2.0</v>
      </c>
      <c r="B44" s="10" t="s">
        <v>11</v>
      </c>
      <c r="C44" s="11" t="s">
        <v>241</v>
      </c>
      <c r="D44" s="15">
        <v>15000.0</v>
      </c>
      <c r="E44" s="15">
        <f t="shared" si="9"/>
        <v>30000</v>
      </c>
      <c r="F44" s="3"/>
      <c r="G44" s="3"/>
      <c r="H44" s="3"/>
      <c r="I44" s="15">
        <v>10000.0</v>
      </c>
      <c r="J44" s="15">
        <f t="shared" si="10"/>
        <v>20000</v>
      </c>
      <c r="K44" s="15">
        <f t="shared" si="11"/>
        <v>10000</v>
      </c>
      <c r="L44" s="30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78">
        <v>6.0</v>
      </c>
      <c r="B45" s="10" t="s">
        <v>17</v>
      </c>
      <c r="C45" s="11" t="s">
        <v>65</v>
      </c>
      <c r="D45" s="15">
        <v>3200.0</v>
      </c>
      <c r="E45" s="15">
        <f t="shared" si="9"/>
        <v>19200</v>
      </c>
      <c r="F45" s="3"/>
      <c r="G45" s="3"/>
      <c r="H45" s="3"/>
      <c r="I45" s="15">
        <f>40000/15</f>
        <v>2666.666667</v>
      </c>
      <c r="J45" s="15">
        <f t="shared" si="10"/>
        <v>16000</v>
      </c>
      <c r="K45" s="15">
        <f t="shared" si="11"/>
        <v>3200</v>
      </c>
      <c r="L45" s="30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78">
        <v>6.0</v>
      </c>
      <c r="B46" s="10" t="s">
        <v>17</v>
      </c>
      <c r="C46" s="11" t="s">
        <v>159</v>
      </c>
      <c r="D46" s="15">
        <v>3200.0</v>
      </c>
      <c r="E46" s="15">
        <f t="shared" si="9"/>
        <v>19200</v>
      </c>
      <c r="F46" s="3"/>
      <c r="G46" s="3"/>
      <c r="H46" s="3"/>
      <c r="I46" s="15">
        <v>2500.0</v>
      </c>
      <c r="J46" s="15">
        <f t="shared" si="10"/>
        <v>15000</v>
      </c>
      <c r="K46" s="15">
        <f t="shared" si="11"/>
        <v>4200</v>
      </c>
      <c r="L46" s="30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3.0</v>
      </c>
      <c r="B47" s="12" t="s">
        <v>17</v>
      </c>
      <c r="C47" s="14" t="s">
        <v>23</v>
      </c>
      <c r="D47" s="15">
        <v>3000.0</v>
      </c>
      <c r="E47" s="15">
        <f t="shared" si="9"/>
        <v>9000</v>
      </c>
      <c r="F47" s="16"/>
      <c r="G47" s="24"/>
      <c r="H47" s="24"/>
      <c r="I47" s="16">
        <f>12000/8</f>
        <v>1500</v>
      </c>
      <c r="J47" s="16">
        <f t="shared" si="10"/>
        <v>4500</v>
      </c>
      <c r="K47" s="16">
        <f t="shared" si="11"/>
        <v>4500</v>
      </c>
      <c r="L47" s="30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1.0</v>
      </c>
      <c r="B48" s="12" t="s">
        <v>17</v>
      </c>
      <c r="C48" s="14" t="s">
        <v>61</v>
      </c>
      <c r="D48" s="15">
        <v>3500.0</v>
      </c>
      <c r="E48" s="15">
        <f t="shared" si="9"/>
        <v>3500</v>
      </c>
      <c r="F48" s="16"/>
      <c r="G48" s="24"/>
      <c r="H48" s="24"/>
      <c r="I48" s="16">
        <f>16000/8</f>
        <v>2000</v>
      </c>
      <c r="J48" s="16">
        <f t="shared" si="10"/>
        <v>2000</v>
      </c>
      <c r="K48" s="16">
        <f t="shared" si="11"/>
        <v>1500</v>
      </c>
      <c r="L48" s="30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1.0</v>
      </c>
      <c r="B49" s="12" t="s">
        <v>17</v>
      </c>
      <c r="C49" s="14" t="s">
        <v>24</v>
      </c>
      <c r="D49" s="15">
        <v>2800.0</v>
      </c>
      <c r="E49" s="15">
        <f t="shared" si="9"/>
        <v>2800</v>
      </c>
      <c r="F49" s="16"/>
      <c r="G49" s="24"/>
      <c r="H49" s="24"/>
      <c r="I49" s="16">
        <v>3000.0</v>
      </c>
      <c r="J49" s="16">
        <f t="shared" si="10"/>
        <v>3000</v>
      </c>
      <c r="K49" s="16">
        <f t="shared" si="11"/>
        <v>-200</v>
      </c>
      <c r="L49" s="30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1.0</v>
      </c>
      <c r="B50" s="12" t="s">
        <v>17</v>
      </c>
      <c r="C50" s="14" t="s">
        <v>30</v>
      </c>
      <c r="D50" s="15">
        <v>2000.0</v>
      </c>
      <c r="E50" s="15">
        <f t="shared" si="9"/>
        <v>2000</v>
      </c>
      <c r="F50" s="16"/>
      <c r="G50" s="24"/>
      <c r="H50" s="24"/>
      <c r="I50" s="16">
        <f>20000/15</f>
        <v>1333.333333</v>
      </c>
      <c r="J50" s="16">
        <f t="shared" si="10"/>
        <v>1333.333333</v>
      </c>
      <c r="K50" s="16">
        <f t="shared" si="11"/>
        <v>666.6666667</v>
      </c>
      <c r="L50" s="30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1.0</v>
      </c>
      <c r="B51" s="12" t="s">
        <v>17</v>
      </c>
      <c r="C51" s="14" t="s">
        <v>62</v>
      </c>
      <c r="D51" s="15">
        <v>1800.0</v>
      </c>
      <c r="E51" s="15">
        <f t="shared" si="9"/>
        <v>1800</v>
      </c>
      <c r="F51" s="16"/>
      <c r="G51" s="24"/>
      <c r="H51" s="24"/>
      <c r="I51" s="16">
        <f>10000/8</f>
        <v>1250</v>
      </c>
      <c r="J51" s="16">
        <f t="shared" si="10"/>
        <v>1250</v>
      </c>
      <c r="K51" s="16">
        <f t="shared" si="11"/>
        <v>550</v>
      </c>
      <c r="L51" s="30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2.0</v>
      </c>
      <c r="B52" s="12" t="s">
        <v>17</v>
      </c>
      <c r="C52" s="14" t="s">
        <v>144</v>
      </c>
      <c r="D52" s="15">
        <v>4000.0</v>
      </c>
      <c r="E52" s="15">
        <f t="shared" si="9"/>
        <v>8000</v>
      </c>
      <c r="F52" s="16"/>
      <c r="G52" s="24"/>
      <c r="H52" s="24"/>
      <c r="I52" s="16">
        <v>3000.0</v>
      </c>
      <c r="J52" s="16">
        <f t="shared" si="10"/>
        <v>6000</v>
      </c>
      <c r="K52" s="16">
        <f t="shared" si="11"/>
        <v>2000</v>
      </c>
      <c r="L52" s="30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12.0</v>
      </c>
      <c r="B53" s="12" t="s">
        <v>5</v>
      </c>
      <c r="C53" s="14" t="s">
        <v>38</v>
      </c>
      <c r="D53" s="15">
        <v>1400.0</v>
      </c>
      <c r="E53" s="15">
        <f t="shared" si="9"/>
        <v>16800</v>
      </c>
      <c r="F53" s="16"/>
      <c r="G53" s="24"/>
      <c r="H53" s="24"/>
      <c r="I53" s="16">
        <f>65000/80</f>
        <v>812.5</v>
      </c>
      <c r="J53" s="16">
        <f t="shared" si="10"/>
        <v>9750</v>
      </c>
      <c r="K53" s="16">
        <f t="shared" si="11"/>
        <v>7050</v>
      </c>
      <c r="L53" s="30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1.0</v>
      </c>
      <c r="B54" s="12" t="s">
        <v>240</v>
      </c>
      <c r="C54" s="14" t="s">
        <v>63</v>
      </c>
      <c r="D54" s="15">
        <v>2000.0</v>
      </c>
      <c r="E54" s="15">
        <f t="shared" si="9"/>
        <v>2000</v>
      </c>
      <c r="F54" s="16"/>
      <c r="G54" s="24"/>
      <c r="H54" s="24"/>
      <c r="I54" s="16">
        <v>1500.0</v>
      </c>
      <c r="J54" s="16">
        <f t="shared" si="10"/>
        <v>1500</v>
      </c>
      <c r="K54" s="16">
        <f t="shared" si="11"/>
        <v>500</v>
      </c>
      <c r="L54" s="30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1.0</v>
      </c>
      <c r="B55" s="12" t="s">
        <v>240</v>
      </c>
      <c r="C55" s="14" t="s">
        <v>51</v>
      </c>
      <c r="D55" s="15">
        <v>3000.0</v>
      </c>
      <c r="E55" s="15">
        <f t="shared" si="9"/>
        <v>3000</v>
      </c>
      <c r="F55" s="16"/>
      <c r="G55" s="24"/>
      <c r="H55" s="24"/>
      <c r="I55" s="16">
        <v>2000.0</v>
      </c>
      <c r="J55" s="16">
        <f t="shared" si="10"/>
        <v>2000</v>
      </c>
      <c r="K55" s="16">
        <f t="shared" si="11"/>
        <v>1000</v>
      </c>
      <c r="L55" s="30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1.0</v>
      </c>
      <c r="B56" s="12" t="s">
        <v>11</v>
      </c>
      <c r="C56" s="14" t="s">
        <v>60</v>
      </c>
      <c r="D56" s="15">
        <v>9000.0</v>
      </c>
      <c r="E56" s="15">
        <f t="shared" si="9"/>
        <v>9000</v>
      </c>
      <c r="F56" s="16"/>
      <c r="G56" s="24"/>
      <c r="H56" s="24"/>
      <c r="I56" s="16">
        <v>6000.0</v>
      </c>
      <c r="J56" s="16">
        <f t="shared" si="10"/>
        <v>6000</v>
      </c>
      <c r="K56" s="16">
        <f t="shared" si="11"/>
        <v>3000</v>
      </c>
      <c r="L56" s="30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1.0</v>
      </c>
      <c r="B57" s="12" t="s">
        <v>11</v>
      </c>
      <c r="C57" s="14" t="s">
        <v>59</v>
      </c>
      <c r="D57" s="15">
        <v>18000.0</v>
      </c>
      <c r="E57" s="15">
        <f t="shared" si="9"/>
        <v>18000</v>
      </c>
      <c r="F57" s="16"/>
      <c r="G57" s="24"/>
      <c r="H57" s="24"/>
      <c r="I57" s="16">
        <v>15000.0</v>
      </c>
      <c r="J57" s="16">
        <f t="shared" si="10"/>
        <v>15000</v>
      </c>
      <c r="K57" s="16">
        <f t="shared" si="11"/>
        <v>3000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1.0</v>
      </c>
      <c r="B58" s="12" t="s">
        <v>11</v>
      </c>
      <c r="C58" s="14" t="s">
        <v>52</v>
      </c>
      <c r="D58" s="15">
        <v>18000.0</v>
      </c>
      <c r="E58" s="15">
        <f t="shared" si="9"/>
        <v>18000</v>
      </c>
      <c r="F58" s="16"/>
      <c r="G58" s="24"/>
      <c r="H58" s="24"/>
      <c r="I58" s="16">
        <v>15000.0</v>
      </c>
      <c r="J58" s="16">
        <f t="shared" si="10"/>
        <v>15000</v>
      </c>
      <c r="K58" s="16">
        <f t="shared" si="11"/>
        <v>3000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2.0</v>
      </c>
      <c r="B59" s="12" t="s">
        <v>5</v>
      </c>
      <c r="C59" s="14" t="s">
        <v>31</v>
      </c>
      <c r="D59" s="15">
        <v>2000.0</v>
      </c>
      <c r="E59" s="15">
        <f t="shared" si="9"/>
        <v>4000</v>
      </c>
      <c r="F59" s="16"/>
      <c r="G59" s="24"/>
      <c r="H59" s="24"/>
      <c r="I59" s="16">
        <v>1500.0</v>
      </c>
      <c r="J59" s="16">
        <f t="shared" si="10"/>
        <v>3000</v>
      </c>
      <c r="K59" s="16">
        <f t="shared" si="11"/>
        <v>1000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1.0</v>
      </c>
      <c r="B60" s="12" t="s">
        <v>11</v>
      </c>
      <c r="C60" s="14" t="s">
        <v>36</v>
      </c>
      <c r="D60" s="15">
        <v>36000.0</v>
      </c>
      <c r="E60" s="15">
        <f t="shared" si="9"/>
        <v>36000</v>
      </c>
      <c r="F60" s="16"/>
      <c r="G60" s="24"/>
      <c r="H60" s="24"/>
      <c r="I60" s="16">
        <v>30000.0</v>
      </c>
      <c r="J60" s="16">
        <f t="shared" si="10"/>
        <v>30000</v>
      </c>
      <c r="K60" s="16">
        <f t="shared" si="11"/>
        <v>6000</v>
      </c>
      <c r="L60" s="30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3.0</v>
      </c>
      <c r="B61" s="12" t="s">
        <v>5</v>
      </c>
      <c r="C61" s="14" t="s">
        <v>242</v>
      </c>
      <c r="D61" s="15">
        <v>6000.0</v>
      </c>
      <c r="E61" s="15">
        <f t="shared" si="9"/>
        <v>18000</v>
      </c>
      <c r="F61" s="16"/>
      <c r="G61" s="24"/>
      <c r="H61" s="24"/>
      <c r="I61" s="16">
        <v>4000.0</v>
      </c>
      <c r="J61" s="16">
        <f t="shared" si="10"/>
        <v>12000</v>
      </c>
      <c r="K61" s="16">
        <f t="shared" si="11"/>
        <v>6000</v>
      </c>
      <c r="L61" s="30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2.0</v>
      </c>
      <c r="B62" s="12" t="s">
        <v>17</v>
      </c>
      <c r="C62" s="14" t="s">
        <v>243</v>
      </c>
      <c r="D62" s="15">
        <v>3000.0</v>
      </c>
      <c r="E62" s="15">
        <f t="shared" si="9"/>
        <v>6000</v>
      </c>
      <c r="F62" s="16"/>
      <c r="G62" s="24"/>
      <c r="H62" s="24"/>
      <c r="I62" s="16">
        <f>21000/9</f>
        <v>2333.333333</v>
      </c>
      <c r="J62" s="16">
        <f t="shared" si="10"/>
        <v>4666.666667</v>
      </c>
      <c r="K62" s="16">
        <f t="shared" si="11"/>
        <v>1333.333333</v>
      </c>
      <c r="L62" s="30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1.0</v>
      </c>
      <c r="B63" s="12" t="s">
        <v>240</v>
      </c>
      <c r="C63" s="14" t="s">
        <v>244</v>
      </c>
      <c r="D63" s="15">
        <v>2000.0</v>
      </c>
      <c r="E63" s="15">
        <f t="shared" si="9"/>
        <v>2000</v>
      </c>
      <c r="F63" s="16"/>
      <c r="G63" s="24"/>
      <c r="H63" s="24"/>
      <c r="I63" s="16">
        <v>1000.0</v>
      </c>
      <c r="J63" s="16">
        <f t="shared" si="10"/>
        <v>1000</v>
      </c>
      <c r="K63" s="16">
        <f t="shared" si="11"/>
        <v>1000</v>
      </c>
      <c r="L63" s="30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1.0</v>
      </c>
      <c r="B64" s="12" t="s">
        <v>5</v>
      </c>
      <c r="C64" s="14" t="s">
        <v>245</v>
      </c>
      <c r="D64" s="15">
        <v>5000.0</v>
      </c>
      <c r="E64" s="15">
        <f t="shared" si="9"/>
        <v>5000</v>
      </c>
      <c r="F64" s="16"/>
      <c r="G64" s="24"/>
      <c r="H64" s="24"/>
      <c r="I64" s="16">
        <v>3000.0</v>
      </c>
      <c r="J64" s="16">
        <f t="shared" si="10"/>
        <v>3000</v>
      </c>
      <c r="K64" s="16">
        <f t="shared" si="11"/>
        <v>2000</v>
      </c>
      <c r="L64" s="30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1.0</v>
      </c>
      <c r="B65" s="12" t="s">
        <v>5</v>
      </c>
      <c r="C65" s="14" t="s">
        <v>16</v>
      </c>
      <c r="D65" s="15">
        <v>6000.0</v>
      </c>
      <c r="E65" s="15">
        <f t="shared" si="9"/>
        <v>6000</v>
      </c>
      <c r="F65" s="16"/>
      <c r="G65" s="24"/>
      <c r="H65" s="24"/>
      <c r="I65" s="16">
        <v>6000.0</v>
      </c>
      <c r="J65" s="16">
        <f t="shared" si="10"/>
        <v>6000</v>
      </c>
      <c r="K65" s="16">
        <f t="shared" si="11"/>
        <v>0</v>
      </c>
      <c r="L65" s="30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1.0</v>
      </c>
      <c r="B66" s="12" t="s">
        <v>17</v>
      </c>
      <c r="C66" s="14" t="s">
        <v>220</v>
      </c>
      <c r="D66" s="15">
        <v>4500.0</v>
      </c>
      <c r="E66" s="15">
        <f t="shared" si="9"/>
        <v>4500</v>
      </c>
      <c r="F66" s="16"/>
      <c r="G66" s="24"/>
      <c r="H66" s="24"/>
      <c r="I66" s="16">
        <v>0.0</v>
      </c>
      <c r="J66" s="16">
        <f t="shared" si="10"/>
        <v>0</v>
      </c>
      <c r="K66" s="16">
        <f t="shared" si="11"/>
        <v>4500</v>
      </c>
      <c r="L66" s="30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1.0</v>
      </c>
      <c r="B67" s="12" t="s">
        <v>5</v>
      </c>
      <c r="C67" s="14" t="s">
        <v>217</v>
      </c>
      <c r="D67" s="15">
        <v>2500.0</v>
      </c>
      <c r="E67" s="15">
        <f t="shared" si="9"/>
        <v>2500</v>
      </c>
      <c r="F67" s="16"/>
      <c r="G67" s="24"/>
      <c r="H67" s="24"/>
      <c r="I67" s="16">
        <v>1500.0</v>
      </c>
      <c r="J67" s="16">
        <f t="shared" si="10"/>
        <v>1500</v>
      </c>
      <c r="K67" s="16">
        <f t="shared" si="11"/>
        <v>1000</v>
      </c>
      <c r="L67" s="30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0.5</v>
      </c>
      <c r="B68" s="12" t="s">
        <v>11</v>
      </c>
      <c r="C68" s="14" t="s">
        <v>182</v>
      </c>
      <c r="D68" s="15">
        <v>46000.0</v>
      </c>
      <c r="E68" s="15">
        <f t="shared" si="9"/>
        <v>23000</v>
      </c>
      <c r="F68" s="16"/>
      <c r="G68" s="24"/>
      <c r="H68" s="24"/>
      <c r="I68" s="16">
        <v>40000.0</v>
      </c>
      <c r="J68" s="16">
        <f t="shared" si="10"/>
        <v>20000</v>
      </c>
      <c r="K68" s="16">
        <f t="shared" si="11"/>
        <v>3000</v>
      </c>
      <c r="L68" s="30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0.5</v>
      </c>
      <c r="B69" s="12" t="s">
        <v>11</v>
      </c>
      <c r="C69" s="14" t="s">
        <v>20</v>
      </c>
      <c r="D69" s="15">
        <v>20000.0</v>
      </c>
      <c r="E69" s="15">
        <f t="shared" si="9"/>
        <v>10000</v>
      </c>
      <c r="F69" s="16"/>
      <c r="G69" s="24"/>
      <c r="H69" s="24"/>
      <c r="I69" s="16">
        <v>15000.0</v>
      </c>
      <c r="J69" s="16">
        <f t="shared" si="10"/>
        <v>7500</v>
      </c>
      <c r="K69" s="16">
        <f t="shared" si="11"/>
        <v>2500</v>
      </c>
      <c r="L69" s="30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/>
      <c r="B70" s="12"/>
      <c r="C70" s="14"/>
      <c r="D70" s="15"/>
      <c r="E70" s="16"/>
      <c r="F70" s="16"/>
      <c r="G70" s="24"/>
      <c r="H70" s="24"/>
      <c r="I70" s="16"/>
      <c r="J70" s="16"/>
      <c r="K70" s="16"/>
      <c r="L70" s="30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/>
      <c r="B71" s="12"/>
      <c r="C71" s="14"/>
      <c r="D71" s="15"/>
      <c r="E71" s="16">
        <f>SUM(E35:E69)</f>
        <v>449400</v>
      </c>
      <c r="F71" s="16"/>
      <c r="G71" s="24"/>
      <c r="H71" s="24"/>
      <c r="I71" s="16"/>
      <c r="J71" s="16"/>
      <c r="K71" s="16">
        <f>SUM(K35:K69)</f>
        <v>107647.0588</v>
      </c>
      <c r="L71" s="30">
        <f>K71/E71</f>
        <v>0.2395350664</v>
      </c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/>
      <c r="B72" s="12"/>
      <c r="C72" s="14"/>
      <c r="D72" s="15"/>
      <c r="E72" s="3"/>
      <c r="F72" s="3"/>
      <c r="G72" s="2"/>
      <c r="H72" s="2"/>
      <c r="I72" s="2"/>
      <c r="J72" s="2"/>
      <c r="K72" s="3"/>
      <c r="L72" s="4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33"/>
      <c r="B73" s="34"/>
      <c r="C73" s="2"/>
      <c r="D73" s="3"/>
      <c r="E73" s="3"/>
      <c r="F73" s="3"/>
      <c r="G73" s="2"/>
      <c r="H73" s="2"/>
      <c r="I73" s="2"/>
      <c r="J73" s="2"/>
      <c r="K73" s="3"/>
      <c r="L73" s="4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33"/>
      <c r="B74" s="34"/>
      <c r="C74" s="2"/>
      <c r="E74" s="3"/>
      <c r="F74" s="3"/>
      <c r="G74" s="2"/>
      <c r="H74" s="2"/>
      <c r="I74" s="2"/>
      <c r="J74" s="2"/>
      <c r="K74" s="3"/>
      <c r="L74" s="4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23" t="s">
        <v>183</v>
      </c>
      <c r="B75" s="23"/>
      <c r="C75" s="23"/>
      <c r="D75" s="25" t="s">
        <v>171</v>
      </c>
      <c r="E75" s="7">
        <v>46038.0</v>
      </c>
      <c r="G75" s="24"/>
      <c r="H75" s="24"/>
      <c r="I75" s="16"/>
      <c r="J75" s="16"/>
      <c r="K75" s="16"/>
      <c r="L75" s="29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B76" s="24"/>
      <c r="C76" s="26"/>
      <c r="D76" s="24"/>
      <c r="E76" s="24"/>
      <c r="F76" s="24"/>
      <c r="G76" s="24"/>
      <c r="H76" s="24"/>
      <c r="I76" s="16"/>
      <c r="J76" s="16"/>
      <c r="K76" s="16"/>
      <c r="L76" s="29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5" t="s">
        <v>4</v>
      </c>
      <c r="B77" s="10" t="s">
        <v>5</v>
      </c>
      <c r="C77" s="11" t="s">
        <v>6</v>
      </c>
      <c r="D77" s="12" t="s">
        <v>7</v>
      </c>
      <c r="E77" s="10" t="s">
        <v>8</v>
      </c>
      <c r="F77" s="12"/>
      <c r="G77" s="24"/>
      <c r="H77" s="24"/>
      <c r="I77" s="12" t="s">
        <v>7</v>
      </c>
      <c r="J77" s="12" t="s">
        <v>8</v>
      </c>
      <c r="K77" s="12" t="s">
        <v>10</v>
      </c>
      <c r="L77" s="29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1.0</v>
      </c>
      <c r="B78" s="12" t="s">
        <v>13</v>
      </c>
      <c r="C78" s="14" t="s">
        <v>246</v>
      </c>
      <c r="D78" s="15">
        <v>34000.0</v>
      </c>
      <c r="E78" s="15">
        <f t="shared" ref="E78:E79" si="12">A78*D78</f>
        <v>34000</v>
      </c>
      <c r="F78" s="16"/>
      <c r="G78" s="24"/>
      <c r="H78" s="24"/>
      <c r="I78" s="15">
        <v>30000.0</v>
      </c>
      <c r="J78" s="16">
        <f t="shared" ref="J78:J79" si="13">I78*A78</f>
        <v>30000</v>
      </c>
      <c r="K78" s="16">
        <f t="shared" ref="K78:K79" si="14">E78-J78</f>
        <v>4000</v>
      </c>
      <c r="L78" s="31" t="s">
        <v>2</v>
      </c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1.0</v>
      </c>
      <c r="B79" s="12" t="s">
        <v>28</v>
      </c>
      <c r="C79" s="14" t="s">
        <v>172</v>
      </c>
      <c r="D79" s="15">
        <v>6000.0</v>
      </c>
      <c r="E79" s="15">
        <f t="shared" si="12"/>
        <v>6000</v>
      </c>
      <c r="F79" s="16"/>
      <c r="G79" s="24"/>
      <c r="H79" s="24"/>
      <c r="I79" s="15">
        <v>5000.0</v>
      </c>
      <c r="J79" s="16">
        <f t="shared" si="13"/>
        <v>5000</v>
      </c>
      <c r="K79" s="16">
        <f t="shared" si="14"/>
        <v>1000</v>
      </c>
      <c r="L79" s="31" t="s">
        <v>2</v>
      </c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/>
      <c r="B80" s="12"/>
      <c r="C80" s="14"/>
      <c r="D80" s="15"/>
      <c r="E80" s="16"/>
      <c r="F80" s="16"/>
      <c r="G80" s="24"/>
      <c r="H80" s="24"/>
      <c r="I80" s="16"/>
      <c r="J80" s="16"/>
      <c r="K80" s="16"/>
      <c r="L80" s="30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/>
      <c r="B81" s="12"/>
      <c r="C81" s="14"/>
      <c r="D81" s="15"/>
      <c r="E81" s="16">
        <f>SUM(E78:E79)</f>
        <v>40000</v>
      </c>
      <c r="F81" s="16"/>
      <c r="G81" s="24"/>
      <c r="H81" s="24"/>
      <c r="I81" s="16"/>
      <c r="J81" s="16"/>
      <c r="K81" s="16">
        <f>SUM(K78:K79)</f>
        <v>5000</v>
      </c>
      <c r="L81" s="30">
        <f>K81/E81</f>
        <v>0.125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33"/>
      <c r="B82" s="34"/>
      <c r="C82" s="2"/>
      <c r="D82" s="3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33"/>
      <c r="B83" s="34"/>
      <c r="C83" s="2"/>
      <c r="D83" s="3"/>
      <c r="E83" s="3"/>
      <c r="F83" s="3"/>
      <c r="G83" s="2"/>
      <c r="H83" s="2"/>
      <c r="I83" s="2"/>
      <c r="J83" s="2"/>
      <c r="K83" s="3"/>
      <c r="L83" s="4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33"/>
      <c r="B84" s="34"/>
      <c r="C84" s="2"/>
      <c r="E84" s="3"/>
      <c r="F84" s="3"/>
      <c r="G84" s="2"/>
      <c r="H84" s="2"/>
      <c r="I84" s="2"/>
      <c r="J84" s="2"/>
      <c r="K84" s="3"/>
      <c r="L84" s="4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23" t="s">
        <v>80</v>
      </c>
      <c r="B85" s="23"/>
      <c r="C85" s="23"/>
      <c r="D85" s="25" t="s">
        <v>247</v>
      </c>
      <c r="E85" s="7">
        <v>46038.0</v>
      </c>
      <c r="G85" s="24"/>
      <c r="H85" s="24"/>
      <c r="I85" s="16"/>
      <c r="J85" s="16"/>
      <c r="K85" s="16"/>
      <c r="L85" s="29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B86" s="24"/>
      <c r="C86" s="26"/>
      <c r="D86" s="24"/>
      <c r="E86" s="24"/>
      <c r="F86" s="24"/>
      <c r="G86" s="24"/>
      <c r="H86" s="24"/>
      <c r="I86" s="16"/>
      <c r="J86" s="16"/>
      <c r="K86" s="16"/>
      <c r="L86" s="29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5" t="s">
        <v>4</v>
      </c>
      <c r="B87" s="10" t="s">
        <v>5</v>
      </c>
      <c r="C87" s="11" t="s">
        <v>6</v>
      </c>
      <c r="D87" s="12" t="s">
        <v>7</v>
      </c>
      <c r="E87" s="10" t="s">
        <v>8</v>
      </c>
      <c r="F87" s="12"/>
      <c r="G87" s="24"/>
      <c r="H87" s="24"/>
      <c r="I87" s="12" t="s">
        <v>7</v>
      </c>
      <c r="J87" s="12" t="s">
        <v>8</v>
      </c>
      <c r="K87" s="12" t="s">
        <v>10</v>
      </c>
      <c r="L87" s="29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4.0</v>
      </c>
      <c r="B88" s="12" t="s">
        <v>17</v>
      </c>
      <c r="C88" s="14" t="s">
        <v>162</v>
      </c>
      <c r="D88" s="15">
        <v>3500.0</v>
      </c>
      <c r="E88" s="15">
        <f t="shared" ref="E88:E93" si="15">A88*D88</f>
        <v>14000</v>
      </c>
      <c r="F88" s="16"/>
      <c r="G88" s="24"/>
      <c r="H88" s="24"/>
      <c r="I88" s="15">
        <f>42000/15</f>
        <v>2800</v>
      </c>
      <c r="J88" s="16">
        <f t="shared" ref="J88:J93" si="16">I88*A88</f>
        <v>11200</v>
      </c>
      <c r="K88" s="16">
        <f t="shared" ref="K88:K93" si="17">E88-J88</f>
        <v>2800</v>
      </c>
      <c r="L88" s="30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0.5</v>
      </c>
      <c r="B89" s="12" t="s">
        <v>11</v>
      </c>
      <c r="C89" s="14" t="s">
        <v>60</v>
      </c>
      <c r="D89" s="15">
        <v>10000.0</v>
      </c>
      <c r="E89" s="15">
        <f t="shared" si="15"/>
        <v>5000</v>
      </c>
      <c r="F89" s="16"/>
      <c r="G89" s="24"/>
      <c r="H89" s="24"/>
      <c r="I89" s="16">
        <v>6000.0</v>
      </c>
      <c r="J89" s="16">
        <f t="shared" si="16"/>
        <v>3000</v>
      </c>
      <c r="K89" s="16">
        <f t="shared" si="17"/>
        <v>2000</v>
      </c>
      <c r="L89" s="30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0.5</v>
      </c>
      <c r="B90" s="12" t="s">
        <v>17</v>
      </c>
      <c r="C90" s="14" t="s">
        <v>22</v>
      </c>
      <c r="D90" s="15">
        <v>3500.0</v>
      </c>
      <c r="E90" s="15">
        <f t="shared" si="15"/>
        <v>1750</v>
      </c>
      <c r="F90" s="16"/>
      <c r="G90" s="24"/>
      <c r="H90" s="24"/>
      <c r="I90" s="16">
        <v>2333.0</v>
      </c>
      <c r="J90" s="16">
        <f t="shared" si="16"/>
        <v>1166.5</v>
      </c>
      <c r="K90" s="16">
        <f t="shared" si="17"/>
        <v>583.5</v>
      </c>
      <c r="L90" s="30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1.0</v>
      </c>
      <c r="B91" s="12" t="s">
        <v>17</v>
      </c>
      <c r="C91" s="14" t="s">
        <v>59</v>
      </c>
      <c r="D91" s="15">
        <v>3500.0</v>
      </c>
      <c r="E91" s="15">
        <f t="shared" si="15"/>
        <v>3500</v>
      </c>
      <c r="F91" s="16"/>
      <c r="G91" s="24"/>
      <c r="H91" s="24"/>
      <c r="I91" s="15">
        <v>0.0</v>
      </c>
      <c r="J91" s="16">
        <f t="shared" si="16"/>
        <v>0</v>
      </c>
      <c r="K91" s="16">
        <f t="shared" si="17"/>
        <v>3500</v>
      </c>
      <c r="L91" s="30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2.0</v>
      </c>
      <c r="B92" s="12" t="s">
        <v>5</v>
      </c>
      <c r="C92" s="14" t="s">
        <v>38</v>
      </c>
      <c r="D92" s="15">
        <v>1400.0</v>
      </c>
      <c r="E92" s="15">
        <f t="shared" si="15"/>
        <v>2800</v>
      </c>
      <c r="F92" s="16"/>
      <c r="G92" s="24"/>
      <c r="H92" s="24"/>
      <c r="I92" s="16">
        <f>65000/80</f>
        <v>812.5</v>
      </c>
      <c r="J92" s="16">
        <f t="shared" si="16"/>
        <v>1625</v>
      </c>
      <c r="K92" s="16">
        <f t="shared" si="17"/>
        <v>1175</v>
      </c>
      <c r="L92" s="31" t="s">
        <v>2</v>
      </c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0.5</v>
      </c>
      <c r="B93" s="12" t="s">
        <v>17</v>
      </c>
      <c r="C93" s="14" t="s">
        <v>68</v>
      </c>
      <c r="D93" s="15">
        <v>2000.0</v>
      </c>
      <c r="E93" s="15">
        <f t="shared" si="15"/>
        <v>1000</v>
      </c>
      <c r="F93" s="16"/>
      <c r="G93" s="24"/>
      <c r="H93" s="24"/>
      <c r="I93" s="16">
        <f>13000/8</f>
        <v>1625</v>
      </c>
      <c r="J93" s="16">
        <f t="shared" si="16"/>
        <v>812.5</v>
      </c>
      <c r="K93" s="16">
        <f t="shared" si="17"/>
        <v>187.5</v>
      </c>
      <c r="L93" s="30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/>
      <c r="B94" s="12"/>
      <c r="C94" s="14"/>
      <c r="D94" s="15"/>
      <c r="E94" s="16"/>
      <c r="F94" s="16"/>
      <c r="G94" s="24"/>
      <c r="H94" s="24"/>
      <c r="I94" s="16"/>
      <c r="J94" s="16"/>
      <c r="K94" s="16"/>
      <c r="L94" s="30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/>
      <c r="B95" s="12"/>
      <c r="C95" s="14"/>
      <c r="D95" s="15"/>
      <c r="E95" s="16">
        <f>SUM(E88:E93)</f>
        <v>28050</v>
      </c>
      <c r="F95" s="16"/>
      <c r="G95" s="24"/>
      <c r="H95" s="24"/>
      <c r="I95" s="16"/>
      <c r="J95" s="16"/>
      <c r="K95" s="16">
        <f>SUM(K88:K93)</f>
        <v>10246</v>
      </c>
      <c r="L95" s="30">
        <f>K95/E95</f>
        <v>0.3652762923</v>
      </c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33"/>
      <c r="B96" s="34"/>
      <c r="C96" s="2"/>
      <c r="D96" s="3"/>
      <c r="E96" s="3"/>
      <c r="F96" s="3"/>
      <c r="G96" s="2"/>
      <c r="H96" s="2"/>
      <c r="I96" s="2"/>
      <c r="J96" s="2"/>
      <c r="K96" s="3"/>
      <c r="L96" s="4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1"/>
      <c r="P97" s="21"/>
      <c r="Q97" s="21"/>
      <c r="R97" s="2"/>
      <c r="S97" s="3"/>
      <c r="T97" s="3"/>
      <c r="U97" s="1"/>
      <c r="V97" s="3"/>
      <c r="W97" s="3"/>
      <c r="X97" s="3"/>
      <c r="Y97" s="3"/>
      <c r="Z97" s="3"/>
    </row>
    <row r="98">
      <c r="A98" s="33"/>
      <c r="B98" s="34"/>
      <c r="C98" s="2"/>
      <c r="D98" s="3"/>
      <c r="E98" s="3"/>
      <c r="F98" s="3"/>
      <c r="G98" s="2"/>
      <c r="H98" s="2"/>
      <c r="I98" s="2"/>
      <c r="J98" s="2"/>
      <c r="K98" s="3"/>
      <c r="L98" s="4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23" t="s">
        <v>83</v>
      </c>
      <c r="B99" s="23"/>
      <c r="C99" s="23"/>
      <c r="D99" s="25" t="s">
        <v>191</v>
      </c>
      <c r="E99" s="7">
        <v>46038.0</v>
      </c>
      <c r="F99" s="28"/>
      <c r="G99" s="24"/>
      <c r="H99" s="24"/>
      <c r="I99" s="16"/>
      <c r="J99" s="16"/>
      <c r="K99" s="16"/>
      <c r="L99" s="29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B100" s="24"/>
      <c r="C100" s="26"/>
      <c r="D100" s="24"/>
      <c r="E100" s="24"/>
      <c r="F100" s="24"/>
      <c r="G100" s="24"/>
      <c r="H100" s="24"/>
      <c r="I100" s="16"/>
      <c r="J100" s="16"/>
      <c r="K100" s="16"/>
      <c r="L100" s="29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5" t="s">
        <v>4</v>
      </c>
      <c r="B101" s="10" t="s">
        <v>5</v>
      </c>
      <c r="C101" s="11" t="s">
        <v>6</v>
      </c>
      <c r="D101" s="12" t="s">
        <v>7</v>
      </c>
      <c r="E101" s="10" t="s">
        <v>8</v>
      </c>
      <c r="F101" s="12"/>
      <c r="G101" s="24"/>
      <c r="H101" s="24"/>
      <c r="I101" s="12" t="s">
        <v>7</v>
      </c>
      <c r="J101" s="12" t="s">
        <v>8</v>
      </c>
      <c r="K101" s="12" t="s">
        <v>10</v>
      </c>
      <c r="L101" s="29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>
        <v>1.0</v>
      </c>
      <c r="B102" s="12" t="s">
        <v>11</v>
      </c>
      <c r="C102" s="14" t="s">
        <v>36</v>
      </c>
      <c r="D102" s="15">
        <v>36000.0</v>
      </c>
      <c r="E102" s="15">
        <f t="shared" ref="E102:E114" si="18">A102*D102</f>
        <v>36000</v>
      </c>
      <c r="F102" s="16"/>
      <c r="G102" s="24"/>
      <c r="H102" s="24"/>
      <c r="I102" s="16">
        <v>30000.0</v>
      </c>
      <c r="J102" s="16">
        <f t="shared" ref="J102:J114" si="19">I102*A102</f>
        <v>30000</v>
      </c>
      <c r="K102" s="16">
        <f t="shared" ref="K102:K114" si="20">E102-J102</f>
        <v>6000</v>
      </c>
      <c r="L102" s="30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>
        <v>1.0</v>
      </c>
      <c r="B103" s="12" t="s">
        <v>42</v>
      </c>
      <c r="C103" s="14" t="s">
        <v>238</v>
      </c>
      <c r="D103" s="15">
        <v>23000.0</v>
      </c>
      <c r="E103" s="15">
        <f t="shared" si="18"/>
        <v>23000</v>
      </c>
      <c r="F103" s="16"/>
      <c r="G103" s="24"/>
      <c r="H103" s="24"/>
      <c r="I103" s="16">
        <v>19500.0</v>
      </c>
      <c r="J103" s="16">
        <f t="shared" si="19"/>
        <v>19500</v>
      </c>
      <c r="K103" s="16">
        <f t="shared" si="20"/>
        <v>3500</v>
      </c>
      <c r="L103" s="30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>
        <v>2.0</v>
      </c>
      <c r="B104" s="12" t="s">
        <v>17</v>
      </c>
      <c r="C104" s="14" t="s">
        <v>243</v>
      </c>
      <c r="D104" s="15">
        <v>3000.0</v>
      </c>
      <c r="E104" s="15">
        <f t="shared" si="18"/>
        <v>6000</v>
      </c>
      <c r="F104" s="16"/>
      <c r="G104" s="24"/>
      <c r="H104" s="24"/>
      <c r="I104" s="16">
        <f>21000/9</f>
        <v>2333.333333</v>
      </c>
      <c r="J104" s="16">
        <f t="shared" si="19"/>
        <v>4666.666667</v>
      </c>
      <c r="K104" s="16">
        <f t="shared" si="20"/>
        <v>1333.333333</v>
      </c>
      <c r="L104" s="30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3">
        <v>1.0</v>
      </c>
      <c r="B105" s="12" t="s">
        <v>240</v>
      </c>
      <c r="C105" s="14" t="s">
        <v>54</v>
      </c>
      <c r="D105" s="15">
        <v>5000.0</v>
      </c>
      <c r="E105" s="15">
        <f t="shared" si="18"/>
        <v>5000</v>
      </c>
      <c r="F105" s="16"/>
      <c r="G105" s="24"/>
      <c r="H105" s="24"/>
      <c r="I105" s="16">
        <v>4000.0</v>
      </c>
      <c r="J105" s="16">
        <f t="shared" si="19"/>
        <v>4000</v>
      </c>
      <c r="K105" s="16">
        <f t="shared" si="20"/>
        <v>1000</v>
      </c>
      <c r="L105" s="30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13">
        <v>1.0</v>
      </c>
      <c r="B106" s="12" t="s">
        <v>240</v>
      </c>
      <c r="C106" s="14" t="s">
        <v>138</v>
      </c>
      <c r="D106" s="15">
        <v>3000.0</v>
      </c>
      <c r="E106" s="15">
        <f t="shared" si="18"/>
        <v>3000</v>
      </c>
      <c r="F106" s="16"/>
      <c r="G106" s="24"/>
      <c r="H106" s="24"/>
      <c r="I106" s="16">
        <v>2000.0</v>
      </c>
      <c r="J106" s="16">
        <f t="shared" si="19"/>
        <v>2000</v>
      </c>
      <c r="K106" s="16">
        <f t="shared" si="20"/>
        <v>1000</v>
      </c>
      <c r="L106" s="30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3">
        <v>6.0</v>
      </c>
      <c r="B107" s="12" t="s">
        <v>17</v>
      </c>
      <c r="C107" s="14" t="s">
        <v>65</v>
      </c>
      <c r="D107" s="15">
        <v>3200.0</v>
      </c>
      <c r="E107" s="15">
        <f t="shared" si="18"/>
        <v>19200</v>
      </c>
      <c r="F107" s="16"/>
      <c r="G107" s="24"/>
      <c r="H107" s="24"/>
      <c r="I107" s="16">
        <f>40000/15</f>
        <v>2666.666667</v>
      </c>
      <c r="J107" s="16">
        <f t="shared" si="19"/>
        <v>16000</v>
      </c>
      <c r="K107" s="16">
        <f t="shared" si="20"/>
        <v>3200</v>
      </c>
      <c r="L107" s="30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13">
        <v>4.0</v>
      </c>
      <c r="B108" s="12" t="s">
        <v>5</v>
      </c>
      <c r="C108" s="14" t="s">
        <v>69</v>
      </c>
      <c r="D108" s="15">
        <v>1200.0</v>
      </c>
      <c r="E108" s="15">
        <f t="shared" si="18"/>
        <v>4800</v>
      </c>
      <c r="F108" s="16"/>
      <c r="G108" s="24"/>
      <c r="H108" s="24"/>
      <c r="I108" s="16">
        <v>560.0</v>
      </c>
      <c r="J108" s="16">
        <f t="shared" si="19"/>
        <v>2240</v>
      </c>
      <c r="K108" s="16">
        <f t="shared" si="20"/>
        <v>2560</v>
      </c>
      <c r="L108" s="30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13">
        <v>1.0</v>
      </c>
      <c r="B109" s="12" t="s">
        <v>11</v>
      </c>
      <c r="C109" s="14" t="s">
        <v>60</v>
      </c>
      <c r="D109" s="15">
        <v>9000.0</v>
      </c>
      <c r="E109" s="15">
        <f t="shared" si="18"/>
        <v>9000</v>
      </c>
      <c r="F109" s="16"/>
      <c r="G109" s="24"/>
      <c r="H109" s="24"/>
      <c r="I109" s="16">
        <v>6000.0</v>
      </c>
      <c r="J109" s="16">
        <f t="shared" si="19"/>
        <v>6000</v>
      </c>
      <c r="K109" s="16">
        <f t="shared" si="20"/>
        <v>3000</v>
      </c>
      <c r="L109" s="30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13">
        <v>1.0</v>
      </c>
      <c r="B110" s="12" t="s">
        <v>11</v>
      </c>
      <c r="C110" s="14" t="s">
        <v>67</v>
      </c>
      <c r="D110" s="15">
        <v>22000.0</v>
      </c>
      <c r="E110" s="15">
        <f t="shared" si="18"/>
        <v>22000</v>
      </c>
      <c r="F110" s="16"/>
      <c r="G110" s="24"/>
      <c r="H110" s="24"/>
      <c r="I110" s="16">
        <v>17000.0</v>
      </c>
      <c r="J110" s="16">
        <f t="shared" si="19"/>
        <v>17000</v>
      </c>
      <c r="K110" s="16">
        <f t="shared" si="20"/>
        <v>5000</v>
      </c>
      <c r="L110" s="30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>
        <v>1.0</v>
      </c>
      <c r="B111" s="12" t="s">
        <v>240</v>
      </c>
      <c r="C111" s="14" t="s">
        <v>53</v>
      </c>
      <c r="D111" s="15">
        <v>3000.0</v>
      </c>
      <c r="E111" s="15">
        <f t="shared" si="18"/>
        <v>3000</v>
      </c>
      <c r="F111" s="16"/>
      <c r="G111" s="24"/>
      <c r="H111" s="24"/>
      <c r="I111" s="16">
        <v>2000.0</v>
      </c>
      <c r="J111" s="16">
        <f t="shared" si="19"/>
        <v>2000</v>
      </c>
      <c r="K111" s="16">
        <f t="shared" si="20"/>
        <v>1000</v>
      </c>
      <c r="L111" s="30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1.0</v>
      </c>
      <c r="B112" s="12" t="s">
        <v>240</v>
      </c>
      <c r="C112" s="14" t="s">
        <v>193</v>
      </c>
      <c r="D112" s="15">
        <v>3000.0</v>
      </c>
      <c r="E112" s="15">
        <f t="shared" si="18"/>
        <v>3000</v>
      </c>
      <c r="F112" s="16"/>
      <c r="G112" s="24"/>
      <c r="H112" s="24"/>
      <c r="I112" s="16">
        <v>2000.0</v>
      </c>
      <c r="J112" s="16">
        <f t="shared" si="19"/>
        <v>2000</v>
      </c>
      <c r="K112" s="16">
        <f t="shared" si="20"/>
        <v>1000</v>
      </c>
      <c r="L112" s="30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1.0</v>
      </c>
      <c r="B113" s="12" t="s">
        <v>5</v>
      </c>
      <c r="C113" s="14" t="s">
        <v>248</v>
      </c>
      <c r="D113" s="15">
        <v>2500.0</v>
      </c>
      <c r="E113" s="15">
        <f t="shared" si="18"/>
        <v>2500</v>
      </c>
      <c r="F113" s="16"/>
      <c r="G113" s="24"/>
      <c r="H113" s="24"/>
      <c r="I113" s="16">
        <v>1500.0</v>
      </c>
      <c r="J113" s="16">
        <f t="shared" si="19"/>
        <v>1500</v>
      </c>
      <c r="K113" s="16">
        <f t="shared" si="20"/>
        <v>1000</v>
      </c>
      <c r="L113" s="30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1.0</v>
      </c>
      <c r="B114" s="12" t="s">
        <v>11</v>
      </c>
      <c r="C114" s="14" t="s">
        <v>22</v>
      </c>
      <c r="D114" s="15">
        <v>42000.0</v>
      </c>
      <c r="E114" s="15">
        <f t="shared" si="18"/>
        <v>42000</v>
      </c>
      <c r="F114" s="16"/>
      <c r="G114" s="24"/>
      <c r="H114" s="24"/>
      <c r="I114" s="16">
        <v>32000.0</v>
      </c>
      <c r="J114" s="16">
        <f t="shared" si="19"/>
        <v>32000</v>
      </c>
      <c r="K114" s="16">
        <f t="shared" si="20"/>
        <v>10000</v>
      </c>
      <c r="L114" s="30"/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/>
      <c r="B115" s="12"/>
      <c r="C115" s="14"/>
      <c r="D115" s="15"/>
      <c r="E115" s="16"/>
      <c r="F115" s="16"/>
      <c r="H115" s="24"/>
      <c r="I115" s="16"/>
      <c r="J115" s="16"/>
      <c r="K115" s="16"/>
      <c r="L115" s="30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/>
      <c r="B116" s="12"/>
      <c r="C116" s="14"/>
      <c r="D116" s="15"/>
      <c r="E116" s="16">
        <f>SUM(E102:E115)</f>
        <v>178500</v>
      </c>
      <c r="F116" s="16"/>
      <c r="G116" s="24"/>
      <c r="H116" s="24"/>
      <c r="I116" s="16"/>
      <c r="J116" s="16"/>
      <c r="K116" s="16">
        <f>SUM(K102:K114)</f>
        <v>39593.33333</v>
      </c>
      <c r="L116" s="30">
        <f>K116/E116</f>
        <v>0.2218113912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/>
      <c r="B117" s="12"/>
      <c r="C117" s="14"/>
      <c r="D117" s="15"/>
      <c r="E117" s="3"/>
      <c r="F117" s="3"/>
      <c r="G117" s="2"/>
      <c r="H117" s="2"/>
      <c r="I117" s="2"/>
      <c r="J117" s="2"/>
      <c r="K117" s="3"/>
      <c r="L117" s="4"/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/>
      <c r="B118" s="12"/>
      <c r="C118" s="14"/>
      <c r="D118" s="15"/>
      <c r="E118" s="3"/>
      <c r="F118" s="3"/>
      <c r="G118" s="2"/>
      <c r="H118" s="2"/>
      <c r="I118" s="2"/>
      <c r="J118" s="2"/>
      <c r="K118" s="3"/>
      <c r="L118" s="4"/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23"/>
      <c r="B119" s="23"/>
      <c r="C119" s="23"/>
      <c r="D119" s="25"/>
      <c r="E119" s="7"/>
      <c r="F119" s="28"/>
      <c r="G119" s="24"/>
      <c r="H119" s="24"/>
      <c r="I119" s="16"/>
      <c r="J119" s="16"/>
      <c r="K119" s="16"/>
      <c r="L119" s="29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23" t="s">
        <v>221</v>
      </c>
      <c r="B120" s="23"/>
      <c r="C120" s="23"/>
      <c r="D120" s="25" t="s">
        <v>249</v>
      </c>
      <c r="E120" s="7">
        <v>46038.0</v>
      </c>
      <c r="F120" s="28"/>
      <c r="G120" s="24"/>
      <c r="H120" s="24"/>
      <c r="I120" s="16"/>
      <c r="J120" s="16"/>
      <c r="K120" s="16"/>
      <c r="L120" s="29"/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B121" s="24"/>
      <c r="C121" s="26"/>
      <c r="D121" s="24"/>
      <c r="E121" s="24"/>
      <c r="F121" s="24"/>
      <c r="G121" s="24"/>
      <c r="H121" s="24"/>
      <c r="I121" s="16"/>
      <c r="J121" s="16"/>
      <c r="K121" s="16"/>
      <c r="L121" s="29"/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5" t="s">
        <v>4</v>
      </c>
      <c r="B122" s="10" t="s">
        <v>5</v>
      </c>
      <c r="C122" s="11" t="s">
        <v>6</v>
      </c>
      <c r="D122" s="12" t="s">
        <v>7</v>
      </c>
      <c r="E122" s="10" t="s">
        <v>8</v>
      </c>
      <c r="F122" s="12"/>
      <c r="G122" s="24"/>
      <c r="H122" s="24"/>
      <c r="I122" s="12" t="s">
        <v>7</v>
      </c>
      <c r="J122" s="12" t="s">
        <v>8</v>
      </c>
      <c r="K122" s="12" t="s">
        <v>10</v>
      </c>
      <c r="L122" s="29"/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>
        <v>7.0</v>
      </c>
      <c r="B123" s="12" t="s">
        <v>146</v>
      </c>
      <c r="C123" s="14" t="s">
        <v>63</v>
      </c>
      <c r="D123" s="15">
        <v>2000.0</v>
      </c>
      <c r="E123" s="15">
        <f t="shared" ref="E123:E136" si="21">A123*D123</f>
        <v>14000</v>
      </c>
      <c r="F123" s="16"/>
      <c r="G123" s="24"/>
      <c r="H123" s="24"/>
      <c r="I123" s="16">
        <v>1500.0</v>
      </c>
      <c r="J123" s="16">
        <f t="shared" ref="J123:J136" si="22">I123*A123</f>
        <v>10500</v>
      </c>
      <c r="K123" s="16">
        <f t="shared" ref="K123:K136" si="23">E123-J123</f>
        <v>3500</v>
      </c>
      <c r="L123" s="30">
        <f t="shared" ref="L123:L130" si="24">K123/E123</f>
        <v>0.25</v>
      </c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>
        <v>2.0</v>
      </c>
      <c r="B124" s="12" t="s">
        <v>146</v>
      </c>
      <c r="C124" s="14" t="s">
        <v>53</v>
      </c>
      <c r="D124" s="15">
        <v>4000.0</v>
      </c>
      <c r="E124" s="15">
        <f t="shared" si="21"/>
        <v>8000</v>
      </c>
      <c r="F124" s="16"/>
      <c r="G124" s="24"/>
      <c r="H124" s="24"/>
      <c r="I124" s="16">
        <v>2000.0</v>
      </c>
      <c r="J124" s="16">
        <f t="shared" si="22"/>
        <v>4000</v>
      </c>
      <c r="K124" s="16">
        <f t="shared" si="23"/>
        <v>4000</v>
      </c>
      <c r="L124" s="30">
        <f t="shared" si="24"/>
        <v>0.5</v>
      </c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>
        <v>5.3</v>
      </c>
      <c r="B125" s="12" t="s">
        <v>17</v>
      </c>
      <c r="C125" s="14" t="s">
        <v>246</v>
      </c>
      <c r="D125" s="15">
        <v>8500.0</v>
      </c>
      <c r="E125" s="15">
        <f t="shared" si="21"/>
        <v>45050</v>
      </c>
      <c r="F125" s="16"/>
      <c r="G125" s="24"/>
      <c r="H125" s="24"/>
      <c r="I125" s="16">
        <f>30000/4</f>
        <v>7500</v>
      </c>
      <c r="J125" s="16">
        <f t="shared" si="22"/>
        <v>39750</v>
      </c>
      <c r="K125" s="16">
        <f t="shared" si="23"/>
        <v>5300</v>
      </c>
      <c r="L125" s="30">
        <f t="shared" si="24"/>
        <v>0.1176470588</v>
      </c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3">
        <v>3.0</v>
      </c>
      <c r="B126" s="12" t="s">
        <v>17</v>
      </c>
      <c r="C126" s="14" t="s">
        <v>250</v>
      </c>
      <c r="D126" s="15">
        <v>4000.0</v>
      </c>
      <c r="E126" s="15">
        <f t="shared" si="21"/>
        <v>12000</v>
      </c>
      <c r="F126" s="16"/>
      <c r="G126" s="24"/>
      <c r="H126" s="24"/>
      <c r="I126" s="16">
        <f>17000/6</f>
        <v>2833.333333</v>
      </c>
      <c r="J126" s="16">
        <f t="shared" si="22"/>
        <v>8500</v>
      </c>
      <c r="K126" s="16">
        <f t="shared" si="23"/>
        <v>3500</v>
      </c>
      <c r="L126" s="30">
        <f t="shared" si="24"/>
        <v>0.2916666667</v>
      </c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13">
        <v>13.0</v>
      </c>
      <c r="B127" s="12" t="s">
        <v>146</v>
      </c>
      <c r="C127" s="14" t="s">
        <v>60</v>
      </c>
      <c r="D127" s="15">
        <v>400.0</v>
      </c>
      <c r="E127" s="15">
        <f t="shared" si="21"/>
        <v>5200</v>
      </c>
      <c r="F127" s="16"/>
      <c r="G127" s="24"/>
      <c r="H127" s="24"/>
      <c r="I127" s="16">
        <f>6000/24</f>
        <v>250</v>
      </c>
      <c r="J127" s="16">
        <f t="shared" si="22"/>
        <v>3250</v>
      </c>
      <c r="K127" s="16">
        <f t="shared" si="23"/>
        <v>1950</v>
      </c>
      <c r="L127" s="30">
        <f t="shared" si="24"/>
        <v>0.375</v>
      </c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3">
        <v>4.0</v>
      </c>
      <c r="B128" s="12" t="s">
        <v>17</v>
      </c>
      <c r="C128" s="14" t="s">
        <v>23</v>
      </c>
      <c r="D128" s="15">
        <v>2800.0</v>
      </c>
      <c r="E128" s="15">
        <f t="shared" si="21"/>
        <v>11200</v>
      </c>
      <c r="F128" s="16"/>
      <c r="G128" s="24"/>
      <c r="H128" s="24"/>
      <c r="I128" s="16">
        <f>12000/8</f>
        <v>1500</v>
      </c>
      <c r="J128" s="16">
        <f t="shared" si="22"/>
        <v>6000</v>
      </c>
      <c r="K128" s="16">
        <f t="shared" si="23"/>
        <v>5200</v>
      </c>
      <c r="L128" s="30">
        <f t="shared" si="24"/>
        <v>0.4642857143</v>
      </c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3">
        <v>1.0</v>
      </c>
      <c r="B129" s="12" t="s">
        <v>39</v>
      </c>
      <c r="C129" s="14" t="s">
        <v>251</v>
      </c>
      <c r="D129" s="15">
        <v>5500.0</v>
      </c>
      <c r="E129" s="15">
        <f t="shared" si="21"/>
        <v>5500</v>
      </c>
      <c r="F129" s="16"/>
      <c r="G129" s="24"/>
      <c r="H129" s="24"/>
      <c r="I129" s="16">
        <v>4000.0</v>
      </c>
      <c r="J129" s="16">
        <f t="shared" si="22"/>
        <v>4000</v>
      </c>
      <c r="K129" s="16">
        <f t="shared" si="23"/>
        <v>1500</v>
      </c>
      <c r="L129" s="30">
        <f t="shared" si="24"/>
        <v>0.2727272727</v>
      </c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13">
        <v>1.0</v>
      </c>
      <c r="B130" s="12" t="s">
        <v>11</v>
      </c>
      <c r="C130" s="14" t="s">
        <v>252</v>
      </c>
      <c r="D130" s="15">
        <v>22000.0</v>
      </c>
      <c r="E130" s="15">
        <f t="shared" si="21"/>
        <v>22000</v>
      </c>
      <c r="F130" s="16"/>
      <c r="G130" s="24"/>
      <c r="H130" s="24"/>
      <c r="I130" s="16">
        <v>19000.0</v>
      </c>
      <c r="J130" s="16">
        <f t="shared" si="22"/>
        <v>19000</v>
      </c>
      <c r="K130" s="16">
        <f t="shared" si="23"/>
        <v>3000</v>
      </c>
      <c r="L130" s="30">
        <f t="shared" si="24"/>
        <v>0.1363636364</v>
      </c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3">
        <v>1.0</v>
      </c>
      <c r="B131" s="12" t="s">
        <v>11</v>
      </c>
      <c r="C131" s="14" t="s">
        <v>22</v>
      </c>
      <c r="D131" s="15">
        <v>42000.0</v>
      </c>
      <c r="E131" s="15">
        <f t="shared" si="21"/>
        <v>42000</v>
      </c>
      <c r="F131" s="16"/>
      <c r="G131" s="24"/>
      <c r="H131" s="24"/>
      <c r="I131" s="16">
        <v>32000.0</v>
      </c>
      <c r="J131" s="16">
        <f t="shared" si="22"/>
        <v>32000</v>
      </c>
      <c r="K131" s="16">
        <f t="shared" si="23"/>
        <v>10000</v>
      </c>
      <c r="L131" s="30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13">
        <v>2.0</v>
      </c>
      <c r="B132" s="12" t="s">
        <v>17</v>
      </c>
      <c r="C132" s="14" t="s">
        <v>144</v>
      </c>
      <c r="D132" s="15">
        <v>4000.0</v>
      </c>
      <c r="E132" s="15">
        <f t="shared" si="21"/>
        <v>8000</v>
      </c>
      <c r="F132" s="16"/>
      <c r="G132" s="24"/>
      <c r="H132" s="24"/>
      <c r="I132" s="16">
        <v>3000.0</v>
      </c>
      <c r="J132" s="16">
        <f t="shared" si="22"/>
        <v>6000</v>
      </c>
      <c r="K132" s="16">
        <f t="shared" si="23"/>
        <v>2000</v>
      </c>
      <c r="L132" s="30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3">
        <v>1.0</v>
      </c>
      <c r="B133" s="12" t="s">
        <v>11</v>
      </c>
      <c r="C133" s="14" t="s">
        <v>182</v>
      </c>
      <c r="D133" s="15">
        <v>48000.0</v>
      </c>
      <c r="E133" s="15">
        <f t="shared" si="21"/>
        <v>48000</v>
      </c>
      <c r="F133" s="16"/>
      <c r="G133" s="24"/>
      <c r="H133" s="24"/>
      <c r="I133" s="16">
        <v>40000.0</v>
      </c>
      <c r="J133" s="16">
        <f t="shared" si="22"/>
        <v>40000</v>
      </c>
      <c r="K133" s="16">
        <f t="shared" si="23"/>
        <v>8000</v>
      </c>
      <c r="L133" s="30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3">
        <v>1.0</v>
      </c>
      <c r="B134" s="12" t="s">
        <v>17</v>
      </c>
      <c r="C134" s="14" t="s">
        <v>36</v>
      </c>
      <c r="D134" s="15">
        <v>4000.0</v>
      </c>
      <c r="E134" s="15">
        <f t="shared" si="21"/>
        <v>4000</v>
      </c>
      <c r="F134" s="16"/>
      <c r="G134" s="24"/>
      <c r="H134" s="24"/>
      <c r="I134" s="16">
        <f>30000/8</f>
        <v>3750</v>
      </c>
      <c r="J134" s="16">
        <f t="shared" si="22"/>
        <v>3750</v>
      </c>
      <c r="K134" s="16">
        <f t="shared" si="23"/>
        <v>250</v>
      </c>
      <c r="L134" s="30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13">
        <v>1.0</v>
      </c>
      <c r="B135" s="12" t="s">
        <v>17</v>
      </c>
      <c r="C135" s="14" t="s">
        <v>64</v>
      </c>
      <c r="D135" s="15">
        <v>18500.0</v>
      </c>
      <c r="E135" s="15">
        <f t="shared" si="21"/>
        <v>18500</v>
      </c>
      <c r="F135" s="16"/>
      <c r="G135" s="24"/>
      <c r="H135" s="24"/>
      <c r="I135" s="16">
        <v>16000.0</v>
      </c>
      <c r="J135" s="16">
        <f t="shared" si="22"/>
        <v>16000</v>
      </c>
      <c r="K135" s="16">
        <f t="shared" si="23"/>
        <v>2500</v>
      </c>
      <c r="L135" s="30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>
        <v>30.0</v>
      </c>
      <c r="B136" s="12" t="s">
        <v>5</v>
      </c>
      <c r="C136" s="14" t="s">
        <v>38</v>
      </c>
      <c r="D136" s="15">
        <v>1300.0</v>
      </c>
      <c r="E136" s="15">
        <f t="shared" si="21"/>
        <v>39000</v>
      </c>
      <c r="F136" s="16"/>
      <c r="G136" s="24"/>
      <c r="H136" s="24"/>
      <c r="I136" s="16">
        <f>65000/80</f>
        <v>812.5</v>
      </c>
      <c r="J136" s="16">
        <f t="shared" si="22"/>
        <v>24375</v>
      </c>
      <c r="K136" s="16">
        <f t="shared" si="23"/>
        <v>14625</v>
      </c>
      <c r="L136" s="30"/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/>
      <c r="B137" s="12"/>
      <c r="C137" s="14"/>
      <c r="D137" s="15"/>
      <c r="E137" s="16"/>
      <c r="F137" s="16"/>
      <c r="H137" s="24"/>
      <c r="I137" s="16"/>
      <c r="J137" s="16"/>
      <c r="K137" s="16"/>
      <c r="L137" s="30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/>
      <c r="B138" s="12"/>
      <c r="C138" s="14"/>
      <c r="D138" s="15"/>
      <c r="E138" s="16">
        <f>SUM(E123:E137)</f>
        <v>282450</v>
      </c>
      <c r="F138" s="16"/>
      <c r="G138" s="24"/>
      <c r="H138" s="24"/>
      <c r="I138" s="16"/>
      <c r="J138" s="16"/>
      <c r="K138" s="16">
        <f>SUM(K123:K136)</f>
        <v>65325</v>
      </c>
      <c r="L138" s="30">
        <f>K138/E138</f>
        <v>0.2312798725</v>
      </c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/>
      <c r="B139" s="12"/>
      <c r="C139" s="14"/>
      <c r="D139" s="15"/>
      <c r="E139" s="3"/>
      <c r="F139" s="3"/>
      <c r="G139" s="2"/>
      <c r="H139" s="2"/>
      <c r="I139" s="2"/>
      <c r="J139" s="2"/>
      <c r="K139" s="3"/>
      <c r="L139" s="4"/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/>
      <c r="B140" s="12"/>
      <c r="C140" s="14"/>
      <c r="D140" s="15"/>
      <c r="E140" s="3"/>
      <c r="F140" s="3"/>
      <c r="G140" s="2"/>
      <c r="H140" s="2"/>
      <c r="I140" s="2"/>
      <c r="J140" s="2"/>
      <c r="K140" s="3"/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5"/>
      <c r="B141" s="5"/>
      <c r="C141" s="5"/>
      <c r="D141" s="6"/>
      <c r="E141" s="6"/>
      <c r="F141" s="15"/>
      <c r="G141" s="3"/>
      <c r="H141" s="3"/>
      <c r="I141" s="8"/>
      <c r="J141" s="8"/>
      <c r="K141" s="8"/>
      <c r="L141" s="4"/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5" t="s">
        <v>253</v>
      </c>
      <c r="B142" s="5"/>
      <c r="C142" s="5"/>
      <c r="D142" s="6"/>
      <c r="E142" s="25" t="s">
        <v>233</v>
      </c>
      <c r="F142" s="7">
        <v>46038.0</v>
      </c>
      <c r="G142" s="3" t="s">
        <v>2</v>
      </c>
      <c r="H142" s="3"/>
      <c r="I142" s="8" t="s">
        <v>3</v>
      </c>
      <c r="L142" s="4"/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1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4"/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5" t="s">
        <v>4</v>
      </c>
      <c r="B144" s="10" t="s">
        <v>5</v>
      </c>
      <c r="C144" s="11" t="s">
        <v>6</v>
      </c>
      <c r="D144" s="10" t="s">
        <v>7</v>
      </c>
      <c r="E144" s="10" t="s">
        <v>8</v>
      </c>
      <c r="F144" s="10" t="s">
        <v>9</v>
      </c>
      <c r="G144" s="3"/>
      <c r="H144" s="3"/>
      <c r="I144" s="10" t="s">
        <v>7</v>
      </c>
      <c r="J144" s="10" t="s">
        <v>8</v>
      </c>
      <c r="K144" s="10" t="s">
        <v>10</v>
      </c>
      <c r="L144" s="4"/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78">
        <v>4.0</v>
      </c>
      <c r="B145" s="10" t="s">
        <v>11</v>
      </c>
      <c r="C145" s="11" t="s">
        <v>20</v>
      </c>
      <c r="D145" s="15">
        <v>23000.0</v>
      </c>
      <c r="E145" s="15">
        <f t="shared" ref="E145:E154" si="25">A145*D145</f>
        <v>92000</v>
      </c>
      <c r="F145" s="15">
        <f t="shared" ref="F145:F154" si="26">E145*1.105</f>
        <v>101660</v>
      </c>
      <c r="G145" s="3"/>
      <c r="H145" s="3" t="s">
        <v>2</v>
      </c>
      <c r="I145" s="15">
        <v>19000.0</v>
      </c>
      <c r="J145" s="15">
        <f t="shared" ref="J145:J154" si="27">I145*A145</f>
        <v>76000</v>
      </c>
      <c r="K145" s="15">
        <f t="shared" ref="K145:K154" si="28">F145-J145</f>
        <v>25660</v>
      </c>
      <c r="L145" s="4"/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78">
        <v>8.0</v>
      </c>
      <c r="B146" s="10" t="s">
        <v>17</v>
      </c>
      <c r="C146" s="11" t="s">
        <v>22</v>
      </c>
      <c r="D146" s="15">
        <v>3500.0</v>
      </c>
      <c r="E146" s="15">
        <f t="shared" si="25"/>
        <v>28000</v>
      </c>
      <c r="F146" s="15">
        <f t="shared" si="26"/>
        <v>30940</v>
      </c>
      <c r="G146" s="3"/>
      <c r="H146" s="3" t="s">
        <v>2</v>
      </c>
      <c r="I146" s="15">
        <f>35000/15</f>
        <v>2333.333333</v>
      </c>
      <c r="J146" s="15">
        <f t="shared" si="27"/>
        <v>18666.66667</v>
      </c>
      <c r="K146" s="15">
        <f t="shared" si="28"/>
        <v>12273.33333</v>
      </c>
      <c r="L146" s="4"/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78">
        <v>3.0</v>
      </c>
      <c r="B147" s="10" t="s">
        <v>17</v>
      </c>
      <c r="C147" s="11" t="s">
        <v>164</v>
      </c>
      <c r="D147" s="15">
        <v>8500.0</v>
      </c>
      <c r="E147" s="15">
        <f t="shared" si="25"/>
        <v>25500</v>
      </c>
      <c r="F147" s="15">
        <f t="shared" si="26"/>
        <v>28177.5</v>
      </c>
      <c r="G147" s="3"/>
      <c r="H147" s="3" t="s">
        <v>2</v>
      </c>
      <c r="I147" s="15">
        <f>30000/4</f>
        <v>7500</v>
      </c>
      <c r="J147" s="15">
        <f t="shared" si="27"/>
        <v>22500</v>
      </c>
      <c r="K147" s="15">
        <f t="shared" si="28"/>
        <v>5677.5</v>
      </c>
      <c r="L147" s="4"/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78">
        <v>2.0</v>
      </c>
      <c r="B148" s="10" t="s">
        <v>17</v>
      </c>
      <c r="C148" s="11" t="s">
        <v>79</v>
      </c>
      <c r="D148" s="15">
        <v>4000.0</v>
      </c>
      <c r="E148" s="15">
        <f t="shared" si="25"/>
        <v>8000</v>
      </c>
      <c r="F148" s="15">
        <f t="shared" si="26"/>
        <v>8840</v>
      </c>
      <c r="G148" s="3"/>
      <c r="H148" s="3" t="s">
        <v>2</v>
      </c>
      <c r="I148" s="15">
        <v>0.0</v>
      </c>
      <c r="J148" s="15">
        <f t="shared" si="27"/>
        <v>0</v>
      </c>
      <c r="K148" s="15">
        <f t="shared" si="28"/>
        <v>8840</v>
      </c>
      <c r="L148" s="4"/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78">
        <v>3.0</v>
      </c>
      <c r="B149" s="10" t="s">
        <v>28</v>
      </c>
      <c r="C149" s="11" t="s">
        <v>60</v>
      </c>
      <c r="D149" s="15">
        <v>400.0</v>
      </c>
      <c r="E149" s="15">
        <f t="shared" si="25"/>
        <v>1200</v>
      </c>
      <c r="F149" s="15">
        <f t="shared" si="26"/>
        <v>1326</v>
      </c>
      <c r="G149" s="3"/>
      <c r="H149" s="3" t="s">
        <v>2</v>
      </c>
      <c r="I149" s="15">
        <f>6000/24</f>
        <v>250</v>
      </c>
      <c r="J149" s="15">
        <f t="shared" si="27"/>
        <v>750</v>
      </c>
      <c r="K149" s="15">
        <f t="shared" si="28"/>
        <v>576</v>
      </c>
      <c r="L149" s="4"/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78">
        <v>2.0</v>
      </c>
      <c r="B150" s="10" t="s">
        <v>17</v>
      </c>
      <c r="C150" s="11" t="s">
        <v>19</v>
      </c>
      <c r="D150" s="15">
        <v>2300.0</v>
      </c>
      <c r="E150" s="15">
        <f t="shared" si="25"/>
        <v>4600</v>
      </c>
      <c r="F150" s="15">
        <f t="shared" si="26"/>
        <v>5083</v>
      </c>
      <c r="G150" s="3"/>
      <c r="H150" s="3" t="s">
        <v>2</v>
      </c>
      <c r="I150" s="15">
        <f>30000/18</f>
        <v>1666.666667</v>
      </c>
      <c r="J150" s="15">
        <f t="shared" si="27"/>
        <v>3333.333333</v>
      </c>
      <c r="K150" s="15">
        <f t="shared" si="28"/>
        <v>1749.666667</v>
      </c>
      <c r="L150" s="4"/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78">
        <v>8.0</v>
      </c>
      <c r="B151" s="10" t="s">
        <v>5</v>
      </c>
      <c r="C151" s="11" t="s">
        <v>38</v>
      </c>
      <c r="D151" s="15">
        <v>1300.0</v>
      </c>
      <c r="E151" s="15">
        <f t="shared" si="25"/>
        <v>10400</v>
      </c>
      <c r="F151" s="15">
        <f t="shared" si="26"/>
        <v>11492</v>
      </c>
      <c r="G151" s="3"/>
      <c r="H151" s="3" t="s">
        <v>2</v>
      </c>
      <c r="I151" s="15">
        <f>65000/80</f>
        <v>812.5</v>
      </c>
      <c r="J151" s="15">
        <f t="shared" si="27"/>
        <v>6500</v>
      </c>
      <c r="K151" s="15">
        <f t="shared" si="28"/>
        <v>4992</v>
      </c>
      <c r="L151" s="4"/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78">
        <v>0.5</v>
      </c>
      <c r="B152" s="10" t="s">
        <v>17</v>
      </c>
      <c r="C152" s="11" t="s">
        <v>165</v>
      </c>
      <c r="D152" s="15">
        <v>12000.0</v>
      </c>
      <c r="E152" s="15">
        <f t="shared" si="25"/>
        <v>6000</v>
      </c>
      <c r="F152" s="15">
        <f t="shared" si="26"/>
        <v>6630</v>
      </c>
      <c r="G152" s="3"/>
      <c r="H152" s="3"/>
      <c r="I152" s="15">
        <v>10000.0</v>
      </c>
      <c r="J152" s="15">
        <f t="shared" si="27"/>
        <v>5000</v>
      </c>
      <c r="K152" s="15">
        <f t="shared" si="28"/>
        <v>1630</v>
      </c>
      <c r="L152" s="4"/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78">
        <v>0.5</v>
      </c>
      <c r="B153" s="10" t="s">
        <v>17</v>
      </c>
      <c r="C153" s="11" t="s">
        <v>14</v>
      </c>
      <c r="D153" s="15">
        <v>3500.0</v>
      </c>
      <c r="E153" s="15">
        <f t="shared" si="25"/>
        <v>1750</v>
      </c>
      <c r="F153" s="15">
        <f t="shared" si="26"/>
        <v>1933.75</v>
      </c>
      <c r="G153" s="3"/>
      <c r="H153" s="3" t="s">
        <v>2</v>
      </c>
      <c r="I153" s="15">
        <f>40000/18</f>
        <v>2222.222222</v>
      </c>
      <c r="J153" s="15">
        <f t="shared" si="27"/>
        <v>1111.111111</v>
      </c>
      <c r="K153" s="15">
        <f t="shared" si="28"/>
        <v>822.6388889</v>
      </c>
      <c r="L153" s="4"/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78">
        <v>2.0</v>
      </c>
      <c r="B154" s="10" t="s">
        <v>17</v>
      </c>
      <c r="C154" s="11" t="s">
        <v>36</v>
      </c>
      <c r="D154" s="15">
        <v>4500.0</v>
      </c>
      <c r="E154" s="15">
        <f t="shared" si="25"/>
        <v>9000</v>
      </c>
      <c r="F154" s="15">
        <f t="shared" si="26"/>
        <v>9945</v>
      </c>
      <c r="G154" s="3"/>
      <c r="H154" s="3" t="s">
        <v>2</v>
      </c>
      <c r="I154" s="15">
        <f>30000/8</f>
        <v>3750</v>
      </c>
      <c r="J154" s="15">
        <f t="shared" si="27"/>
        <v>7500</v>
      </c>
      <c r="K154" s="15">
        <f t="shared" si="28"/>
        <v>2445</v>
      </c>
      <c r="L154" s="4"/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1"/>
      <c r="B155" s="3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2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1"/>
      <c r="B156" s="3"/>
      <c r="C156" s="2"/>
      <c r="D156" s="3"/>
      <c r="E156" s="15">
        <f t="shared" ref="E156:F156" si="29">SUM(E145:E154)</f>
        <v>186450</v>
      </c>
      <c r="F156" s="15">
        <f t="shared" si="29"/>
        <v>206027.25</v>
      </c>
      <c r="G156" s="3"/>
      <c r="H156" s="3"/>
      <c r="I156" s="3"/>
      <c r="J156" s="3"/>
      <c r="K156" s="15">
        <f>SUM(K145:K154)</f>
        <v>64666.13889</v>
      </c>
      <c r="L156" s="22">
        <f>K156/F156</f>
        <v>0.3138717761</v>
      </c>
      <c r="M156" s="2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13"/>
      <c r="B157" s="12"/>
      <c r="C157" s="14"/>
      <c r="D157" s="15"/>
      <c r="E157" s="3"/>
      <c r="F157" s="3"/>
      <c r="G157" s="2"/>
      <c r="H157" s="2"/>
      <c r="I157" s="2"/>
      <c r="J157" s="2"/>
      <c r="K157" s="3"/>
      <c r="L157" s="4"/>
      <c r="M157" s="2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13"/>
      <c r="B158" s="12"/>
      <c r="C158" s="14"/>
      <c r="D158" s="15"/>
      <c r="E158" s="3"/>
      <c r="F158" s="3"/>
      <c r="G158" s="2"/>
      <c r="H158" s="2"/>
      <c r="I158" s="2"/>
      <c r="J158" s="2"/>
      <c r="K158" s="3"/>
      <c r="L158" s="4"/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13"/>
      <c r="B159" s="12"/>
      <c r="C159" s="14"/>
      <c r="D159" s="15"/>
      <c r="E159" s="3"/>
      <c r="F159" s="3"/>
      <c r="G159" s="2"/>
      <c r="H159" s="2"/>
      <c r="I159" s="2"/>
      <c r="J159" s="2"/>
      <c r="K159" s="3"/>
      <c r="L159" s="4"/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33" t="s">
        <v>88</v>
      </c>
      <c r="B160" s="34">
        <f>E138+E116+E95+E81+E71+E29+F16+F156</f>
        <v>2098596.05</v>
      </c>
      <c r="C160" s="2"/>
      <c r="D160" s="3"/>
      <c r="E160" s="3"/>
      <c r="F160" s="3"/>
      <c r="G160" s="2"/>
      <c r="H160" s="2"/>
      <c r="I160" s="2"/>
      <c r="J160" s="2"/>
      <c r="K160" s="3"/>
      <c r="L160" s="4"/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1"/>
      <c r="B161" s="2"/>
      <c r="C161" s="2"/>
      <c r="D161" s="3"/>
      <c r="E161" s="3"/>
      <c r="F161" s="3"/>
      <c r="G161" s="2"/>
      <c r="H161" s="2"/>
      <c r="I161" s="2"/>
      <c r="J161" s="2"/>
      <c r="K161" s="3"/>
      <c r="L161" s="4"/>
      <c r="M161" s="2"/>
      <c r="N161" s="2"/>
      <c r="O161" s="2"/>
      <c r="P161" s="2"/>
      <c r="Q161" s="3"/>
      <c r="R161" s="9"/>
      <c r="S161" s="3"/>
      <c r="T161" s="3"/>
      <c r="U161" s="1"/>
      <c r="V161" s="3"/>
      <c r="W161" s="3"/>
      <c r="X161" s="3"/>
      <c r="Y161" s="3"/>
      <c r="Z161" s="3"/>
    </row>
    <row r="162">
      <c r="A162" s="33" t="s">
        <v>89</v>
      </c>
      <c r="B162" s="34">
        <f>K138+K116+K95+K81+K71+K29+K16+K156</f>
        <v>682569.6644</v>
      </c>
      <c r="C162" s="2"/>
      <c r="D162" s="3"/>
      <c r="E162" s="3"/>
      <c r="F162" s="3"/>
      <c r="G162" s="2"/>
      <c r="H162" s="2"/>
      <c r="I162" s="2"/>
      <c r="J162" s="2"/>
      <c r="K162" s="3"/>
      <c r="L162" s="4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1"/>
      <c r="B163" s="2"/>
      <c r="C163" s="2"/>
      <c r="D163" s="3"/>
      <c r="E163" s="3"/>
      <c r="F163" s="3"/>
      <c r="G163" s="2"/>
      <c r="H163" s="2"/>
      <c r="I163" s="2"/>
      <c r="J163" s="2"/>
      <c r="K163" s="3"/>
      <c r="L163" s="4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33" t="s">
        <v>90</v>
      </c>
      <c r="B164" s="35">
        <f>B162/B160</f>
        <v>0.325250619</v>
      </c>
      <c r="C164" s="2"/>
      <c r="D164" s="3"/>
      <c r="E164" s="3"/>
      <c r="F164" s="3"/>
      <c r="G164" s="2"/>
      <c r="H164" s="2"/>
      <c r="I164" s="2"/>
      <c r="J164" s="2"/>
      <c r="K164" s="3"/>
      <c r="L164" s="4"/>
      <c r="M164" s="2"/>
      <c r="N164" s="2"/>
      <c r="O164" s="2"/>
      <c r="P164" s="2"/>
      <c r="Q164" s="2"/>
      <c r="R164" s="2"/>
      <c r="S164" s="3"/>
      <c r="T164" s="3"/>
      <c r="U164" s="1"/>
      <c r="V164" s="3"/>
      <c r="W164" s="3"/>
      <c r="X164" s="2"/>
      <c r="Y164" s="2"/>
      <c r="Z164" s="2"/>
    </row>
    <row r="165">
      <c r="A165" s="1"/>
      <c r="B165" s="2"/>
      <c r="C165" s="2"/>
      <c r="D165" s="3"/>
      <c r="E165" s="3"/>
      <c r="F165" s="3"/>
      <c r="G165" s="2"/>
      <c r="H165" s="2"/>
      <c r="I165" s="2"/>
      <c r="J165" s="2"/>
      <c r="K165" s="3"/>
      <c r="L165" s="4"/>
      <c r="M165" s="2"/>
      <c r="N165" s="2"/>
      <c r="O165" s="2"/>
      <c r="P165" s="2"/>
      <c r="Q165" s="3"/>
      <c r="R165" s="9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36" t="s">
        <v>91</v>
      </c>
      <c r="C166" s="37">
        <v>54.0</v>
      </c>
      <c r="D166" s="6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9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1"/>
      <c r="B168" s="2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"/>
      <c r="B169" s="1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X170" s="3"/>
      <c r="Y170" s="3"/>
      <c r="Z170" s="3"/>
    </row>
    <row r="171" ht="15.75" customHeight="1">
      <c r="A171" s="39"/>
      <c r="B171" s="40" t="s">
        <v>92</v>
      </c>
      <c r="C171" s="41" t="s">
        <v>93</v>
      </c>
      <c r="D171" s="42" t="s">
        <v>94</v>
      </c>
      <c r="E171" s="42" t="s">
        <v>95</v>
      </c>
      <c r="F171" s="42" t="s">
        <v>96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9"/>
      <c r="X171" s="3"/>
      <c r="Y171" s="3"/>
      <c r="Z171" s="3"/>
    </row>
    <row r="172" ht="15.75" customHeight="1">
      <c r="A172" s="43"/>
      <c r="B172" s="44">
        <f>'15-01-2026 '!B122</f>
        <v>2967300</v>
      </c>
      <c r="C172" s="44">
        <f>'15-01-2026 '!C122</f>
        <v>1442292.518</v>
      </c>
      <c r="D172" s="44">
        <f>'15-01-2026 '!D122</f>
        <v>99067.34566</v>
      </c>
      <c r="E172" s="44">
        <f>'15-01-2026 '!E122</f>
        <v>0</v>
      </c>
      <c r="F172" s="44">
        <f>'15-01-2026 '!F122</f>
        <v>2642589.66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"/>
      <c r="B173" s="46"/>
      <c r="C173" s="46"/>
      <c r="D173" s="46"/>
      <c r="E173" s="4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40" t="s">
        <v>97</v>
      </c>
      <c r="B174" s="47"/>
      <c r="C174" s="47"/>
      <c r="D174" s="47"/>
      <c r="E174" s="47"/>
      <c r="F174" s="4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3" t="s">
        <v>98</v>
      </c>
      <c r="B175" s="49">
        <f>28050+51400+206027.25</f>
        <v>285477.25</v>
      </c>
      <c r="C175" s="49">
        <v>836400.0</v>
      </c>
      <c r="D175" s="49">
        <v>3860.81</v>
      </c>
      <c r="E175" s="49">
        <v>0.0</v>
      </c>
      <c r="F175" s="49">
        <v>964956.69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 t="s">
        <v>99</v>
      </c>
      <c r="B176" s="49">
        <v>0.0</v>
      </c>
      <c r="C176" s="49">
        <v>1054.52</v>
      </c>
      <c r="D176" s="49">
        <v>0.0</v>
      </c>
      <c r="E176" s="49">
        <v>0.0</v>
      </c>
      <c r="F176" s="49">
        <v>0.0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3" t="s">
        <v>100</v>
      </c>
      <c r="B177" s="49">
        <v>0.0</v>
      </c>
      <c r="C177" s="49">
        <v>0.0</v>
      </c>
      <c r="D177" s="49">
        <v>0.0</v>
      </c>
      <c r="E177" s="49">
        <v>0.0</v>
      </c>
      <c r="F177" s="49">
        <v>0.0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101</v>
      </c>
      <c r="B178" s="49">
        <v>0.0</v>
      </c>
      <c r="C178" s="49">
        <v>0.0</v>
      </c>
      <c r="D178" s="49">
        <v>0.0</v>
      </c>
      <c r="E178" s="49">
        <v>0.0</v>
      </c>
      <c r="F178" s="49">
        <v>0.0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102</v>
      </c>
      <c r="B179" s="49">
        <v>0.0</v>
      </c>
      <c r="C179" s="49">
        <v>0.0</v>
      </c>
      <c r="D179" s="49">
        <v>0.0</v>
      </c>
      <c r="E179" s="49">
        <v>0.0</v>
      </c>
      <c r="F179" s="49">
        <v>0.0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202</v>
      </c>
      <c r="B180" s="49">
        <v>0.0</v>
      </c>
      <c r="C180" s="49">
        <v>0.0</v>
      </c>
      <c r="D180" s="49">
        <v>0.0</v>
      </c>
      <c r="E180" s="49">
        <v>0.0</v>
      </c>
      <c r="F180" s="49">
        <v>0.0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203</v>
      </c>
      <c r="B181" s="49">
        <v>0.0</v>
      </c>
      <c r="C181" s="50">
        <f>C175*2%</f>
        <v>16728</v>
      </c>
      <c r="D181" s="49">
        <f>SUM(D175:D176)*2%</f>
        <v>77.2162</v>
      </c>
      <c r="E181" s="49">
        <v>0.0</v>
      </c>
      <c r="F181" s="49">
        <v>0.0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103</v>
      </c>
      <c r="B182" s="49">
        <v>0.0</v>
      </c>
      <c r="C182" s="50">
        <f>C175*0.6%+C178*0.6%</f>
        <v>5018.4</v>
      </c>
      <c r="D182" s="49">
        <f>SUM(D175:D177)*0.6%</f>
        <v>23.16486</v>
      </c>
      <c r="E182" s="49">
        <v>0.0</v>
      </c>
      <c r="F182" s="49">
        <v>0.0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"/>
      <c r="B183" s="46"/>
      <c r="C183" s="46"/>
      <c r="D183" s="46"/>
      <c r="E183" s="4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51" t="s">
        <v>8</v>
      </c>
      <c r="B184" s="52">
        <f>SUM(B172:B182)</f>
        <v>3252777.25</v>
      </c>
      <c r="C184" s="52">
        <f>C172+C175+C178+C179-C182+C176-C181</f>
        <v>2258000.638</v>
      </c>
      <c r="D184" s="53">
        <f>D172+D175+D178+D179-D182+D177-D181-D180</f>
        <v>102827.7746</v>
      </c>
      <c r="E184" s="52">
        <f>E172+E175+E178+E179-E182</f>
        <v>0</v>
      </c>
      <c r="F184" s="54">
        <f>F172+F175+F178+F179-F182-D177</f>
        <v>3607546.35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"/>
      <c r="B185" s="1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40" t="s">
        <v>104</v>
      </c>
      <c r="B186" s="47"/>
      <c r="C186" s="47"/>
      <c r="D186" s="47"/>
      <c r="E186" s="47"/>
      <c r="F186" s="4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105</v>
      </c>
      <c r="B187" s="55">
        <v>1000.0</v>
      </c>
      <c r="C187" s="55">
        <v>0.0</v>
      </c>
      <c r="D187" s="55">
        <v>0.0</v>
      </c>
      <c r="E187" s="55">
        <v>0.0</v>
      </c>
      <c r="F187" s="2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106</v>
      </c>
      <c r="B188" s="49">
        <v>0.0</v>
      </c>
      <c r="C188" s="49">
        <v>0.0</v>
      </c>
      <c r="D188" s="49">
        <v>0.0</v>
      </c>
      <c r="E188" s="49">
        <v>0.0</v>
      </c>
      <c r="F188" s="2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107</v>
      </c>
      <c r="B189" s="55">
        <v>0.0</v>
      </c>
      <c r="C189" s="55">
        <v>0.0</v>
      </c>
      <c r="D189" s="49">
        <v>0.0</v>
      </c>
      <c r="E189" s="55">
        <v>0.0</v>
      </c>
      <c r="F189" s="2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13" t="s">
        <v>108</v>
      </c>
      <c r="B190" s="55">
        <v>2800.0</v>
      </c>
      <c r="C190" s="55">
        <v>0.0</v>
      </c>
      <c r="D190" s="55">
        <v>0.0</v>
      </c>
      <c r="E190" s="55">
        <v>0.0</v>
      </c>
      <c r="F190" s="2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109</v>
      </c>
      <c r="B191" s="55">
        <v>0.0</v>
      </c>
      <c r="C191" s="55">
        <f>28000+33200+41000+55000+400000</f>
        <v>557200</v>
      </c>
      <c r="D191" s="55">
        <v>0.0</v>
      </c>
      <c r="E191" s="55">
        <v>0.0</v>
      </c>
      <c r="F191" s="2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110</v>
      </c>
      <c r="B192" s="55">
        <v>0.0</v>
      </c>
      <c r="C192" s="55">
        <v>0.0</v>
      </c>
      <c r="D192" s="55">
        <v>0.0</v>
      </c>
      <c r="E192" s="55">
        <v>0.0</v>
      </c>
      <c r="F192" s="26"/>
      <c r="G192" s="2"/>
      <c r="H192" s="56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13" t="s">
        <v>111</v>
      </c>
      <c r="B193" s="49">
        <v>12000.0</v>
      </c>
      <c r="C193" s="49">
        <v>24000.0</v>
      </c>
      <c r="D193" s="49">
        <v>0.0</v>
      </c>
      <c r="E193" s="49">
        <v>0.0</v>
      </c>
      <c r="F193" s="2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13" t="s">
        <v>112</v>
      </c>
      <c r="B194" s="49">
        <v>0.0</v>
      </c>
      <c r="C194" s="49">
        <v>0.0</v>
      </c>
      <c r="D194" s="49">
        <v>0.0</v>
      </c>
      <c r="E194" s="49">
        <v>0.0</v>
      </c>
      <c r="F194" s="26"/>
      <c r="G194" s="2"/>
      <c r="H194" s="56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13" t="s">
        <v>113</v>
      </c>
      <c r="B195" s="49">
        <v>0.0</v>
      </c>
      <c r="C195" s="49">
        <v>0.0</v>
      </c>
      <c r="D195" s="49">
        <v>0.0</v>
      </c>
      <c r="E195" s="49">
        <v>0.0</v>
      </c>
      <c r="F195" s="26"/>
      <c r="G195" s="2"/>
      <c r="H195" s="56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13" t="s">
        <v>114</v>
      </c>
      <c r="B196" s="55">
        <v>0.0</v>
      </c>
      <c r="C196" s="55">
        <v>40000.0</v>
      </c>
      <c r="D196" s="55">
        <v>0.0</v>
      </c>
      <c r="E196" s="55">
        <v>0.0</v>
      </c>
      <c r="F196" s="26"/>
      <c r="G196" s="2"/>
      <c r="H196" s="56"/>
      <c r="I196" s="2"/>
      <c r="J196" s="2"/>
      <c r="K196" s="2"/>
      <c r="L196" s="2"/>
      <c r="M196" s="2"/>
      <c r="N196" s="2"/>
      <c r="O196" s="2"/>
      <c r="P196" s="2"/>
      <c r="Q196" s="3"/>
      <c r="R196" s="9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13" t="s">
        <v>115</v>
      </c>
      <c r="B197" s="55">
        <v>0.0</v>
      </c>
      <c r="C197" s="55">
        <v>0.0</v>
      </c>
      <c r="D197" s="55">
        <v>0.0</v>
      </c>
      <c r="E197" s="55">
        <v>0.0</v>
      </c>
      <c r="F197" s="26"/>
      <c r="G197" s="2"/>
      <c r="H197" s="56"/>
      <c r="I197" s="2"/>
      <c r="J197" s="2"/>
      <c r="K197" s="2"/>
      <c r="L197" s="2"/>
      <c r="M197" s="2"/>
      <c r="N197" s="2"/>
      <c r="O197" s="2"/>
      <c r="P197" s="2"/>
      <c r="Q197" s="3"/>
      <c r="R197" s="9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13" t="s">
        <v>116</v>
      </c>
      <c r="B198" s="50">
        <v>0.0</v>
      </c>
      <c r="C198" s="50">
        <v>0.0</v>
      </c>
      <c r="D198" s="49">
        <v>0.0</v>
      </c>
      <c r="E198" s="49">
        <v>0.0</v>
      </c>
      <c r="F198" s="2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13" t="s">
        <v>117</v>
      </c>
      <c r="B199" s="50">
        <v>0.0</v>
      </c>
      <c r="C199" s="50">
        <v>0.0</v>
      </c>
      <c r="D199" s="49">
        <v>0.0</v>
      </c>
      <c r="E199" s="49">
        <v>0.0</v>
      </c>
      <c r="F199" s="26"/>
      <c r="G199" s="2"/>
      <c r="H199" s="56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13" t="s">
        <v>118</v>
      </c>
      <c r="B200" s="50">
        <v>0.0</v>
      </c>
      <c r="C200" s="50">
        <v>0.0</v>
      </c>
      <c r="D200" s="49">
        <v>0.0</v>
      </c>
      <c r="E200" s="49">
        <v>0.0</v>
      </c>
      <c r="F200" s="2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13" t="s">
        <v>119</v>
      </c>
      <c r="B201" s="50">
        <v>0.0</v>
      </c>
      <c r="C201" s="50">
        <v>0.0</v>
      </c>
      <c r="D201" s="49">
        <v>0.0</v>
      </c>
      <c r="E201" s="49">
        <v>0.0</v>
      </c>
      <c r="F201" s="2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9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13" t="s">
        <v>120</v>
      </c>
      <c r="B202" s="50">
        <v>0.0</v>
      </c>
      <c r="C202" s="50">
        <v>0.0</v>
      </c>
      <c r="D202" s="49">
        <v>0.0</v>
      </c>
      <c r="E202" s="49">
        <v>0.0</v>
      </c>
      <c r="F202" s="2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13" t="s">
        <v>121</v>
      </c>
      <c r="B203" s="50">
        <v>0.0</v>
      </c>
      <c r="C203" s="50">
        <v>0.0</v>
      </c>
      <c r="D203" s="49">
        <v>0.0</v>
      </c>
      <c r="E203" s="49">
        <v>0.0</v>
      </c>
      <c r="F203" s="2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13" t="s">
        <v>122</v>
      </c>
      <c r="B204" s="49">
        <v>0.0</v>
      </c>
      <c r="C204" s="49">
        <v>0.0</v>
      </c>
      <c r="D204" s="49">
        <v>0.0</v>
      </c>
      <c r="E204" s="49">
        <v>0.0</v>
      </c>
      <c r="F204" s="2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13" t="s">
        <v>123</v>
      </c>
      <c r="B205" s="49">
        <v>0.0</v>
      </c>
      <c r="C205" s="49">
        <v>0.0</v>
      </c>
      <c r="D205" s="49">
        <v>0.0</v>
      </c>
      <c r="E205" s="49">
        <v>0.0</v>
      </c>
      <c r="F205" s="2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13" t="s">
        <v>124</v>
      </c>
      <c r="B206" s="49">
        <v>0.0</v>
      </c>
      <c r="C206" s="49">
        <v>0.0</v>
      </c>
      <c r="D206" s="49">
        <v>0.0</v>
      </c>
      <c r="E206" s="49">
        <v>0.0</v>
      </c>
      <c r="F206" s="2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13" t="s">
        <v>125</v>
      </c>
      <c r="B207" s="50">
        <v>0.0</v>
      </c>
      <c r="C207" s="50">
        <v>0.0</v>
      </c>
      <c r="D207" s="49">
        <v>0.0</v>
      </c>
      <c r="E207" s="49">
        <v>0.0</v>
      </c>
      <c r="F207" s="2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13" t="s">
        <v>126</v>
      </c>
      <c r="B208" s="49">
        <v>0.0</v>
      </c>
      <c r="C208" s="49">
        <v>0.0</v>
      </c>
      <c r="D208" s="49">
        <v>0.0</v>
      </c>
      <c r="E208" s="49">
        <v>0.0</v>
      </c>
      <c r="F208" s="2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13" t="s">
        <v>127</v>
      </c>
      <c r="B209" s="49">
        <v>0.0</v>
      </c>
      <c r="C209" s="49">
        <v>0.0</v>
      </c>
      <c r="D209" s="49">
        <v>88831.88</v>
      </c>
      <c r="E209" s="49">
        <v>0.0</v>
      </c>
      <c r="F209" s="2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13" t="s">
        <v>128</v>
      </c>
      <c r="B210" s="49">
        <v>0.0</v>
      </c>
      <c r="C210" s="49">
        <v>0.0</v>
      </c>
      <c r="D210" s="49">
        <v>0.0</v>
      </c>
      <c r="E210" s="49">
        <v>0.0</v>
      </c>
      <c r="F210" s="2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13" t="s">
        <v>129</v>
      </c>
      <c r="B211" s="49">
        <v>0.0</v>
      </c>
      <c r="C211" s="49">
        <v>0.0</v>
      </c>
      <c r="D211" s="49">
        <v>144000.0</v>
      </c>
      <c r="E211" s="49">
        <v>0.0</v>
      </c>
      <c r="F211" s="2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57"/>
      <c r="B212" s="49"/>
      <c r="C212" s="49"/>
      <c r="D212" s="49"/>
      <c r="E212" s="49"/>
      <c r="F212" s="2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13" t="s">
        <v>130</v>
      </c>
      <c r="B213" s="50">
        <v>0.0</v>
      </c>
      <c r="C213" s="50">
        <f>SUM(C187:C210)*0.6%</f>
        <v>3727.2</v>
      </c>
      <c r="D213" s="50">
        <f>SUM(D187:D211)*0.6%</f>
        <v>1396.99128</v>
      </c>
      <c r="E213" s="50">
        <f>(E191*0.6%)+(E192*0.6%)+(E193*0.6%)+(E196*0.6%)+(E197*0.6%)</f>
        <v>0</v>
      </c>
      <c r="F213" s="2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13" t="s">
        <v>131</v>
      </c>
      <c r="B214" s="50">
        <v>0.0</v>
      </c>
      <c r="C214" s="50">
        <v>-400000.0</v>
      </c>
      <c r="D214" s="50">
        <v>-400000.0</v>
      </c>
      <c r="E214" s="50">
        <f>SUM(E188:E212)*0.6%+(E215*0.6%)</f>
        <v>0</v>
      </c>
      <c r="F214" s="5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57"/>
      <c r="B215" s="57"/>
      <c r="C215" s="26"/>
      <c r="D215" s="2"/>
      <c r="E215" s="26"/>
      <c r="F215" s="2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59" t="s">
        <v>132</v>
      </c>
      <c r="B216" s="60">
        <f>SUM(B187:B215)</f>
        <v>15800</v>
      </c>
      <c r="C216" s="60">
        <f>SUM(C187:C213)</f>
        <v>624927.2</v>
      </c>
      <c r="D216" s="60">
        <f>SUM(D187:D214)</f>
        <v>-165771.1287</v>
      </c>
      <c r="E216" s="60">
        <f>E198+E202+E213-E214</f>
        <v>0</v>
      </c>
      <c r="F216" s="61" t="str">
        <f>F191</f>
        <v/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57"/>
      <c r="B217" s="57"/>
      <c r="C217" s="26"/>
      <c r="D217" s="26"/>
      <c r="E217" s="26"/>
      <c r="F217" s="2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59" t="s">
        <v>133</v>
      </c>
      <c r="B218" s="62">
        <f>B184-B216</f>
        <v>3236977.25</v>
      </c>
      <c r="C218" s="63">
        <f>C184-C216+C214</f>
        <v>1233073.438</v>
      </c>
      <c r="D218" s="63">
        <f>D184-D216-29.2</f>
        <v>268569.7033</v>
      </c>
      <c r="E218" s="64">
        <f t="shared" ref="E218:F218" si="30">E184-E216</f>
        <v>0</v>
      </c>
      <c r="F218" s="64">
        <f t="shared" si="30"/>
        <v>3607546.35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65" t="s">
        <v>134</v>
      </c>
      <c r="B220" s="66">
        <f>8400+B175-B187-B190-B193</f>
        <v>278077.25</v>
      </c>
      <c r="C220" s="46"/>
      <c r="D220" s="46"/>
      <c r="E220" s="46"/>
      <c r="F220" s="4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9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65" t="s">
        <v>135</v>
      </c>
      <c r="B221" s="66">
        <v>2958900.0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46" t="s">
        <v>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46">
        <f>SUM(B220:B221)</f>
        <v>3236977.25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9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9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9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9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9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1"/>
      <c r="V262" s="3"/>
      <c r="W262" s="9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1"/>
      <c r="V263" s="3"/>
      <c r="W263" s="9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9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9"/>
      <c r="S281" s="3"/>
      <c r="T281" s="3"/>
      <c r="U281" s="1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9"/>
      <c r="S287" s="3"/>
      <c r="T287" s="3"/>
      <c r="U287" s="1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9"/>
      <c r="S288" s="3"/>
      <c r="T288" s="3"/>
      <c r="U288" s="1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1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9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9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3"/>
      <c r="T297" s="3"/>
      <c r="U297" s="9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9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9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9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9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9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9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9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9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9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3"/>
      <c r="T339" s="3"/>
      <c r="U339" s="9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9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9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9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46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46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46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46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46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46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46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46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46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46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46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46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46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46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46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46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9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46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46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46"/>
      <c r="R384" s="46"/>
      <c r="S384" s="3"/>
      <c r="T384" s="3"/>
      <c r="U384" s="9"/>
      <c r="V384" s="3"/>
      <c r="W384" s="3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9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9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46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46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46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46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46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46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46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9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9"/>
      <c r="T430" s="3"/>
      <c r="U430" s="2"/>
      <c r="V430" s="3"/>
      <c r="W430" s="3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9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9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9"/>
      <c r="T447" s="3"/>
      <c r="U447" s="2"/>
      <c r="V447" s="3"/>
      <c r="W447" s="3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9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9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9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9"/>
      <c r="T458" s="3"/>
      <c r="U458" s="2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9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9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3"/>
      <c r="T474" s="3"/>
      <c r="U474" s="9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9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2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2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9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3"/>
      <c r="T488" s="9"/>
      <c r="U488" s="2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9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2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2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9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9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9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3"/>
      <c r="T500" s="9"/>
      <c r="U500" s="2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9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2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2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2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/>
      <c r="R508" s="9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2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2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2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2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67"/>
      <c r="R515" s="2"/>
      <c r="S515" s="2"/>
      <c r="T515" s="3"/>
      <c r="U515" s="2"/>
      <c r="V515" s="2"/>
      <c r="W515" s="2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3"/>
      <c r="T516" s="3"/>
      <c r="U516" s="3"/>
      <c r="V516" s="2"/>
      <c r="W516" s="2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8"/>
      <c r="R518" s="38"/>
      <c r="S518" s="38"/>
      <c r="T518" s="38"/>
      <c r="U518" s="38"/>
      <c r="V518" s="38"/>
      <c r="W518" s="38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3"/>
      <c r="T519" s="3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"/>
      <c r="R520" s="2"/>
      <c r="S520" s="3"/>
      <c r="T520" s="3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68"/>
      <c r="R522" s="69"/>
      <c r="S522" s="70"/>
      <c r="T522" s="70"/>
      <c r="U522" s="70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1"/>
      <c r="R523" s="71"/>
      <c r="S523" s="71"/>
      <c r="T523" s="71"/>
      <c r="U523" s="71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6"/>
      <c r="R524" s="46"/>
      <c r="S524" s="46"/>
      <c r="T524" s="46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6"/>
      <c r="R526" s="46"/>
      <c r="S526" s="46"/>
      <c r="T526" s="46"/>
      <c r="U526" s="46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6"/>
      <c r="R527" s="46"/>
      <c r="S527" s="46"/>
      <c r="T527" s="46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6"/>
      <c r="R528" s="46"/>
      <c r="S528" s="46"/>
      <c r="T528" s="46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46"/>
      <c r="R529" s="46"/>
      <c r="S529" s="46"/>
      <c r="T529" s="46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46"/>
      <c r="R530" s="46"/>
      <c r="S530" s="46"/>
      <c r="T530" s="46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2"/>
      <c r="R531" s="72"/>
      <c r="S531" s="72"/>
      <c r="T531" s="72"/>
      <c r="U531" s="73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"/>
      <c r="R532" s="2"/>
      <c r="S532" s="3"/>
      <c r="T532" s="3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56"/>
      <c r="R534" s="56"/>
      <c r="S534" s="56"/>
      <c r="T534" s="56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56"/>
      <c r="R535" s="56"/>
      <c r="S535" s="56"/>
      <c r="T535" s="56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56"/>
      <c r="R536" s="56"/>
      <c r="S536" s="56"/>
      <c r="T536" s="56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56"/>
      <c r="R537" s="56"/>
      <c r="S537" s="56"/>
      <c r="T537" s="56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56"/>
      <c r="R538" s="56"/>
      <c r="S538" s="56"/>
      <c r="T538" s="56"/>
      <c r="U538" s="2"/>
      <c r="V538" s="2"/>
      <c r="W538" s="56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56"/>
      <c r="R539" s="56"/>
      <c r="S539" s="56"/>
      <c r="T539" s="56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56"/>
      <c r="R540" s="56"/>
      <c r="S540" s="56"/>
      <c r="T540" s="56"/>
      <c r="U540" s="2"/>
      <c r="V540" s="2"/>
      <c r="W540" s="56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56"/>
      <c r="R541" s="56"/>
      <c r="S541" s="56"/>
      <c r="T541" s="56"/>
      <c r="U541" s="2"/>
      <c r="V541" s="2"/>
      <c r="W541" s="56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46"/>
      <c r="R542" s="46"/>
      <c r="S542" s="46"/>
      <c r="T542" s="46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46"/>
      <c r="R543" s="46"/>
      <c r="S543" s="46"/>
      <c r="T543" s="46"/>
      <c r="U543" s="2"/>
      <c r="V543" s="2"/>
      <c r="W543" s="56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6"/>
      <c r="R544" s="46"/>
      <c r="S544" s="46"/>
      <c r="T544" s="46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46"/>
      <c r="R545" s="46"/>
      <c r="S545" s="46"/>
      <c r="T545" s="46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46"/>
      <c r="R546" s="46"/>
      <c r="S546" s="46"/>
      <c r="T546" s="46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46"/>
      <c r="R547" s="46"/>
      <c r="S547" s="46"/>
      <c r="T547" s="46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46"/>
      <c r="R548" s="46"/>
      <c r="S548" s="46"/>
      <c r="T548" s="46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46"/>
      <c r="R549" s="46"/>
      <c r="S549" s="46"/>
      <c r="T549" s="46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46"/>
      <c r="R550" s="46"/>
      <c r="S550" s="46"/>
      <c r="T550" s="46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"/>
      <c r="R551" s="46"/>
      <c r="S551" s="46"/>
      <c r="T551" s="46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2"/>
      <c r="R553" s="72"/>
      <c r="S553" s="72"/>
      <c r="T553" s="72"/>
      <c r="U553" s="73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1"/>
      <c r="R555" s="72"/>
      <c r="S555" s="72"/>
      <c r="T555" s="74"/>
      <c r="U555" s="74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46"/>
      <c r="R557" s="46"/>
      <c r="S557" s="46"/>
      <c r="T557" s="46"/>
      <c r="U557" s="46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46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</sheetData>
  <mergeCells count="10">
    <mergeCell ref="U170:W170"/>
    <mergeCell ref="U226:W226"/>
    <mergeCell ref="U261:W261"/>
    <mergeCell ref="I3:K3"/>
    <mergeCell ref="I19:K19"/>
    <mergeCell ref="I142:K142"/>
    <mergeCell ref="A166:B166"/>
    <mergeCell ref="A171:A172"/>
    <mergeCell ref="A174:F174"/>
    <mergeCell ref="A186:F186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254</v>
      </c>
      <c r="F3" s="7">
        <v>46041.0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2.0</v>
      </c>
      <c r="B6" s="12" t="s">
        <v>13</v>
      </c>
      <c r="C6" s="14" t="s">
        <v>206</v>
      </c>
      <c r="D6" s="15">
        <v>63000.0</v>
      </c>
      <c r="E6" s="15">
        <f t="shared" ref="E6:E19" si="1">A6*D6</f>
        <v>126000</v>
      </c>
      <c r="F6" s="15">
        <f t="shared" ref="F6:F18" si="2">E6*1.105</f>
        <v>139230</v>
      </c>
      <c r="G6" s="3"/>
      <c r="H6" s="3" t="s">
        <v>2</v>
      </c>
      <c r="I6" s="16">
        <v>40000.0</v>
      </c>
      <c r="J6" s="15">
        <f t="shared" ref="J6:J19" si="3">I6*A6</f>
        <v>80000</v>
      </c>
      <c r="K6" s="15">
        <f t="shared" ref="K6:K19" si="4">F6-J6</f>
        <v>59230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2.0</v>
      </c>
      <c r="B7" s="12" t="s">
        <v>32</v>
      </c>
      <c r="C7" s="14" t="s">
        <v>35</v>
      </c>
      <c r="D7" s="15">
        <v>53000.0</v>
      </c>
      <c r="E7" s="15">
        <f t="shared" si="1"/>
        <v>106000</v>
      </c>
      <c r="F7" s="15">
        <f t="shared" si="2"/>
        <v>117130</v>
      </c>
      <c r="G7" s="3"/>
      <c r="H7" s="3" t="s">
        <v>2</v>
      </c>
      <c r="I7" s="16">
        <v>45000.0</v>
      </c>
      <c r="J7" s="15">
        <f t="shared" si="3"/>
        <v>90000</v>
      </c>
      <c r="K7" s="15">
        <f t="shared" si="4"/>
        <v>27130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32</v>
      </c>
      <c r="C8" s="14" t="s">
        <v>36</v>
      </c>
      <c r="D8" s="15">
        <v>43000.0</v>
      </c>
      <c r="E8" s="15">
        <f t="shared" si="1"/>
        <v>86000</v>
      </c>
      <c r="F8" s="15">
        <f t="shared" si="2"/>
        <v>95030</v>
      </c>
      <c r="G8" s="3"/>
      <c r="H8" s="3" t="s">
        <v>2</v>
      </c>
      <c r="I8" s="16">
        <v>35000.0</v>
      </c>
      <c r="J8" s="15">
        <f t="shared" si="3"/>
        <v>70000</v>
      </c>
      <c r="K8" s="15">
        <f t="shared" si="4"/>
        <v>25030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32</v>
      </c>
      <c r="C9" s="14" t="s">
        <v>62</v>
      </c>
      <c r="D9" s="15">
        <v>13000.0</v>
      </c>
      <c r="E9" s="15">
        <f t="shared" si="1"/>
        <v>13000</v>
      </c>
      <c r="F9" s="15">
        <f t="shared" si="2"/>
        <v>14365</v>
      </c>
      <c r="G9" s="3"/>
      <c r="H9" s="3" t="s">
        <v>2</v>
      </c>
      <c r="I9" s="16">
        <v>9000.0</v>
      </c>
      <c r="J9" s="15">
        <f t="shared" si="3"/>
        <v>9000</v>
      </c>
      <c r="K9" s="15">
        <f t="shared" si="4"/>
        <v>5365</v>
      </c>
      <c r="L9" s="4"/>
      <c r="M9" s="17"/>
      <c r="N9" s="18"/>
      <c r="O9" s="19"/>
      <c r="P9" s="18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6.0</v>
      </c>
      <c r="B10" s="12" t="s">
        <v>28</v>
      </c>
      <c r="C10" s="14" t="s">
        <v>74</v>
      </c>
      <c r="D10" s="15">
        <v>1000.0</v>
      </c>
      <c r="E10" s="15">
        <f t="shared" si="1"/>
        <v>6000</v>
      </c>
      <c r="F10" s="15">
        <f t="shared" si="2"/>
        <v>6630</v>
      </c>
      <c r="G10" s="3"/>
      <c r="H10" s="3" t="s">
        <v>2</v>
      </c>
      <c r="I10" s="16">
        <v>500.0</v>
      </c>
      <c r="J10" s="15">
        <f t="shared" si="3"/>
        <v>3000</v>
      </c>
      <c r="K10" s="15">
        <f t="shared" si="4"/>
        <v>3630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2.0</v>
      </c>
      <c r="B11" s="12" t="s">
        <v>13</v>
      </c>
      <c r="C11" s="14" t="s">
        <v>19</v>
      </c>
      <c r="D11" s="15">
        <v>38000.0</v>
      </c>
      <c r="E11" s="15">
        <f t="shared" si="1"/>
        <v>76000</v>
      </c>
      <c r="F11" s="15">
        <f t="shared" si="2"/>
        <v>83980</v>
      </c>
      <c r="G11" s="3"/>
      <c r="H11" s="3" t="s">
        <v>2</v>
      </c>
      <c r="I11" s="16">
        <v>28000.0</v>
      </c>
      <c r="J11" s="15">
        <f t="shared" si="3"/>
        <v>56000</v>
      </c>
      <c r="K11" s="15">
        <f t="shared" si="4"/>
        <v>27980</v>
      </c>
      <c r="L11" s="4"/>
      <c r="M11" s="20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32</v>
      </c>
      <c r="C12" s="14" t="s">
        <v>255</v>
      </c>
      <c r="D12" s="15">
        <v>25000.0</v>
      </c>
      <c r="E12" s="15">
        <f t="shared" si="1"/>
        <v>50000</v>
      </c>
      <c r="F12" s="15">
        <f t="shared" si="2"/>
        <v>55250</v>
      </c>
      <c r="G12" s="6" t="s">
        <v>2</v>
      </c>
      <c r="H12" s="3" t="s">
        <v>2</v>
      </c>
      <c r="I12" s="16">
        <f>50000/3</f>
        <v>16666.66667</v>
      </c>
      <c r="J12" s="15">
        <f t="shared" si="3"/>
        <v>33333.33333</v>
      </c>
      <c r="K12" s="15">
        <f t="shared" si="4"/>
        <v>21916.66667</v>
      </c>
      <c r="L12" s="25" t="s">
        <v>2</v>
      </c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4.0</v>
      </c>
      <c r="B13" s="12" t="s">
        <v>13</v>
      </c>
      <c r="C13" s="14" t="s">
        <v>153</v>
      </c>
      <c r="D13" s="15">
        <v>32000.0</v>
      </c>
      <c r="E13" s="15">
        <f t="shared" si="1"/>
        <v>128000</v>
      </c>
      <c r="F13" s="15">
        <f t="shared" si="2"/>
        <v>141440</v>
      </c>
      <c r="G13" s="3"/>
      <c r="H13" s="3" t="s">
        <v>2</v>
      </c>
      <c r="I13" s="16">
        <v>27000.0</v>
      </c>
      <c r="J13" s="15">
        <f t="shared" si="3"/>
        <v>108000</v>
      </c>
      <c r="K13" s="15">
        <f t="shared" si="4"/>
        <v>33440</v>
      </c>
      <c r="L13" s="4"/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0.5</v>
      </c>
      <c r="B14" s="12" t="s">
        <v>32</v>
      </c>
      <c r="C14" s="14" t="s">
        <v>152</v>
      </c>
      <c r="D14" s="15">
        <v>50000.0</v>
      </c>
      <c r="E14" s="15">
        <f t="shared" si="1"/>
        <v>25000</v>
      </c>
      <c r="F14" s="15">
        <f t="shared" si="2"/>
        <v>27625</v>
      </c>
      <c r="G14" s="6"/>
      <c r="H14" s="3"/>
      <c r="I14" s="16">
        <v>38000.0</v>
      </c>
      <c r="J14" s="15">
        <f t="shared" si="3"/>
        <v>19000</v>
      </c>
      <c r="K14" s="15">
        <f t="shared" si="4"/>
        <v>8625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13</v>
      </c>
      <c r="C15" s="14" t="s">
        <v>19</v>
      </c>
      <c r="D15" s="15">
        <v>38000.0</v>
      </c>
      <c r="E15" s="15">
        <f t="shared" si="1"/>
        <v>38000</v>
      </c>
      <c r="F15" s="15">
        <f t="shared" si="2"/>
        <v>41990</v>
      </c>
      <c r="G15" s="6" t="s">
        <v>42</v>
      </c>
      <c r="H15" s="3"/>
      <c r="I15" s="16"/>
      <c r="J15" s="15">
        <f t="shared" si="3"/>
        <v>0</v>
      </c>
      <c r="K15" s="15">
        <f t="shared" si="4"/>
        <v>41990</v>
      </c>
      <c r="L15" s="4"/>
      <c r="M15" s="20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32</v>
      </c>
      <c r="C16" s="14" t="s">
        <v>256</v>
      </c>
      <c r="D16" s="15">
        <v>53000.0</v>
      </c>
      <c r="E16" s="15">
        <f t="shared" si="1"/>
        <v>53000</v>
      </c>
      <c r="F16" s="15">
        <f t="shared" si="2"/>
        <v>58565</v>
      </c>
      <c r="G16" s="6" t="s">
        <v>42</v>
      </c>
      <c r="H16" s="3"/>
      <c r="I16" s="16"/>
      <c r="J16" s="15">
        <f t="shared" si="3"/>
        <v>0</v>
      </c>
      <c r="K16" s="15">
        <f t="shared" si="4"/>
        <v>58565</v>
      </c>
      <c r="L16" s="4"/>
      <c r="M16" s="20"/>
      <c r="N16" s="21"/>
      <c r="P16" s="21"/>
      <c r="Q16" s="21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257</v>
      </c>
      <c r="C17" s="14" t="s">
        <v>192</v>
      </c>
      <c r="D17" s="15">
        <v>43000.0</v>
      </c>
      <c r="E17" s="15">
        <f t="shared" si="1"/>
        <v>43000</v>
      </c>
      <c r="F17" s="15">
        <f t="shared" si="2"/>
        <v>47515</v>
      </c>
      <c r="G17" s="6" t="s">
        <v>42</v>
      </c>
      <c r="H17" s="3" t="s">
        <v>2</v>
      </c>
      <c r="I17" s="16">
        <v>0.0</v>
      </c>
      <c r="J17" s="15">
        <f t="shared" si="3"/>
        <v>0</v>
      </c>
      <c r="K17" s="15">
        <f t="shared" si="4"/>
        <v>47515</v>
      </c>
      <c r="L17" s="4"/>
      <c r="M17" s="20"/>
      <c r="N17" s="21"/>
      <c r="P17" s="21"/>
      <c r="Q17" s="21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13</v>
      </c>
      <c r="C18" s="14" t="s">
        <v>206</v>
      </c>
      <c r="D18" s="15">
        <v>63000.0</v>
      </c>
      <c r="E18" s="15">
        <f t="shared" si="1"/>
        <v>63000</v>
      </c>
      <c r="F18" s="15">
        <f t="shared" si="2"/>
        <v>69615</v>
      </c>
      <c r="G18" s="6" t="s">
        <v>42</v>
      </c>
      <c r="H18" s="3"/>
      <c r="I18" s="3"/>
      <c r="J18" s="15">
        <f t="shared" si="3"/>
        <v>0</v>
      </c>
      <c r="K18" s="15">
        <f t="shared" si="4"/>
        <v>69615</v>
      </c>
      <c r="L18" s="4"/>
      <c r="N18" s="21"/>
      <c r="P18" s="21"/>
      <c r="Q18" s="21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0.5</v>
      </c>
      <c r="B19" s="12" t="s">
        <v>32</v>
      </c>
      <c r="C19" s="14" t="s">
        <v>152</v>
      </c>
      <c r="D19" s="15">
        <v>50000.0</v>
      </c>
      <c r="E19" s="15">
        <f t="shared" si="1"/>
        <v>25000</v>
      </c>
      <c r="F19" s="15">
        <f>E19*1.21</f>
        <v>30250</v>
      </c>
      <c r="G19" s="6" t="s">
        <v>42</v>
      </c>
      <c r="H19" s="3"/>
      <c r="I19" s="3"/>
      <c r="J19" s="15">
        <f t="shared" si="3"/>
        <v>0</v>
      </c>
      <c r="K19" s="15">
        <f t="shared" si="4"/>
        <v>30250</v>
      </c>
      <c r="L19" s="25" t="s">
        <v>2</v>
      </c>
      <c r="M19" s="2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1"/>
      <c r="B21" s="2"/>
      <c r="C21" s="2"/>
      <c r="D21" s="3"/>
      <c r="E21" s="15">
        <f t="shared" ref="E21:F21" si="5">SUM(E6:E19)</f>
        <v>838000</v>
      </c>
      <c r="F21" s="15">
        <f t="shared" si="5"/>
        <v>928615</v>
      </c>
      <c r="G21" s="2"/>
      <c r="H21" s="2"/>
      <c r="I21" s="2"/>
      <c r="J21" s="2"/>
      <c r="K21" s="3">
        <f>SUM(K6:K19)</f>
        <v>460281.6667</v>
      </c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"/>
      <c r="B22" s="2"/>
      <c r="C22" s="2"/>
      <c r="D22" s="3"/>
      <c r="E22" s="3"/>
      <c r="F22" s="3"/>
      <c r="G22" s="2"/>
      <c r="H22" s="2"/>
      <c r="I22" s="2"/>
      <c r="J22" s="2"/>
      <c r="K22" s="3"/>
      <c r="L22" s="4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"/>
      <c r="B23" s="2"/>
      <c r="C23" s="2"/>
      <c r="D23" s="3"/>
      <c r="E23" s="3"/>
      <c r="F23" s="3"/>
      <c r="G23" s="2"/>
      <c r="H23" s="2"/>
      <c r="I23" s="2"/>
      <c r="J23" s="2"/>
      <c r="K23" s="3"/>
      <c r="L23" s="4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23" t="s">
        <v>57</v>
      </c>
      <c r="B24" s="23"/>
      <c r="C24" s="23"/>
      <c r="D24" s="25" t="s">
        <v>258</v>
      </c>
      <c r="E24" s="7">
        <v>46041.0</v>
      </c>
      <c r="F24" s="28"/>
      <c r="G24" s="24"/>
      <c r="H24" s="24"/>
      <c r="I24" s="16"/>
      <c r="J24" s="16"/>
      <c r="K24" s="16"/>
      <c r="L24" s="29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B25" s="24"/>
      <c r="C25" s="26"/>
      <c r="D25" s="24"/>
      <c r="E25" s="24"/>
      <c r="F25" s="24"/>
      <c r="G25" s="24"/>
      <c r="H25" s="24"/>
      <c r="I25" s="16"/>
      <c r="J25" s="16"/>
      <c r="K25" s="16"/>
      <c r="L25" s="29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5" t="s">
        <v>4</v>
      </c>
      <c r="B26" s="10" t="s">
        <v>5</v>
      </c>
      <c r="C26" s="11" t="s">
        <v>6</v>
      </c>
      <c r="D26" s="12" t="s">
        <v>7</v>
      </c>
      <c r="E26" s="10" t="s">
        <v>8</v>
      </c>
      <c r="F26" s="12"/>
      <c r="G26" s="24"/>
      <c r="H26" s="24"/>
      <c r="I26" s="12" t="s">
        <v>7</v>
      </c>
      <c r="J26" s="12" t="s">
        <v>8</v>
      </c>
      <c r="K26" s="12" t="s">
        <v>10</v>
      </c>
      <c r="L26" s="29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0.5</v>
      </c>
      <c r="B27" s="12" t="s">
        <v>32</v>
      </c>
      <c r="C27" s="14" t="s">
        <v>20</v>
      </c>
      <c r="D27" s="15">
        <v>20000.0</v>
      </c>
      <c r="E27" s="15">
        <f t="shared" ref="E27:E40" si="6">A27*D27</f>
        <v>10000</v>
      </c>
      <c r="F27" s="16"/>
      <c r="G27" s="24"/>
      <c r="H27" s="24"/>
      <c r="I27" s="16">
        <v>15000.0</v>
      </c>
      <c r="J27" s="16">
        <f t="shared" ref="J27:J40" si="7">I27*A27</f>
        <v>7500</v>
      </c>
      <c r="K27" s="16">
        <f t="shared" ref="K27:K40" si="8">E27-J27</f>
        <v>2500</v>
      </c>
      <c r="L27" s="31" t="s">
        <v>2</v>
      </c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1.0</v>
      </c>
      <c r="B28" s="12" t="s">
        <v>13</v>
      </c>
      <c r="C28" s="14" t="s">
        <v>45</v>
      </c>
      <c r="D28" s="15">
        <v>42000.0</v>
      </c>
      <c r="E28" s="15">
        <f t="shared" si="6"/>
        <v>42000</v>
      </c>
      <c r="F28" s="16"/>
      <c r="G28" s="24"/>
      <c r="H28" s="24"/>
      <c r="I28" s="16">
        <v>32000.0</v>
      </c>
      <c r="J28" s="16">
        <f t="shared" si="7"/>
        <v>32000</v>
      </c>
      <c r="K28" s="16">
        <f t="shared" si="8"/>
        <v>10000</v>
      </c>
      <c r="L28" s="31" t="s">
        <v>2</v>
      </c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28</v>
      </c>
      <c r="C29" s="14" t="s">
        <v>143</v>
      </c>
      <c r="D29" s="15">
        <v>3000.0</v>
      </c>
      <c r="E29" s="15">
        <f t="shared" si="6"/>
        <v>3000</v>
      </c>
      <c r="F29" s="16"/>
      <c r="G29" s="24"/>
      <c r="H29" s="24"/>
      <c r="I29" s="16">
        <v>2000.0</v>
      </c>
      <c r="J29" s="16">
        <f t="shared" si="7"/>
        <v>2000</v>
      </c>
      <c r="K29" s="16">
        <f t="shared" si="8"/>
        <v>1000</v>
      </c>
      <c r="L29" s="31" t="s">
        <v>2</v>
      </c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2.0</v>
      </c>
      <c r="B30" s="12" t="s">
        <v>42</v>
      </c>
      <c r="C30" s="14" t="s">
        <v>180</v>
      </c>
      <c r="D30" s="15">
        <v>23000.0</v>
      </c>
      <c r="E30" s="15">
        <f t="shared" si="6"/>
        <v>46000</v>
      </c>
      <c r="F30" s="16"/>
      <c r="G30" s="24"/>
      <c r="H30" s="24"/>
      <c r="I30" s="16">
        <v>19000.0</v>
      </c>
      <c r="J30" s="16">
        <f t="shared" si="7"/>
        <v>38000</v>
      </c>
      <c r="K30" s="16">
        <f t="shared" si="8"/>
        <v>8000</v>
      </c>
      <c r="L30" s="31" t="s">
        <v>2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2.0</v>
      </c>
      <c r="B31" s="12" t="s">
        <v>32</v>
      </c>
      <c r="C31" s="14" t="s">
        <v>67</v>
      </c>
      <c r="D31" s="15">
        <v>22000.0</v>
      </c>
      <c r="E31" s="15">
        <f t="shared" si="6"/>
        <v>44000</v>
      </c>
      <c r="F31" s="16"/>
      <c r="G31" s="24"/>
      <c r="H31" s="24"/>
      <c r="I31" s="16">
        <v>17000.0</v>
      </c>
      <c r="J31" s="16">
        <f t="shared" si="7"/>
        <v>34000</v>
      </c>
      <c r="K31" s="16">
        <f t="shared" si="8"/>
        <v>10000</v>
      </c>
      <c r="L31" s="31" t="s">
        <v>2</v>
      </c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0.5</v>
      </c>
      <c r="B32" s="12" t="s">
        <v>17</v>
      </c>
      <c r="C32" s="14" t="s">
        <v>186</v>
      </c>
      <c r="D32" s="15">
        <v>19000.0</v>
      </c>
      <c r="E32" s="15">
        <f t="shared" si="6"/>
        <v>9500</v>
      </c>
      <c r="F32" s="16"/>
      <c r="G32" s="24"/>
      <c r="H32" s="24"/>
      <c r="I32" s="16">
        <v>16000.0</v>
      </c>
      <c r="J32" s="16">
        <f t="shared" si="7"/>
        <v>8000</v>
      </c>
      <c r="K32" s="16">
        <f t="shared" si="8"/>
        <v>1500</v>
      </c>
      <c r="L32" s="31" t="s">
        <v>2</v>
      </c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0.5</v>
      </c>
      <c r="B33" s="12" t="s">
        <v>17</v>
      </c>
      <c r="C33" s="14" t="s">
        <v>211</v>
      </c>
      <c r="D33" s="15">
        <v>20000.0</v>
      </c>
      <c r="E33" s="15">
        <f t="shared" si="6"/>
        <v>10000</v>
      </c>
      <c r="F33" s="16"/>
      <c r="G33" s="24"/>
      <c r="H33" s="24"/>
      <c r="I33" s="16">
        <v>17000.0</v>
      </c>
      <c r="J33" s="16">
        <f t="shared" si="7"/>
        <v>8500</v>
      </c>
      <c r="K33" s="16">
        <f t="shared" si="8"/>
        <v>1500</v>
      </c>
      <c r="L33" s="31" t="s">
        <v>2</v>
      </c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3.0</v>
      </c>
      <c r="B34" s="12" t="s">
        <v>5</v>
      </c>
      <c r="C34" s="14" t="s">
        <v>69</v>
      </c>
      <c r="D34" s="15">
        <v>1200.0</v>
      </c>
      <c r="E34" s="15">
        <f t="shared" si="6"/>
        <v>3600</v>
      </c>
      <c r="F34" s="16"/>
      <c r="G34" s="24"/>
      <c r="H34" s="24"/>
      <c r="I34" s="16">
        <v>560.0</v>
      </c>
      <c r="J34" s="15">
        <f t="shared" si="7"/>
        <v>1680</v>
      </c>
      <c r="K34" s="15">
        <f t="shared" si="8"/>
        <v>1920</v>
      </c>
      <c r="L34" s="31" t="s">
        <v>2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3.0</v>
      </c>
      <c r="B35" s="12" t="s">
        <v>17</v>
      </c>
      <c r="C35" s="14" t="s">
        <v>178</v>
      </c>
      <c r="D35" s="15">
        <v>4000.0</v>
      </c>
      <c r="E35" s="15">
        <f t="shared" si="6"/>
        <v>12000</v>
      </c>
      <c r="F35" s="16"/>
      <c r="G35" s="24"/>
      <c r="H35" s="24"/>
      <c r="I35" s="16">
        <v>4000.0</v>
      </c>
      <c r="J35" s="15">
        <f t="shared" si="7"/>
        <v>12000</v>
      </c>
      <c r="K35" s="15">
        <f t="shared" si="8"/>
        <v>0</v>
      </c>
      <c r="L35" s="31" t="s">
        <v>2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3.0</v>
      </c>
      <c r="B36" s="12" t="s">
        <v>17</v>
      </c>
      <c r="C36" s="14" t="s">
        <v>44</v>
      </c>
      <c r="D36" s="15">
        <v>3000.0</v>
      </c>
      <c r="E36" s="15">
        <f t="shared" si="6"/>
        <v>9000</v>
      </c>
      <c r="F36" s="16"/>
      <c r="G36" s="24"/>
      <c r="H36" s="24"/>
      <c r="I36" s="16">
        <f>10000/8</f>
        <v>1250</v>
      </c>
      <c r="J36" s="15">
        <f t="shared" si="7"/>
        <v>3750</v>
      </c>
      <c r="K36" s="15">
        <f t="shared" si="8"/>
        <v>5250</v>
      </c>
      <c r="L36" s="31" t="s">
        <v>2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28</v>
      </c>
      <c r="C37" s="14" t="s">
        <v>63</v>
      </c>
      <c r="D37" s="15">
        <v>2000.0</v>
      </c>
      <c r="E37" s="15">
        <f t="shared" si="6"/>
        <v>2000</v>
      </c>
      <c r="F37" s="16"/>
      <c r="G37" s="24"/>
      <c r="H37" s="24"/>
      <c r="I37" s="16">
        <v>1000.0</v>
      </c>
      <c r="J37" s="15">
        <f t="shared" si="7"/>
        <v>1000</v>
      </c>
      <c r="K37" s="15">
        <f t="shared" si="8"/>
        <v>1000</v>
      </c>
      <c r="L37" s="31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1.0</v>
      </c>
      <c r="B38" s="12" t="s">
        <v>28</v>
      </c>
      <c r="C38" s="14" t="s">
        <v>197</v>
      </c>
      <c r="D38" s="15">
        <v>3000.0</v>
      </c>
      <c r="E38" s="15">
        <f t="shared" si="6"/>
        <v>3000</v>
      </c>
      <c r="F38" s="16"/>
      <c r="G38" s="24"/>
      <c r="H38" s="24"/>
      <c r="I38" s="16">
        <v>2000.0</v>
      </c>
      <c r="J38" s="16">
        <f t="shared" si="7"/>
        <v>2000</v>
      </c>
      <c r="K38" s="16">
        <f t="shared" si="8"/>
        <v>1000</v>
      </c>
      <c r="L38" s="31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1.0</v>
      </c>
      <c r="B39" s="12" t="s">
        <v>32</v>
      </c>
      <c r="C39" s="14" t="s">
        <v>147</v>
      </c>
      <c r="D39" s="15">
        <v>9000.0</v>
      </c>
      <c r="E39" s="15">
        <f t="shared" si="6"/>
        <v>9000</v>
      </c>
      <c r="F39" s="16"/>
      <c r="G39" s="24"/>
      <c r="H39" s="24"/>
      <c r="I39" s="16">
        <v>5000.0</v>
      </c>
      <c r="J39" s="16">
        <f t="shared" si="7"/>
        <v>5000</v>
      </c>
      <c r="K39" s="16">
        <f t="shared" si="8"/>
        <v>4000</v>
      </c>
      <c r="L39" s="31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1.0</v>
      </c>
      <c r="B40" s="12" t="s">
        <v>17</v>
      </c>
      <c r="C40" s="14" t="s">
        <v>33</v>
      </c>
      <c r="D40" s="15">
        <v>2000.0</v>
      </c>
      <c r="E40" s="15">
        <f t="shared" si="6"/>
        <v>2000</v>
      </c>
      <c r="F40" s="16"/>
      <c r="G40" s="24"/>
      <c r="H40" s="24"/>
      <c r="I40" s="16">
        <v>1400.0</v>
      </c>
      <c r="J40" s="16">
        <f t="shared" si="7"/>
        <v>1400</v>
      </c>
      <c r="K40" s="16">
        <f t="shared" si="8"/>
        <v>600</v>
      </c>
      <c r="L40" s="31" t="s">
        <v>2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/>
      <c r="B41" s="12"/>
      <c r="C41" s="14"/>
      <c r="D41" s="15"/>
      <c r="E41" s="16"/>
      <c r="F41" s="16"/>
      <c r="G41" s="24"/>
      <c r="H41" s="24"/>
      <c r="I41" s="16"/>
      <c r="J41" s="16"/>
      <c r="K41" s="16"/>
      <c r="L41" s="30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/>
      <c r="B42" s="12"/>
      <c r="C42" s="14"/>
      <c r="D42" s="15"/>
      <c r="E42" s="16">
        <f>SUM(E27:E40)</f>
        <v>205100</v>
      </c>
      <c r="F42" s="16"/>
      <c r="G42" s="24"/>
      <c r="H42" s="24"/>
      <c r="I42" s="16"/>
      <c r="J42" s="16"/>
      <c r="K42" s="16">
        <f>SUM(K27:K40)</f>
        <v>48270</v>
      </c>
      <c r="L42" s="30">
        <f>K42/E42</f>
        <v>0.2353486104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/>
      <c r="B43" s="12"/>
      <c r="C43" s="14"/>
      <c r="D43" s="15"/>
      <c r="E43" s="3"/>
      <c r="F43" s="3"/>
      <c r="G43" s="2"/>
      <c r="H43" s="2"/>
      <c r="I43" s="2"/>
      <c r="J43" s="2"/>
      <c r="K43" s="3"/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33"/>
      <c r="B44" s="34"/>
      <c r="C44" s="2"/>
      <c r="E44" s="3"/>
      <c r="F44" s="3"/>
      <c r="G44" s="2"/>
      <c r="H44" s="2"/>
      <c r="I44" s="2"/>
      <c r="J44" s="2"/>
      <c r="K44" s="3"/>
      <c r="L44" s="4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23" t="s">
        <v>80</v>
      </c>
      <c r="B45" s="23"/>
      <c r="C45" s="23"/>
      <c r="D45" s="25" t="s">
        <v>259</v>
      </c>
      <c r="E45" s="7">
        <v>46041.0</v>
      </c>
      <c r="G45" s="24"/>
      <c r="H45" s="24"/>
      <c r="I45" s="16"/>
      <c r="J45" s="16"/>
      <c r="K45" s="16"/>
      <c r="L45" s="29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B46" s="24"/>
      <c r="C46" s="26"/>
      <c r="D46" s="24"/>
      <c r="E46" s="24"/>
      <c r="F46" s="24"/>
      <c r="G46" s="24"/>
      <c r="H46" s="24"/>
      <c r="I46" s="16"/>
      <c r="J46" s="16"/>
      <c r="K46" s="16"/>
      <c r="L46" s="29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5" t="s">
        <v>4</v>
      </c>
      <c r="B47" s="10" t="s">
        <v>5</v>
      </c>
      <c r="C47" s="11" t="s">
        <v>6</v>
      </c>
      <c r="D47" s="12" t="s">
        <v>7</v>
      </c>
      <c r="E47" s="10" t="s">
        <v>8</v>
      </c>
      <c r="F47" s="12"/>
      <c r="G47" s="24"/>
      <c r="H47" s="24"/>
      <c r="I47" s="12" t="s">
        <v>7</v>
      </c>
      <c r="J47" s="12" t="s">
        <v>8</v>
      </c>
      <c r="K47" s="12" t="s">
        <v>10</v>
      </c>
      <c r="L47" s="29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1.0</v>
      </c>
      <c r="B48" s="12" t="s">
        <v>32</v>
      </c>
      <c r="C48" s="14" t="s">
        <v>147</v>
      </c>
      <c r="D48" s="15">
        <v>10000.0</v>
      </c>
      <c r="E48" s="15">
        <f t="shared" ref="E48:E52" si="9">A48*D48</f>
        <v>10000</v>
      </c>
      <c r="F48" s="16"/>
      <c r="G48" s="24"/>
      <c r="H48" s="24"/>
      <c r="I48" s="15">
        <v>5000.0</v>
      </c>
      <c r="J48" s="16">
        <f t="shared" ref="J48:J53" si="10">I48*A48</f>
        <v>5000</v>
      </c>
      <c r="K48" s="16">
        <f t="shared" ref="K48:K53" si="11">E48-J48</f>
        <v>5000</v>
      </c>
      <c r="L48" s="30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4.0</v>
      </c>
      <c r="B49" s="12" t="s">
        <v>17</v>
      </c>
      <c r="C49" s="14" t="s">
        <v>162</v>
      </c>
      <c r="D49" s="15">
        <v>4000.0</v>
      </c>
      <c r="E49" s="15">
        <f t="shared" si="9"/>
        <v>16000</v>
      </c>
      <c r="F49" s="16"/>
      <c r="G49" s="24"/>
      <c r="H49" s="24"/>
      <c r="I49" s="15">
        <v>0.0</v>
      </c>
      <c r="J49" s="16">
        <f t="shared" si="10"/>
        <v>0</v>
      </c>
      <c r="K49" s="16">
        <f t="shared" si="11"/>
        <v>16000</v>
      </c>
      <c r="L49" s="30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1.5</v>
      </c>
      <c r="B50" s="12" t="s">
        <v>17</v>
      </c>
      <c r="C50" s="14" t="s">
        <v>79</v>
      </c>
      <c r="D50" s="15">
        <v>4000.0</v>
      </c>
      <c r="E50" s="15">
        <f t="shared" si="9"/>
        <v>6000</v>
      </c>
      <c r="F50" s="16"/>
      <c r="G50" s="24"/>
      <c r="H50" s="24"/>
      <c r="I50" s="15">
        <v>3500.0</v>
      </c>
      <c r="J50" s="16">
        <f t="shared" si="10"/>
        <v>5250</v>
      </c>
      <c r="K50" s="16">
        <f t="shared" si="11"/>
        <v>750</v>
      </c>
      <c r="L50" s="30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1.0</v>
      </c>
      <c r="B51" s="12" t="s">
        <v>17</v>
      </c>
      <c r="C51" s="14" t="s">
        <v>68</v>
      </c>
      <c r="D51" s="15">
        <v>2000.0</v>
      </c>
      <c r="E51" s="15">
        <f t="shared" si="9"/>
        <v>2000</v>
      </c>
      <c r="F51" s="16"/>
      <c r="G51" s="24"/>
      <c r="H51" s="24"/>
      <c r="I51" s="15">
        <v>1200.0</v>
      </c>
      <c r="J51" s="16">
        <f t="shared" si="10"/>
        <v>1200</v>
      </c>
      <c r="K51" s="16">
        <f t="shared" si="11"/>
        <v>800</v>
      </c>
      <c r="L51" s="30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0.4</v>
      </c>
      <c r="B52" s="12" t="s">
        <v>17</v>
      </c>
      <c r="C52" s="14" t="s">
        <v>20</v>
      </c>
      <c r="D52" s="15">
        <v>1400.0</v>
      </c>
      <c r="E52" s="15">
        <f t="shared" si="9"/>
        <v>560</v>
      </c>
      <c r="F52" s="16"/>
      <c r="G52" s="24"/>
      <c r="H52" s="24"/>
      <c r="I52" s="15">
        <f>1000</f>
        <v>1000</v>
      </c>
      <c r="J52" s="16">
        <f t="shared" si="10"/>
        <v>400</v>
      </c>
      <c r="K52" s="16">
        <f t="shared" si="11"/>
        <v>160</v>
      </c>
      <c r="L52" s="31" t="s">
        <v>2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/>
      <c r="B53" s="12"/>
      <c r="C53" s="14"/>
      <c r="D53" s="15"/>
      <c r="E53" s="15"/>
      <c r="F53" s="16"/>
      <c r="G53" s="24"/>
      <c r="H53" s="24"/>
      <c r="I53" s="15">
        <v>0.0</v>
      </c>
      <c r="J53" s="16">
        <f t="shared" si="10"/>
        <v>0</v>
      </c>
      <c r="K53" s="16">
        <f t="shared" si="11"/>
        <v>0</v>
      </c>
      <c r="L53" s="30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/>
      <c r="B54" s="12"/>
      <c r="C54" s="14"/>
      <c r="D54" s="15"/>
      <c r="E54" s="16"/>
      <c r="F54" s="16"/>
      <c r="G54" s="24"/>
      <c r="H54" s="24"/>
      <c r="I54" s="16"/>
      <c r="J54" s="16"/>
      <c r="K54" s="16"/>
      <c r="L54" s="30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/>
      <c r="B55" s="12"/>
      <c r="C55" s="14"/>
      <c r="D55" s="15"/>
      <c r="E55" s="16">
        <f>SUM(E48:E53)</f>
        <v>34560</v>
      </c>
      <c r="F55" s="16"/>
      <c r="G55" s="24"/>
      <c r="H55" s="24"/>
      <c r="I55" s="16"/>
      <c r="J55" s="16"/>
      <c r="K55" s="16">
        <f>SUM(K48:K53)</f>
        <v>22710</v>
      </c>
      <c r="L55" s="30">
        <f>K55/E55</f>
        <v>0.6571180556</v>
      </c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33"/>
      <c r="B56" s="34"/>
      <c r="C56" s="2"/>
      <c r="D56" s="3"/>
      <c r="E56" s="3"/>
      <c r="F56" s="3"/>
      <c r="G56" s="2"/>
      <c r="H56" s="2"/>
      <c r="I56" s="2"/>
      <c r="J56" s="2"/>
      <c r="K56" s="3"/>
      <c r="L56" s="4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21"/>
      <c r="P57" s="21"/>
      <c r="Q57" s="21"/>
      <c r="R57" s="2"/>
      <c r="S57" s="3"/>
      <c r="T57" s="3"/>
      <c r="U57" s="1"/>
      <c r="V57" s="3"/>
      <c r="W57" s="3"/>
      <c r="X57" s="3"/>
      <c r="Y57" s="3"/>
      <c r="Z57" s="3"/>
    </row>
    <row r="58">
      <c r="A58" s="33"/>
      <c r="B58" s="34"/>
      <c r="C58" s="2"/>
      <c r="D58" s="3"/>
      <c r="E58" s="3"/>
      <c r="F58" s="3"/>
      <c r="G58" s="2"/>
      <c r="H58" s="2"/>
      <c r="I58" s="2"/>
      <c r="J58" s="2"/>
      <c r="K58" s="3"/>
      <c r="L58" s="4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23" t="s">
        <v>83</v>
      </c>
      <c r="B59" s="23"/>
      <c r="C59" s="23"/>
      <c r="D59" s="25" t="s">
        <v>215</v>
      </c>
      <c r="E59" s="7">
        <v>46041.0</v>
      </c>
      <c r="F59" s="28"/>
      <c r="G59" s="24"/>
      <c r="H59" s="24"/>
      <c r="I59" s="16"/>
      <c r="J59" s="16"/>
      <c r="K59" s="16"/>
      <c r="L59" s="29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B60" s="24"/>
      <c r="C60" s="26"/>
      <c r="D60" s="24"/>
      <c r="E60" s="24"/>
      <c r="F60" s="24"/>
      <c r="G60" s="24"/>
      <c r="H60" s="24"/>
      <c r="I60" s="16"/>
      <c r="J60" s="16"/>
      <c r="K60" s="16"/>
      <c r="L60" s="29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5" t="s">
        <v>4</v>
      </c>
      <c r="B61" s="10" t="s">
        <v>5</v>
      </c>
      <c r="C61" s="11" t="s">
        <v>6</v>
      </c>
      <c r="D61" s="12" t="s">
        <v>7</v>
      </c>
      <c r="E61" s="10" t="s">
        <v>8</v>
      </c>
      <c r="F61" s="12"/>
      <c r="G61" s="24"/>
      <c r="H61" s="24"/>
      <c r="I61" s="12" t="s">
        <v>7</v>
      </c>
      <c r="J61" s="12" t="s">
        <v>8</v>
      </c>
      <c r="K61" s="12" t="s">
        <v>10</v>
      </c>
      <c r="L61" s="29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1.0</v>
      </c>
      <c r="B62" s="12" t="s">
        <v>42</v>
      </c>
      <c r="C62" s="14" t="s">
        <v>180</v>
      </c>
      <c r="D62" s="15">
        <v>23000.0</v>
      </c>
      <c r="E62" s="15">
        <f t="shared" ref="E62:E72" si="12">A62*D62</f>
        <v>23000</v>
      </c>
      <c r="F62" s="16"/>
      <c r="G62" s="24"/>
      <c r="H62" s="24"/>
      <c r="I62" s="16">
        <v>19000.0</v>
      </c>
      <c r="J62" s="16">
        <f t="shared" ref="J62:J72" si="13">I62*A62</f>
        <v>19000</v>
      </c>
      <c r="K62" s="16">
        <f t="shared" ref="K62:K72" si="14">E62-J62</f>
        <v>4000</v>
      </c>
      <c r="L62" s="31" t="s">
        <v>2</v>
      </c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1.0</v>
      </c>
      <c r="B63" s="12" t="s">
        <v>32</v>
      </c>
      <c r="C63" s="14" t="s">
        <v>152</v>
      </c>
      <c r="D63" s="15">
        <v>48000.0</v>
      </c>
      <c r="E63" s="15">
        <f t="shared" si="12"/>
        <v>48000</v>
      </c>
      <c r="F63" s="16"/>
      <c r="G63" s="24"/>
      <c r="H63" s="24"/>
      <c r="I63" s="16">
        <v>38000.0</v>
      </c>
      <c r="J63" s="16">
        <f t="shared" si="13"/>
        <v>38000</v>
      </c>
      <c r="K63" s="16">
        <f t="shared" si="14"/>
        <v>10000</v>
      </c>
      <c r="L63" s="31" t="s">
        <v>2</v>
      </c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3.0</v>
      </c>
      <c r="B64" s="12" t="s">
        <v>17</v>
      </c>
      <c r="C64" s="14" t="s">
        <v>178</v>
      </c>
      <c r="D64" s="15">
        <v>4000.0</v>
      </c>
      <c r="E64" s="15">
        <f t="shared" si="12"/>
        <v>12000</v>
      </c>
      <c r="F64" s="16"/>
      <c r="G64" s="24"/>
      <c r="H64" s="24"/>
      <c r="I64" s="16">
        <f>30000/15</f>
        <v>2000</v>
      </c>
      <c r="J64" s="16">
        <f t="shared" si="13"/>
        <v>6000</v>
      </c>
      <c r="K64" s="16">
        <f t="shared" si="14"/>
        <v>6000</v>
      </c>
      <c r="L64" s="31" t="s">
        <v>2</v>
      </c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1.0</v>
      </c>
      <c r="B65" s="12" t="s">
        <v>17</v>
      </c>
      <c r="C65" s="14" t="s">
        <v>226</v>
      </c>
      <c r="D65" s="15">
        <v>1600.0</v>
      </c>
      <c r="E65" s="15">
        <f t="shared" si="12"/>
        <v>1600</v>
      </c>
      <c r="F65" s="16"/>
      <c r="G65" s="24"/>
      <c r="H65" s="24"/>
      <c r="I65" s="16">
        <v>1000.0</v>
      </c>
      <c r="J65" s="16">
        <f t="shared" si="13"/>
        <v>1000</v>
      </c>
      <c r="K65" s="16">
        <f t="shared" si="14"/>
        <v>600</v>
      </c>
      <c r="L65" s="31" t="s">
        <v>2</v>
      </c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1.0</v>
      </c>
      <c r="B66" s="12" t="s">
        <v>32</v>
      </c>
      <c r="C66" s="14" t="s">
        <v>44</v>
      </c>
      <c r="D66" s="15">
        <v>20000.0</v>
      </c>
      <c r="E66" s="15">
        <f t="shared" si="12"/>
        <v>20000</v>
      </c>
      <c r="F66" s="16"/>
      <c r="G66" s="24"/>
      <c r="H66" s="24"/>
      <c r="I66" s="16">
        <v>10000.0</v>
      </c>
      <c r="J66" s="16">
        <f t="shared" si="13"/>
        <v>10000</v>
      </c>
      <c r="K66" s="16">
        <f t="shared" si="14"/>
        <v>10000</v>
      </c>
      <c r="L66" s="31" t="s">
        <v>2</v>
      </c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1.0</v>
      </c>
      <c r="B67" s="12" t="s">
        <v>28</v>
      </c>
      <c r="C67" s="14" t="s">
        <v>78</v>
      </c>
      <c r="D67" s="15">
        <v>5000.0</v>
      </c>
      <c r="E67" s="15">
        <f t="shared" si="12"/>
        <v>5000</v>
      </c>
      <c r="F67" s="16"/>
      <c r="G67" s="24"/>
      <c r="H67" s="24"/>
      <c r="I67" s="16">
        <v>4500.0</v>
      </c>
      <c r="J67" s="16">
        <f t="shared" si="13"/>
        <v>4500</v>
      </c>
      <c r="K67" s="16">
        <f t="shared" si="14"/>
        <v>500</v>
      </c>
      <c r="L67" s="31" t="s">
        <v>2</v>
      </c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10.0</v>
      </c>
      <c r="B68" s="12" t="s">
        <v>5</v>
      </c>
      <c r="C68" s="14" t="s">
        <v>38</v>
      </c>
      <c r="D68" s="15">
        <v>1400.0</v>
      </c>
      <c r="E68" s="15">
        <f t="shared" si="12"/>
        <v>14000</v>
      </c>
      <c r="F68" s="16"/>
      <c r="G68" s="24"/>
      <c r="H68" s="24"/>
      <c r="I68" s="16">
        <f>67000/70</f>
        <v>957.1428571</v>
      </c>
      <c r="J68" s="16">
        <f t="shared" si="13"/>
        <v>9571.428571</v>
      </c>
      <c r="K68" s="16">
        <f t="shared" si="14"/>
        <v>4428.571429</v>
      </c>
      <c r="L68" s="31" t="s">
        <v>2</v>
      </c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1.0</v>
      </c>
      <c r="B69" s="12" t="s">
        <v>28</v>
      </c>
      <c r="C69" s="14" t="s">
        <v>63</v>
      </c>
      <c r="D69" s="15">
        <v>2000.0</v>
      </c>
      <c r="E69" s="15">
        <f t="shared" si="12"/>
        <v>2000</v>
      </c>
      <c r="F69" s="16"/>
      <c r="G69" s="24"/>
      <c r="H69" s="24"/>
      <c r="I69" s="16">
        <v>1000.0</v>
      </c>
      <c r="J69" s="16">
        <f t="shared" si="13"/>
        <v>1000</v>
      </c>
      <c r="K69" s="16">
        <f t="shared" si="14"/>
        <v>1000</v>
      </c>
      <c r="L69" s="31" t="s">
        <v>2</v>
      </c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1.0</v>
      </c>
      <c r="B70" s="12" t="s">
        <v>28</v>
      </c>
      <c r="C70" s="14" t="s">
        <v>197</v>
      </c>
      <c r="D70" s="15">
        <v>3000.0</v>
      </c>
      <c r="E70" s="15">
        <f t="shared" si="12"/>
        <v>3000</v>
      </c>
      <c r="F70" s="16"/>
      <c r="G70" s="24"/>
      <c r="H70" s="24"/>
      <c r="I70" s="16">
        <v>2000.0</v>
      </c>
      <c r="J70" s="16">
        <f t="shared" si="13"/>
        <v>2000</v>
      </c>
      <c r="K70" s="16">
        <f t="shared" si="14"/>
        <v>1000</v>
      </c>
      <c r="L70" s="31" t="s">
        <v>2</v>
      </c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1.0</v>
      </c>
      <c r="B71" s="12" t="s">
        <v>32</v>
      </c>
      <c r="C71" s="14" t="s">
        <v>147</v>
      </c>
      <c r="D71" s="15">
        <v>9000.0</v>
      </c>
      <c r="E71" s="15">
        <f t="shared" si="12"/>
        <v>9000</v>
      </c>
      <c r="F71" s="16"/>
      <c r="G71" s="24"/>
      <c r="H71" s="24"/>
      <c r="I71" s="16">
        <v>5000.0</v>
      </c>
      <c r="J71" s="16">
        <f t="shared" si="13"/>
        <v>5000</v>
      </c>
      <c r="K71" s="16">
        <f t="shared" si="14"/>
        <v>4000</v>
      </c>
      <c r="L71" s="31" t="s">
        <v>2</v>
      </c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0.5</v>
      </c>
      <c r="B72" s="12" t="s">
        <v>32</v>
      </c>
      <c r="C72" s="14" t="s">
        <v>196</v>
      </c>
      <c r="D72" s="15">
        <v>13000.0</v>
      </c>
      <c r="E72" s="15">
        <f t="shared" si="12"/>
        <v>6500</v>
      </c>
      <c r="F72" s="16"/>
      <c r="G72" s="24"/>
      <c r="H72" s="24"/>
      <c r="I72" s="16">
        <v>7000.0</v>
      </c>
      <c r="J72" s="16">
        <f t="shared" si="13"/>
        <v>3500</v>
      </c>
      <c r="K72" s="16">
        <f t="shared" si="14"/>
        <v>3000</v>
      </c>
      <c r="L72" s="31" t="s">
        <v>2</v>
      </c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/>
      <c r="B73" s="12"/>
      <c r="C73" s="14"/>
      <c r="D73" s="15"/>
      <c r="E73" s="16"/>
      <c r="F73" s="16"/>
      <c r="H73" s="24"/>
      <c r="I73" s="16"/>
      <c r="J73" s="16"/>
      <c r="K73" s="16"/>
      <c r="L73" s="30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/>
      <c r="B74" s="12"/>
      <c r="C74" s="14"/>
      <c r="D74" s="15"/>
      <c r="E74" s="16">
        <f>SUM(E62:E73)</f>
        <v>144100</v>
      </c>
      <c r="F74" s="16"/>
      <c r="G74" s="24"/>
      <c r="H74" s="24"/>
      <c r="I74" s="16"/>
      <c r="J74" s="16"/>
      <c r="K74" s="16">
        <f>SUM(K62:K72)</f>
        <v>44528.57143</v>
      </c>
      <c r="L74" s="30">
        <f>K74/E74</f>
        <v>0.3090115991</v>
      </c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/>
      <c r="B75" s="12"/>
      <c r="C75" s="14"/>
      <c r="D75" s="15"/>
      <c r="E75" s="3"/>
      <c r="F75" s="3"/>
      <c r="G75" s="2"/>
      <c r="H75" s="2"/>
      <c r="I75" s="2"/>
      <c r="J75" s="2"/>
      <c r="K75" s="3"/>
      <c r="L75" s="4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/>
      <c r="B76" s="12"/>
      <c r="C76" s="14"/>
      <c r="D76" s="15"/>
      <c r="E76" s="3"/>
      <c r="F76" s="3"/>
      <c r="G76" s="2"/>
      <c r="H76" s="2"/>
      <c r="I76" s="2"/>
      <c r="J76" s="2"/>
      <c r="K76" s="3"/>
      <c r="L76" s="4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23"/>
      <c r="B77" s="23"/>
      <c r="C77" s="23"/>
      <c r="D77" s="25"/>
      <c r="E77" s="7"/>
      <c r="F77" s="28"/>
      <c r="G77" s="24"/>
      <c r="H77" s="24"/>
      <c r="I77" s="16"/>
      <c r="J77" s="16"/>
      <c r="K77" s="16"/>
      <c r="L77" s="29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23" t="s">
        <v>212</v>
      </c>
      <c r="B78" s="23"/>
      <c r="C78" s="23"/>
      <c r="D78" s="25" t="s">
        <v>191</v>
      </c>
      <c r="E78" s="7">
        <v>46041.0</v>
      </c>
      <c r="F78" s="28"/>
      <c r="G78" s="24"/>
      <c r="H78" s="24"/>
      <c r="I78" s="16"/>
      <c r="J78" s="16"/>
      <c r="K78" s="16"/>
      <c r="L78" s="29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B79" s="24"/>
      <c r="C79" s="26"/>
      <c r="D79" s="24"/>
      <c r="E79" s="24"/>
      <c r="F79" s="24"/>
      <c r="G79" s="24"/>
      <c r="H79" s="24"/>
      <c r="I79" s="16"/>
      <c r="J79" s="16"/>
      <c r="K79" s="16"/>
      <c r="L79" s="29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5" t="s">
        <v>4</v>
      </c>
      <c r="B80" s="10" t="s">
        <v>5</v>
      </c>
      <c r="C80" s="11" t="s">
        <v>6</v>
      </c>
      <c r="D80" s="12" t="s">
        <v>7</v>
      </c>
      <c r="E80" s="10" t="s">
        <v>8</v>
      </c>
      <c r="F80" s="12"/>
      <c r="G80" s="24"/>
      <c r="H80" s="24"/>
      <c r="I80" s="12" t="s">
        <v>7</v>
      </c>
      <c r="J80" s="12" t="s">
        <v>8</v>
      </c>
      <c r="K80" s="12" t="s">
        <v>10</v>
      </c>
      <c r="L80" s="29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1.0</v>
      </c>
      <c r="B81" s="12" t="s">
        <v>42</v>
      </c>
      <c r="C81" s="14" t="s">
        <v>76</v>
      </c>
      <c r="D81" s="15">
        <v>18000.0</v>
      </c>
      <c r="E81" s="15">
        <f t="shared" ref="E81:E87" si="15">A81*D81</f>
        <v>18000</v>
      </c>
      <c r="F81" s="16"/>
      <c r="G81" s="24"/>
      <c r="H81" s="24"/>
      <c r="I81" s="16">
        <v>15000.0</v>
      </c>
      <c r="J81" s="16">
        <f t="shared" ref="J81:J87" si="16">I81*A81</f>
        <v>15000</v>
      </c>
      <c r="K81" s="16">
        <f t="shared" ref="K81:K87" si="17">E81-J81</f>
        <v>3000</v>
      </c>
      <c r="L81" s="31" t="s">
        <v>2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2.0</v>
      </c>
      <c r="B82" s="12" t="s">
        <v>17</v>
      </c>
      <c r="C82" s="14" t="s">
        <v>62</v>
      </c>
      <c r="D82" s="15">
        <v>1700.0</v>
      </c>
      <c r="E82" s="15">
        <f t="shared" si="15"/>
        <v>3400</v>
      </c>
      <c r="F82" s="16"/>
      <c r="G82" s="24"/>
      <c r="H82" s="24"/>
      <c r="I82" s="16">
        <v>0.0</v>
      </c>
      <c r="J82" s="16">
        <f t="shared" si="16"/>
        <v>0</v>
      </c>
      <c r="K82" s="16">
        <f t="shared" si="17"/>
        <v>3400</v>
      </c>
      <c r="L82" s="31" t="s">
        <v>2</v>
      </c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>
        <v>1.0</v>
      </c>
      <c r="B83" s="12" t="s">
        <v>42</v>
      </c>
      <c r="C83" s="14" t="s">
        <v>66</v>
      </c>
      <c r="D83" s="15">
        <v>13000.0</v>
      </c>
      <c r="E83" s="15">
        <f t="shared" si="15"/>
        <v>13000</v>
      </c>
      <c r="F83" s="16"/>
      <c r="G83" s="24"/>
      <c r="H83" s="24"/>
      <c r="I83" s="16">
        <v>10000.0</v>
      </c>
      <c r="J83" s="16">
        <f t="shared" si="16"/>
        <v>10000</v>
      </c>
      <c r="K83" s="16">
        <f t="shared" si="17"/>
        <v>3000</v>
      </c>
      <c r="L83" s="31" t="s">
        <v>2</v>
      </c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>
        <v>2.0</v>
      </c>
      <c r="B84" s="12" t="s">
        <v>17</v>
      </c>
      <c r="C84" s="14" t="s">
        <v>45</v>
      </c>
      <c r="D84" s="15">
        <v>3200.0</v>
      </c>
      <c r="E84" s="15">
        <f t="shared" si="15"/>
        <v>6400</v>
      </c>
      <c r="F84" s="16"/>
      <c r="G84" s="24"/>
      <c r="H84" s="24"/>
      <c r="I84" s="16">
        <f>35000/15</f>
        <v>2333.333333</v>
      </c>
      <c r="J84" s="16">
        <f t="shared" si="16"/>
        <v>4666.666667</v>
      </c>
      <c r="K84" s="16">
        <f t="shared" si="17"/>
        <v>1733.333333</v>
      </c>
      <c r="L84" s="31" t="s">
        <v>2</v>
      </c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3">
        <v>1.0</v>
      </c>
      <c r="B85" s="12" t="s">
        <v>42</v>
      </c>
      <c r="C85" s="14" t="s">
        <v>70</v>
      </c>
      <c r="D85" s="15">
        <v>20000.0</v>
      </c>
      <c r="E85" s="15">
        <f t="shared" si="15"/>
        <v>20000</v>
      </c>
      <c r="F85" s="16"/>
      <c r="G85" s="24"/>
      <c r="H85" s="24"/>
      <c r="I85" s="16">
        <v>19000.0</v>
      </c>
      <c r="J85" s="16">
        <f t="shared" si="16"/>
        <v>19000</v>
      </c>
      <c r="K85" s="16">
        <f t="shared" si="17"/>
        <v>1000</v>
      </c>
      <c r="L85" s="31" t="s">
        <v>2</v>
      </c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>
        <v>2.0</v>
      </c>
      <c r="B86" s="12" t="s">
        <v>17</v>
      </c>
      <c r="C86" s="14" t="s">
        <v>25</v>
      </c>
      <c r="D86" s="15">
        <v>2100.0</v>
      </c>
      <c r="E86" s="15">
        <f t="shared" si="15"/>
        <v>4200</v>
      </c>
      <c r="F86" s="16"/>
      <c r="G86" s="24"/>
      <c r="H86" s="24"/>
      <c r="I86" s="16">
        <v>2100.0</v>
      </c>
      <c r="J86" s="16">
        <f t="shared" si="16"/>
        <v>4200</v>
      </c>
      <c r="K86" s="16">
        <f t="shared" si="17"/>
        <v>0</v>
      </c>
      <c r="L86" s="31" t="s">
        <v>260</v>
      </c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>
        <v>1.0</v>
      </c>
      <c r="B87" s="12" t="s">
        <v>17</v>
      </c>
      <c r="C87" s="14" t="s">
        <v>190</v>
      </c>
      <c r="D87" s="15">
        <v>2300.0</v>
      </c>
      <c r="E87" s="15">
        <f t="shared" si="15"/>
        <v>2300</v>
      </c>
      <c r="F87" s="16"/>
      <c r="G87" s="24"/>
      <c r="H87" s="24"/>
      <c r="I87" s="16">
        <f>18000/14</f>
        <v>1285.714286</v>
      </c>
      <c r="J87" s="16">
        <f t="shared" si="16"/>
        <v>1285.714286</v>
      </c>
      <c r="K87" s="16">
        <f t="shared" si="17"/>
        <v>1014.285714</v>
      </c>
      <c r="L87" s="31" t="s">
        <v>2</v>
      </c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/>
      <c r="B88" s="12"/>
      <c r="C88" s="14"/>
      <c r="D88" s="15"/>
      <c r="E88" s="16"/>
      <c r="F88" s="16"/>
      <c r="H88" s="24"/>
      <c r="I88" s="16"/>
      <c r="J88" s="16"/>
      <c r="K88" s="16"/>
      <c r="L88" s="30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/>
      <c r="B89" s="12"/>
      <c r="C89" s="14"/>
      <c r="D89" s="15"/>
      <c r="E89" s="16">
        <f>SUM(E81:E88)</f>
        <v>67300</v>
      </c>
      <c r="F89" s="16"/>
      <c r="G89" s="24"/>
      <c r="H89" s="24"/>
      <c r="I89" s="16"/>
      <c r="J89" s="16"/>
      <c r="K89" s="16">
        <f>SUM(K81:K87)</f>
        <v>13147.61905</v>
      </c>
      <c r="L89" s="30">
        <f>K89/E89</f>
        <v>0.1953583811</v>
      </c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/>
      <c r="B90" s="12"/>
      <c r="C90" s="14"/>
      <c r="D90" s="15"/>
      <c r="E90" s="3"/>
      <c r="F90" s="3"/>
      <c r="G90" s="2"/>
      <c r="H90" s="2"/>
      <c r="I90" s="2"/>
      <c r="J90" s="2"/>
      <c r="K90" s="3"/>
      <c r="L90" s="4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/>
      <c r="B91" s="12"/>
      <c r="C91" s="14"/>
      <c r="D91" s="15"/>
      <c r="E91" s="3"/>
      <c r="F91" s="3"/>
      <c r="G91" s="2"/>
      <c r="H91" s="2"/>
      <c r="I91" s="2"/>
      <c r="J91" s="2"/>
      <c r="K91" s="3"/>
      <c r="L91" s="4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33" t="s">
        <v>88</v>
      </c>
      <c r="B92" s="34">
        <f>E89+E74+E55+E42+F21</f>
        <v>1379675</v>
      </c>
      <c r="C92" s="2"/>
      <c r="D92" s="3"/>
      <c r="E92" s="3"/>
      <c r="F92" s="3"/>
      <c r="G92" s="2"/>
      <c r="H92" s="2"/>
      <c r="I92" s="2"/>
      <c r="J92" s="2"/>
      <c r="K92" s="3"/>
      <c r="L92" s="4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"/>
      <c r="B93" s="2"/>
      <c r="C93" s="2"/>
      <c r="D93" s="3"/>
      <c r="E93" s="3"/>
      <c r="F93" s="3"/>
      <c r="G93" s="2"/>
      <c r="H93" s="2"/>
      <c r="I93" s="2"/>
      <c r="J93" s="2"/>
      <c r="K93" s="3"/>
      <c r="L93" s="4"/>
      <c r="M93" s="2"/>
      <c r="N93" s="2"/>
      <c r="O93" s="2"/>
      <c r="P93" s="2"/>
      <c r="Q93" s="3"/>
      <c r="R93" s="9"/>
      <c r="S93" s="3"/>
      <c r="T93" s="3"/>
      <c r="U93" s="1"/>
      <c r="V93" s="3"/>
      <c r="W93" s="3"/>
      <c r="X93" s="3"/>
      <c r="Y93" s="3"/>
      <c r="Z93" s="3"/>
    </row>
    <row r="94">
      <c r="A94" s="33" t="s">
        <v>89</v>
      </c>
      <c r="B94" s="34">
        <f>K89+K74+K55+K42+K21</f>
        <v>588937.8571</v>
      </c>
      <c r="C94" s="2"/>
      <c r="D94" s="3"/>
      <c r="E94" s="3"/>
      <c r="F94" s="3"/>
      <c r="G94" s="2"/>
      <c r="H94" s="2"/>
      <c r="I94" s="2"/>
      <c r="J94" s="2"/>
      <c r="K94" s="3"/>
      <c r="L94" s="4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"/>
      <c r="B95" s="2"/>
      <c r="C95" s="2"/>
      <c r="D95" s="3"/>
      <c r="E95" s="3"/>
      <c r="F95" s="3"/>
      <c r="G95" s="2"/>
      <c r="H95" s="2"/>
      <c r="I95" s="2"/>
      <c r="J95" s="2"/>
      <c r="K95" s="3"/>
      <c r="L95" s="4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33" t="s">
        <v>90</v>
      </c>
      <c r="B96" s="35">
        <f>B94/B92</f>
        <v>0.4268670934</v>
      </c>
      <c r="C96" s="2"/>
      <c r="D96" s="3"/>
      <c r="E96" s="3"/>
      <c r="F96" s="3"/>
      <c r="G96" s="2"/>
      <c r="H96" s="2"/>
      <c r="I96" s="2"/>
      <c r="J96" s="2"/>
      <c r="K96" s="3"/>
      <c r="L96" s="4"/>
      <c r="M96" s="2"/>
      <c r="N96" s="2"/>
      <c r="O96" s="2"/>
      <c r="P96" s="2"/>
      <c r="Q96" s="2"/>
      <c r="R96" s="2"/>
      <c r="S96" s="3"/>
      <c r="T96" s="3"/>
      <c r="U96" s="1"/>
      <c r="V96" s="3"/>
      <c r="W96" s="3"/>
      <c r="X96" s="2"/>
      <c r="Y96" s="2"/>
      <c r="Z96" s="2"/>
    </row>
    <row r="97">
      <c r="A97" s="1"/>
      <c r="B97" s="2"/>
      <c r="C97" s="2"/>
      <c r="D97" s="3"/>
      <c r="E97" s="3"/>
      <c r="F97" s="3"/>
      <c r="G97" s="2"/>
      <c r="H97" s="2"/>
      <c r="I97" s="2"/>
      <c r="J97" s="2"/>
      <c r="K97" s="3"/>
      <c r="L97" s="4"/>
      <c r="M97" s="2"/>
      <c r="N97" s="2"/>
      <c r="O97" s="2"/>
      <c r="P97" s="2"/>
      <c r="Q97" s="3"/>
      <c r="R97" s="9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36" t="s">
        <v>91</v>
      </c>
      <c r="C98" s="37"/>
      <c r="D98" s="6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9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"/>
      <c r="B100" s="2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"/>
      <c r="B101" s="1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X102" s="3"/>
      <c r="Y102" s="3"/>
      <c r="Z102" s="3"/>
    </row>
    <row r="103" ht="15.75" customHeight="1">
      <c r="A103" s="39"/>
      <c r="B103" s="40" t="s">
        <v>92</v>
      </c>
      <c r="C103" s="41" t="s">
        <v>93</v>
      </c>
      <c r="D103" s="42" t="s">
        <v>94</v>
      </c>
      <c r="E103" s="42" t="s">
        <v>95</v>
      </c>
      <c r="F103" s="42" t="s">
        <v>96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9"/>
      <c r="X103" s="3"/>
      <c r="Y103" s="3"/>
      <c r="Z103" s="3"/>
    </row>
    <row r="104" ht="15.75" customHeight="1">
      <c r="A104" s="43"/>
      <c r="B104" s="44">
        <f>'16-01-2026 '!B218</f>
        <v>3236977.25</v>
      </c>
      <c r="C104" s="44">
        <f>'16-01-2026 '!C218</f>
        <v>1233073.438</v>
      </c>
      <c r="D104" s="44">
        <f>'16-01-2026 '!D218</f>
        <v>268569.7033</v>
      </c>
      <c r="E104" s="44">
        <f>'16-01-2026 '!E218</f>
        <v>0</v>
      </c>
      <c r="F104" s="44">
        <f>'16-01-2026 '!F218</f>
        <v>3607546.35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"/>
      <c r="B105" s="46"/>
      <c r="C105" s="46"/>
      <c r="D105" s="46"/>
      <c r="E105" s="4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40" t="s">
        <v>97</v>
      </c>
      <c r="B106" s="47"/>
      <c r="C106" s="47"/>
      <c r="D106" s="47"/>
      <c r="E106" s="47"/>
      <c r="F106" s="4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3" t="s">
        <v>98</v>
      </c>
      <c r="B107" s="49">
        <v>34560.0</v>
      </c>
      <c r="C107" s="49">
        <f>800000+94000</f>
        <v>894000</v>
      </c>
      <c r="D107" s="49">
        <v>0.0</v>
      </c>
      <c r="E107" s="49">
        <v>0.0</v>
      </c>
      <c r="F107" s="49">
        <v>0.0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3" t="s">
        <v>99</v>
      </c>
      <c r="B108" s="49">
        <v>0.0</v>
      </c>
      <c r="C108" s="49">
        <f>3571-33.19</f>
        <v>3537.81</v>
      </c>
      <c r="D108" s="49">
        <v>0.0</v>
      </c>
      <c r="E108" s="49">
        <v>0.0</v>
      </c>
      <c r="F108" s="49">
        <v>0.0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3" t="s">
        <v>100</v>
      </c>
      <c r="B109" s="49">
        <v>0.0</v>
      </c>
      <c r="C109" s="49">
        <v>0.0</v>
      </c>
      <c r="D109" s="49">
        <v>1478207.83</v>
      </c>
      <c r="E109" s="49">
        <v>0.0</v>
      </c>
      <c r="F109" s="49">
        <v>1478207.83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3" t="s">
        <v>101</v>
      </c>
      <c r="B110" s="49">
        <v>0.0</v>
      </c>
      <c r="C110" s="49">
        <v>0.0</v>
      </c>
      <c r="D110" s="49">
        <v>0.0</v>
      </c>
      <c r="E110" s="49">
        <v>0.0</v>
      </c>
      <c r="F110" s="49">
        <v>0.0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102</v>
      </c>
      <c r="B111" s="49">
        <v>0.0</v>
      </c>
      <c r="C111" s="49">
        <v>0.0</v>
      </c>
      <c r="D111" s="49">
        <v>0.0</v>
      </c>
      <c r="E111" s="49">
        <v>0.0</v>
      </c>
      <c r="F111" s="49">
        <v>0.0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202</v>
      </c>
      <c r="B112" s="49">
        <v>0.0</v>
      </c>
      <c r="C112" s="49">
        <v>0.0</v>
      </c>
      <c r="D112" s="49">
        <v>0.0</v>
      </c>
      <c r="E112" s="49">
        <v>0.0</v>
      </c>
      <c r="F112" s="49">
        <v>0.0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203</v>
      </c>
      <c r="B113" s="49">
        <v>0.0</v>
      </c>
      <c r="C113" s="50">
        <f>C107*2%</f>
        <v>17880</v>
      </c>
      <c r="D113" s="49">
        <f>SUM(D107:D109)*2%</f>
        <v>29564.1566</v>
      </c>
      <c r="E113" s="49">
        <v>0.0</v>
      </c>
      <c r="F113" s="49">
        <v>0.0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103</v>
      </c>
      <c r="B114" s="49">
        <v>0.0</v>
      </c>
      <c r="C114" s="50">
        <f>C107*0.6%+C110*0.6%</f>
        <v>5364</v>
      </c>
      <c r="D114" s="49">
        <f>SUM(D107:D109)*0.6%</f>
        <v>8869.24698</v>
      </c>
      <c r="E114" s="49">
        <v>0.0</v>
      </c>
      <c r="F114" s="49">
        <v>0.0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"/>
      <c r="B115" s="46"/>
      <c r="C115" s="46"/>
      <c r="D115" s="46"/>
      <c r="E115" s="4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51" t="s">
        <v>8</v>
      </c>
      <c r="B116" s="52">
        <f>SUM(B104:B114)</f>
        <v>3271537.25</v>
      </c>
      <c r="C116" s="52">
        <f>C104+C107+C110+C111-C114+C108-C113</f>
        <v>2107367.248</v>
      </c>
      <c r="D116" s="53">
        <f>D104+D107+D110+D111-D114+D109-D113-D112</f>
        <v>1708344.13</v>
      </c>
      <c r="E116" s="52">
        <f>E104+E107+E110+E111-E114</f>
        <v>0</v>
      </c>
      <c r="F116" s="54">
        <f>F104+F107+F110+F111-F114-D109</f>
        <v>2129338.52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"/>
      <c r="B117" s="1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40" t="s">
        <v>104</v>
      </c>
      <c r="B118" s="47"/>
      <c r="C118" s="47"/>
      <c r="D118" s="47"/>
      <c r="E118" s="47"/>
      <c r="F118" s="4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105</v>
      </c>
      <c r="B119" s="55">
        <v>1000.0</v>
      </c>
      <c r="C119" s="55">
        <v>0.0</v>
      </c>
      <c r="D119" s="55">
        <v>0.0</v>
      </c>
      <c r="E119" s="55">
        <v>0.0</v>
      </c>
      <c r="F119" s="2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13" t="s">
        <v>106</v>
      </c>
      <c r="B120" s="49">
        <v>25000.0</v>
      </c>
      <c r="C120" s="49">
        <f>96000+45000</f>
        <v>141000</v>
      </c>
      <c r="D120" s="49">
        <v>0.0</v>
      </c>
      <c r="E120" s="49">
        <v>0.0</v>
      </c>
      <c r="F120" s="2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107</v>
      </c>
      <c r="B121" s="55">
        <v>0.0</v>
      </c>
      <c r="C121" s="55">
        <v>0.0</v>
      </c>
      <c r="D121" s="49">
        <v>0.0</v>
      </c>
      <c r="E121" s="55">
        <v>0.0</v>
      </c>
      <c r="F121" s="2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108</v>
      </c>
      <c r="B122" s="55">
        <v>2800.0</v>
      </c>
      <c r="C122" s="55">
        <v>0.0</v>
      </c>
      <c r="D122" s="55">
        <v>0.0</v>
      </c>
      <c r="E122" s="55">
        <v>0.0</v>
      </c>
      <c r="F122" s="2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3" t="s">
        <v>109</v>
      </c>
      <c r="B123" s="55">
        <v>0.0</v>
      </c>
      <c r="C123" s="55">
        <f>52000+20740+101500+80000+57000+12000</f>
        <v>323240</v>
      </c>
      <c r="D123" s="55">
        <v>0.0</v>
      </c>
      <c r="E123" s="55">
        <v>0.0</v>
      </c>
      <c r="F123" s="2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110</v>
      </c>
      <c r="B124" s="55">
        <v>0.0</v>
      </c>
      <c r="C124" s="55">
        <v>25000.0</v>
      </c>
      <c r="D124" s="55">
        <v>0.0</v>
      </c>
      <c r="E124" s="55">
        <v>0.0</v>
      </c>
      <c r="F124" s="26"/>
      <c r="G124" s="2"/>
      <c r="H124" s="56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111</v>
      </c>
      <c r="B125" s="49">
        <v>34500.0</v>
      </c>
      <c r="C125" s="49">
        <f>215000+175000+163000</f>
        <v>553000</v>
      </c>
      <c r="D125" s="49">
        <v>0.0</v>
      </c>
      <c r="E125" s="49">
        <v>0.0</v>
      </c>
      <c r="F125" s="2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112</v>
      </c>
      <c r="B126" s="49">
        <v>0.0</v>
      </c>
      <c r="C126" s="49">
        <v>0.0</v>
      </c>
      <c r="D126" s="49">
        <v>0.0</v>
      </c>
      <c r="E126" s="49">
        <v>0.0</v>
      </c>
      <c r="F126" s="26"/>
      <c r="G126" s="2"/>
      <c r="H126" s="56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3" t="s">
        <v>113</v>
      </c>
      <c r="B127" s="49">
        <v>0.0</v>
      </c>
      <c r="C127" s="49">
        <v>0.0</v>
      </c>
      <c r="D127" s="49">
        <v>0.0</v>
      </c>
      <c r="E127" s="49">
        <v>0.0</v>
      </c>
      <c r="F127" s="26"/>
      <c r="G127" s="2"/>
      <c r="H127" s="56"/>
      <c r="I127" s="2"/>
      <c r="J127" s="2"/>
      <c r="K127" s="2"/>
      <c r="L127" s="2"/>
      <c r="M127" s="2"/>
      <c r="N127" s="2"/>
      <c r="O127" s="2"/>
      <c r="P127" s="2"/>
      <c r="Q127" s="3"/>
      <c r="R127" s="9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13" t="s">
        <v>114</v>
      </c>
      <c r="B128" s="55">
        <v>0.0</v>
      </c>
      <c r="C128" s="55">
        <v>0.0</v>
      </c>
      <c r="D128" s="55">
        <v>0.0</v>
      </c>
      <c r="E128" s="55">
        <v>0.0</v>
      </c>
      <c r="F128" s="26"/>
      <c r="G128" s="2"/>
      <c r="H128" s="56"/>
      <c r="I128" s="2"/>
      <c r="J128" s="2"/>
      <c r="K128" s="2"/>
      <c r="L128" s="2"/>
      <c r="M128" s="2"/>
      <c r="N128" s="2"/>
      <c r="O128" s="2"/>
      <c r="P128" s="2"/>
      <c r="Q128" s="3"/>
      <c r="R128" s="9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115</v>
      </c>
      <c r="B129" s="55">
        <v>0.0</v>
      </c>
      <c r="C129" s="55">
        <v>0.0</v>
      </c>
      <c r="D129" s="55">
        <v>0.0</v>
      </c>
      <c r="E129" s="55">
        <v>0.0</v>
      </c>
      <c r="F129" s="26"/>
      <c r="G129" s="2"/>
      <c r="H129" s="56"/>
      <c r="I129" s="2"/>
      <c r="J129" s="2"/>
      <c r="K129" s="2"/>
      <c r="L129" s="2"/>
      <c r="M129" s="2"/>
      <c r="N129" s="2"/>
      <c r="O129" s="2"/>
      <c r="P129" s="2"/>
      <c r="Q129" s="3"/>
      <c r="R129" s="9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116</v>
      </c>
      <c r="B130" s="50">
        <v>0.0</v>
      </c>
      <c r="C130" s="50">
        <v>50000.0</v>
      </c>
      <c r="D130" s="49">
        <v>0.0</v>
      </c>
      <c r="E130" s="49">
        <v>0.0</v>
      </c>
      <c r="F130" s="2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117</v>
      </c>
      <c r="B131" s="50">
        <v>0.0</v>
      </c>
      <c r="C131" s="50">
        <v>0.0</v>
      </c>
      <c r="D131" s="49">
        <v>0.0</v>
      </c>
      <c r="E131" s="49">
        <v>0.0</v>
      </c>
      <c r="F131" s="26"/>
      <c r="G131" s="2"/>
      <c r="H131" s="56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118</v>
      </c>
      <c r="B132" s="50">
        <v>0.0</v>
      </c>
      <c r="C132" s="50">
        <v>0.0</v>
      </c>
      <c r="D132" s="49">
        <v>0.0</v>
      </c>
      <c r="E132" s="49">
        <v>0.0</v>
      </c>
      <c r="F132" s="2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119</v>
      </c>
      <c r="B133" s="50">
        <v>0.0</v>
      </c>
      <c r="C133" s="50">
        <v>0.0</v>
      </c>
      <c r="D133" s="49">
        <v>0.0</v>
      </c>
      <c r="E133" s="49">
        <v>0.0</v>
      </c>
      <c r="F133" s="2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9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120</v>
      </c>
      <c r="B134" s="50">
        <v>0.0</v>
      </c>
      <c r="C134" s="50">
        <v>0.0</v>
      </c>
      <c r="D134" s="49">
        <v>0.0</v>
      </c>
      <c r="E134" s="49">
        <v>0.0</v>
      </c>
      <c r="F134" s="2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9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3" t="s">
        <v>121</v>
      </c>
      <c r="B135" s="50">
        <v>0.0</v>
      </c>
      <c r="C135" s="50">
        <v>0.0</v>
      </c>
      <c r="D135" s="49">
        <v>0.0</v>
      </c>
      <c r="E135" s="49">
        <v>0.0</v>
      </c>
      <c r="F135" s="2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13" t="s">
        <v>122</v>
      </c>
      <c r="B136" s="49">
        <v>0.0</v>
      </c>
      <c r="C136" s="49">
        <v>0.0</v>
      </c>
      <c r="D136" s="49">
        <v>0.0</v>
      </c>
      <c r="E136" s="49">
        <v>0.0</v>
      </c>
      <c r="F136" s="2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3" t="s">
        <v>123</v>
      </c>
      <c r="B137" s="49">
        <v>0.0</v>
      </c>
      <c r="C137" s="49">
        <v>0.0</v>
      </c>
      <c r="D137" s="49">
        <v>0.0</v>
      </c>
      <c r="E137" s="49">
        <v>0.0</v>
      </c>
      <c r="F137" s="2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13" t="s">
        <v>124</v>
      </c>
      <c r="B138" s="49">
        <v>0.0</v>
      </c>
      <c r="C138" s="49">
        <v>0.0</v>
      </c>
      <c r="D138" s="49">
        <v>0.0</v>
      </c>
      <c r="E138" s="49">
        <v>0.0</v>
      </c>
      <c r="F138" s="2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13" t="s">
        <v>125</v>
      </c>
      <c r="B139" s="50">
        <v>0.0</v>
      </c>
      <c r="C139" s="50">
        <v>0.0</v>
      </c>
      <c r="D139" s="49">
        <v>0.0</v>
      </c>
      <c r="E139" s="49">
        <v>0.0</v>
      </c>
      <c r="F139" s="2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13" t="s">
        <v>126</v>
      </c>
      <c r="B140" s="49">
        <v>0.0</v>
      </c>
      <c r="C140" s="49">
        <v>0.0</v>
      </c>
      <c r="D140" s="49">
        <v>0.0</v>
      </c>
      <c r="E140" s="49">
        <v>0.0</v>
      </c>
      <c r="F140" s="2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13" t="s">
        <v>127</v>
      </c>
      <c r="B141" s="49">
        <v>0.0</v>
      </c>
      <c r="C141" s="49">
        <v>0.0</v>
      </c>
      <c r="D141" s="49">
        <v>0.0</v>
      </c>
      <c r="E141" s="49">
        <v>0.0</v>
      </c>
      <c r="F141" s="2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13" t="s">
        <v>128</v>
      </c>
      <c r="B142" s="49">
        <v>0.0</v>
      </c>
      <c r="C142" s="49">
        <v>0.0</v>
      </c>
      <c r="D142" s="49">
        <v>0.0</v>
      </c>
      <c r="E142" s="49">
        <v>0.0</v>
      </c>
      <c r="F142" s="2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13" t="s">
        <v>261</v>
      </c>
      <c r="B143" s="49">
        <v>2878500.0</v>
      </c>
      <c r="C143" s="49">
        <v>0.0</v>
      </c>
      <c r="D143" s="49">
        <v>0.0</v>
      </c>
      <c r="E143" s="49">
        <v>0.0</v>
      </c>
      <c r="F143" s="2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13" t="s">
        <v>129</v>
      </c>
      <c r="B144" s="49">
        <v>0.0</v>
      </c>
      <c r="C144" s="49">
        <v>0.0</v>
      </c>
      <c r="D144" s="49">
        <v>0.0</v>
      </c>
      <c r="E144" s="49">
        <v>0.0</v>
      </c>
      <c r="F144" s="2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57"/>
      <c r="B145" s="49"/>
      <c r="C145" s="49"/>
      <c r="D145" s="49"/>
      <c r="E145" s="49"/>
      <c r="F145" s="2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13" t="s">
        <v>130</v>
      </c>
      <c r="B146" s="50">
        <v>0.0</v>
      </c>
      <c r="C146" s="50">
        <f>SUM(C119:C142)*0.6%</f>
        <v>6553.44</v>
      </c>
      <c r="D146" s="50">
        <v>0.0</v>
      </c>
      <c r="E146" s="50">
        <f>(E123*0.6%)+(E124*0.6%)+(E125*0.6%)+(E128*0.6%)+(E129*0.6%)</f>
        <v>0</v>
      </c>
      <c r="F146" s="2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13" t="s">
        <v>131</v>
      </c>
      <c r="B147" s="50">
        <v>0.0</v>
      </c>
      <c r="C147" s="50">
        <v>0.0</v>
      </c>
      <c r="D147" s="50">
        <v>0.0</v>
      </c>
      <c r="E147" s="50">
        <f>SUM(E120:E145)*0.6%+(E148*0.6%)</f>
        <v>0</v>
      </c>
      <c r="F147" s="5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57"/>
      <c r="B148" s="57"/>
      <c r="C148" s="26"/>
      <c r="D148" s="2"/>
      <c r="E148" s="26"/>
      <c r="F148" s="2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59" t="s">
        <v>132</v>
      </c>
      <c r="B149" s="60">
        <f>SUM(B119:B148)</f>
        <v>2941800</v>
      </c>
      <c r="C149" s="60">
        <f>SUM(C119:C146)</f>
        <v>1098793.44</v>
      </c>
      <c r="D149" s="60">
        <f>SUM(D119:D147)</f>
        <v>0</v>
      </c>
      <c r="E149" s="60">
        <f>E130+E134+E146-E147</f>
        <v>0</v>
      </c>
      <c r="F149" s="61" t="str">
        <f>F123</f>
        <v/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57"/>
      <c r="B150" s="57"/>
      <c r="C150" s="26"/>
      <c r="D150" s="26"/>
      <c r="E150" s="26"/>
      <c r="F150" s="2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59" t="s">
        <v>133</v>
      </c>
      <c r="B151" s="62">
        <f>B116-B149</f>
        <v>329737.25</v>
      </c>
      <c r="C151" s="63">
        <f>C116-C149+C147</f>
        <v>1008573.808</v>
      </c>
      <c r="D151" s="63">
        <f>D116-D149-1607.22</f>
        <v>1706736.91</v>
      </c>
      <c r="E151" s="64">
        <f t="shared" ref="E151:F151" si="18">E116-E149</f>
        <v>0</v>
      </c>
      <c r="F151" s="64">
        <f t="shared" si="18"/>
        <v>2129338.52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65" t="s">
        <v>134</v>
      </c>
      <c r="B153" s="66">
        <f>278077.25-B119-B120-B122-B125</f>
        <v>214777.25</v>
      </c>
      <c r="C153" s="46"/>
      <c r="D153" s="46"/>
      <c r="E153" s="46"/>
      <c r="F153" s="4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9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65" t="s">
        <v>135</v>
      </c>
      <c r="B154" s="66">
        <f>2958900-B143+B107</f>
        <v>114960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66" t="s">
        <v>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46">
        <f>SUM(B153:B154)</f>
        <v>329737.25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9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9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9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9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9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9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9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9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9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9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9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9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9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9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3"/>
      <c r="T230" s="3"/>
      <c r="U230" s="9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9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9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9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9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3"/>
      <c r="T272" s="3"/>
      <c r="U272" s="9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9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9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9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46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46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46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46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46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46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46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46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46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46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46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46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46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46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9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46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46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46"/>
      <c r="R317" s="46"/>
      <c r="S317" s="3"/>
      <c r="T317" s="3"/>
      <c r="U317" s="9"/>
      <c r="V317" s="3"/>
      <c r="W317" s="3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9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46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46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46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46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46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46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46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9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9"/>
      <c r="T363" s="3"/>
      <c r="U363" s="2"/>
      <c r="V363" s="3"/>
      <c r="W363" s="3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9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9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9"/>
      <c r="T380" s="3"/>
      <c r="U380" s="2"/>
      <c r="V380" s="3"/>
      <c r="W380" s="3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9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9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9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9"/>
      <c r="T391" s="3"/>
      <c r="U391" s="2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9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9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3"/>
      <c r="T407" s="3"/>
      <c r="U407" s="9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9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3"/>
      <c r="T421" s="9"/>
      <c r="U421" s="2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9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9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3"/>
      <c r="T433" s="9"/>
      <c r="U433" s="2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9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9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67"/>
      <c r="R448" s="2"/>
      <c r="S448" s="2"/>
      <c r="T448" s="3"/>
      <c r="U448" s="2"/>
      <c r="V448" s="2"/>
      <c r="W448" s="2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3"/>
      <c r="T449" s="3"/>
      <c r="U449" s="3"/>
      <c r="V449" s="2"/>
      <c r="W449" s="2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8"/>
      <c r="R451" s="38"/>
      <c r="S451" s="38"/>
      <c r="T451" s="38"/>
      <c r="U451" s="38"/>
      <c r="V451" s="38"/>
      <c r="W451" s="38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3"/>
      <c r="T452" s="3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"/>
      <c r="R453" s="2"/>
      <c r="S453" s="3"/>
      <c r="T453" s="3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68"/>
      <c r="R455" s="69"/>
      <c r="S455" s="70"/>
      <c r="T455" s="70"/>
      <c r="U455" s="70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1"/>
      <c r="R456" s="71"/>
      <c r="S456" s="71"/>
      <c r="T456" s="71"/>
      <c r="U456" s="71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46"/>
      <c r="R457" s="46"/>
      <c r="S457" s="46"/>
      <c r="T457" s="46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46"/>
      <c r="R459" s="46"/>
      <c r="S459" s="46"/>
      <c r="T459" s="46"/>
      <c r="U459" s="46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46"/>
      <c r="R460" s="46"/>
      <c r="S460" s="46"/>
      <c r="T460" s="46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46"/>
      <c r="R461" s="46"/>
      <c r="S461" s="46"/>
      <c r="T461" s="46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6"/>
      <c r="R462" s="46"/>
      <c r="S462" s="46"/>
      <c r="T462" s="46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6"/>
      <c r="R463" s="46"/>
      <c r="S463" s="46"/>
      <c r="T463" s="46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2"/>
      <c r="R464" s="72"/>
      <c r="S464" s="72"/>
      <c r="T464" s="72"/>
      <c r="U464" s="73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"/>
      <c r="R465" s="2"/>
      <c r="S465" s="3"/>
      <c r="T465" s="3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56"/>
      <c r="R467" s="56"/>
      <c r="S467" s="56"/>
      <c r="T467" s="56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6"/>
      <c r="R468" s="56"/>
      <c r="S468" s="56"/>
      <c r="T468" s="56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56"/>
      <c r="R469" s="56"/>
      <c r="S469" s="56"/>
      <c r="T469" s="56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56"/>
      <c r="R470" s="56"/>
      <c r="S470" s="56"/>
      <c r="T470" s="56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56"/>
      <c r="R471" s="56"/>
      <c r="S471" s="56"/>
      <c r="T471" s="56"/>
      <c r="U471" s="2"/>
      <c r="V471" s="2"/>
      <c r="W471" s="56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6"/>
      <c r="R472" s="56"/>
      <c r="S472" s="56"/>
      <c r="T472" s="56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6"/>
      <c r="R473" s="56"/>
      <c r="S473" s="56"/>
      <c r="T473" s="56"/>
      <c r="U473" s="2"/>
      <c r="V473" s="2"/>
      <c r="W473" s="56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6"/>
      <c r="R474" s="56"/>
      <c r="S474" s="56"/>
      <c r="T474" s="56"/>
      <c r="U474" s="2"/>
      <c r="V474" s="2"/>
      <c r="W474" s="56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46"/>
      <c r="R475" s="46"/>
      <c r="S475" s="46"/>
      <c r="T475" s="46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46"/>
      <c r="R476" s="46"/>
      <c r="S476" s="46"/>
      <c r="T476" s="46"/>
      <c r="U476" s="2"/>
      <c r="V476" s="2"/>
      <c r="W476" s="56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46"/>
      <c r="R477" s="46"/>
      <c r="S477" s="46"/>
      <c r="T477" s="46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46"/>
      <c r="R478" s="46"/>
      <c r="S478" s="46"/>
      <c r="T478" s="46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46"/>
      <c r="R479" s="46"/>
      <c r="S479" s="46"/>
      <c r="T479" s="46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46"/>
      <c r="R480" s="46"/>
      <c r="S480" s="46"/>
      <c r="T480" s="46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46"/>
      <c r="R481" s="46"/>
      <c r="S481" s="46"/>
      <c r="T481" s="46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46"/>
      <c r="R482" s="46"/>
      <c r="S482" s="46"/>
      <c r="T482" s="46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6"/>
      <c r="R483" s="46"/>
      <c r="S483" s="46"/>
      <c r="T483" s="46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"/>
      <c r="R484" s="46"/>
      <c r="S484" s="46"/>
      <c r="T484" s="46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2"/>
      <c r="R486" s="72"/>
      <c r="S486" s="72"/>
      <c r="T486" s="72"/>
      <c r="U486" s="73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1"/>
      <c r="R488" s="72"/>
      <c r="S488" s="72"/>
      <c r="T488" s="74"/>
      <c r="U488" s="74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46"/>
      <c r="R490" s="46"/>
      <c r="S490" s="46"/>
      <c r="T490" s="46"/>
      <c r="U490" s="46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46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</sheetData>
  <mergeCells count="8">
    <mergeCell ref="I3:K3"/>
    <mergeCell ref="A98:B98"/>
    <mergeCell ref="U102:W102"/>
    <mergeCell ref="A103:A104"/>
    <mergeCell ref="A106:F106"/>
    <mergeCell ref="A118:F118"/>
    <mergeCell ref="U159:W159"/>
    <mergeCell ref="U194:W194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23"/>
      <c r="B3" s="23"/>
      <c r="C3" s="23"/>
      <c r="D3" s="7"/>
      <c r="E3" s="24"/>
      <c r="F3" s="7"/>
      <c r="G3" s="6"/>
      <c r="H3" s="3"/>
      <c r="I3" s="8"/>
      <c r="J3" s="8"/>
      <c r="K3" s="8"/>
      <c r="L3" s="4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23" t="s">
        <v>221</v>
      </c>
      <c r="B4" s="23"/>
      <c r="C4" s="23"/>
      <c r="D4" s="25" t="s">
        <v>262</v>
      </c>
      <c r="E4" s="7">
        <v>46042.0</v>
      </c>
      <c r="F4" s="28" t="s">
        <v>263</v>
      </c>
      <c r="G4" s="24"/>
      <c r="H4" s="24"/>
      <c r="I4" s="16"/>
      <c r="J4" s="16"/>
      <c r="K4" s="16"/>
      <c r="L4" s="29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B5" s="24"/>
      <c r="C5" s="26"/>
      <c r="D5" s="24"/>
      <c r="E5" s="24"/>
      <c r="F5" s="24"/>
      <c r="G5" s="24"/>
      <c r="H5" s="24"/>
      <c r="I5" s="16"/>
      <c r="J5" s="16"/>
      <c r="K5" s="16"/>
      <c r="L5" s="29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5" t="s">
        <v>4</v>
      </c>
      <c r="B6" s="10" t="s">
        <v>5</v>
      </c>
      <c r="C6" s="11" t="s">
        <v>6</v>
      </c>
      <c r="D6" s="12" t="s">
        <v>7</v>
      </c>
      <c r="E6" s="10" t="s">
        <v>8</v>
      </c>
      <c r="F6" s="12"/>
      <c r="G6" s="24"/>
      <c r="H6" s="24"/>
      <c r="I6" s="12" t="s">
        <v>7</v>
      </c>
      <c r="J6" s="12" t="s">
        <v>8</v>
      </c>
      <c r="K6" s="12" t="s">
        <v>10</v>
      </c>
      <c r="L6" s="29"/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1.0</v>
      </c>
      <c r="B7" s="12" t="s">
        <v>17</v>
      </c>
      <c r="C7" s="14" t="s">
        <v>36</v>
      </c>
      <c r="D7" s="15">
        <v>3800.0</v>
      </c>
      <c r="E7" s="15">
        <f t="shared" ref="E7:E18" si="1">A7*D7</f>
        <v>3800</v>
      </c>
      <c r="F7" s="16"/>
      <c r="G7" s="24"/>
      <c r="H7" s="24"/>
      <c r="I7" s="16">
        <v>0.0</v>
      </c>
      <c r="J7" s="16">
        <f t="shared" ref="J7:J18" si="2">I7*A7</f>
        <v>0</v>
      </c>
      <c r="K7" s="16">
        <f t="shared" ref="K7:K18" si="3">E7-J7</f>
        <v>3800</v>
      </c>
      <c r="L7" s="31" t="s">
        <v>2</v>
      </c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5</v>
      </c>
      <c r="C8" s="14" t="s">
        <v>188</v>
      </c>
      <c r="D8" s="15">
        <v>2000.0</v>
      </c>
      <c r="E8" s="15">
        <f t="shared" si="1"/>
        <v>2000</v>
      </c>
      <c r="F8" s="16"/>
      <c r="G8" s="24"/>
      <c r="H8" s="24"/>
      <c r="I8" s="16">
        <v>1500.0</v>
      </c>
      <c r="J8" s="16">
        <f t="shared" si="2"/>
        <v>1500</v>
      </c>
      <c r="K8" s="16">
        <f t="shared" si="3"/>
        <v>500</v>
      </c>
      <c r="L8" s="31" t="s">
        <v>2</v>
      </c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5</v>
      </c>
      <c r="C9" s="14" t="s">
        <v>187</v>
      </c>
      <c r="D9" s="15">
        <v>2000.0</v>
      </c>
      <c r="E9" s="15">
        <f t="shared" si="1"/>
        <v>2000</v>
      </c>
      <c r="F9" s="16"/>
      <c r="G9" s="24"/>
      <c r="H9" s="24"/>
      <c r="I9" s="16">
        <v>1200.0</v>
      </c>
      <c r="J9" s="16">
        <f t="shared" si="2"/>
        <v>1200</v>
      </c>
      <c r="K9" s="16">
        <f t="shared" si="3"/>
        <v>800</v>
      </c>
      <c r="L9" s="31" t="s">
        <v>2</v>
      </c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4.1</v>
      </c>
      <c r="B10" s="12" t="s">
        <v>17</v>
      </c>
      <c r="C10" s="14" t="s">
        <v>35</v>
      </c>
      <c r="D10" s="15">
        <v>4000.0</v>
      </c>
      <c r="E10" s="15">
        <f t="shared" si="1"/>
        <v>16400</v>
      </c>
      <c r="F10" s="16"/>
      <c r="G10" s="24"/>
      <c r="H10" s="24"/>
      <c r="I10" s="16">
        <f>40000/15</f>
        <v>2666.666667</v>
      </c>
      <c r="J10" s="16">
        <f t="shared" si="2"/>
        <v>10933.33333</v>
      </c>
      <c r="K10" s="16">
        <f t="shared" si="3"/>
        <v>5466.666667</v>
      </c>
      <c r="L10" s="31" t="s">
        <v>2</v>
      </c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8.0</v>
      </c>
      <c r="B11" s="12" t="s">
        <v>184</v>
      </c>
      <c r="C11" s="14" t="s">
        <v>185</v>
      </c>
      <c r="D11" s="15">
        <v>2500.0</v>
      </c>
      <c r="E11" s="15">
        <f t="shared" si="1"/>
        <v>20000</v>
      </c>
      <c r="F11" s="16"/>
      <c r="G11" s="24"/>
      <c r="H11" s="24"/>
      <c r="I11" s="16">
        <f>22000/12</f>
        <v>1833.333333</v>
      </c>
      <c r="J11" s="16">
        <f t="shared" si="2"/>
        <v>14666.66667</v>
      </c>
      <c r="K11" s="16">
        <f t="shared" si="3"/>
        <v>5333.333333</v>
      </c>
      <c r="L11" s="31" t="s">
        <v>2</v>
      </c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1.0</v>
      </c>
      <c r="B12" s="12" t="s">
        <v>32</v>
      </c>
      <c r="C12" s="14" t="s">
        <v>164</v>
      </c>
      <c r="D12" s="15">
        <v>25000.0</v>
      </c>
      <c r="E12" s="15">
        <f t="shared" si="1"/>
        <v>25000</v>
      </c>
      <c r="F12" s="16"/>
      <c r="G12" s="24"/>
      <c r="H12" s="24"/>
      <c r="I12" s="16">
        <v>20000.0</v>
      </c>
      <c r="J12" s="16">
        <f t="shared" si="2"/>
        <v>20000</v>
      </c>
      <c r="K12" s="16">
        <f t="shared" si="3"/>
        <v>5000</v>
      </c>
      <c r="L12" s="31" t="s">
        <v>2</v>
      </c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0.5</v>
      </c>
      <c r="B13" s="12" t="s">
        <v>32</v>
      </c>
      <c r="C13" s="14" t="s">
        <v>152</v>
      </c>
      <c r="D13" s="15">
        <v>55000.0</v>
      </c>
      <c r="E13" s="15">
        <f t="shared" si="1"/>
        <v>27500</v>
      </c>
      <c r="F13" s="16"/>
      <c r="G13" s="24"/>
      <c r="H13" s="24"/>
      <c r="I13" s="16">
        <f>43000</f>
        <v>43000</v>
      </c>
      <c r="J13" s="16">
        <f t="shared" si="2"/>
        <v>21500</v>
      </c>
      <c r="K13" s="16">
        <f t="shared" si="3"/>
        <v>6000</v>
      </c>
      <c r="L13" s="31" t="s">
        <v>2</v>
      </c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2.0</v>
      </c>
      <c r="B14" s="12" t="s">
        <v>32</v>
      </c>
      <c r="C14" s="14" t="s">
        <v>264</v>
      </c>
      <c r="D14" s="15">
        <v>22000.0</v>
      </c>
      <c r="E14" s="15">
        <f t="shared" si="1"/>
        <v>44000</v>
      </c>
      <c r="F14" s="16"/>
      <c r="G14" s="24"/>
      <c r="H14" s="24"/>
      <c r="I14" s="16">
        <v>18000.0</v>
      </c>
      <c r="J14" s="16">
        <f t="shared" si="2"/>
        <v>36000</v>
      </c>
      <c r="K14" s="16">
        <f t="shared" si="3"/>
        <v>8000</v>
      </c>
      <c r="L14" s="31" t="s">
        <v>2</v>
      </c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13</v>
      </c>
      <c r="C15" s="14" t="s">
        <v>45</v>
      </c>
      <c r="D15" s="15">
        <v>42000.0</v>
      </c>
      <c r="E15" s="15">
        <f t="shared" si="1"/>
        <v>42000</v>
      </c>
      <c r="F15" s="16"/>
      <c r="G15" s="24"/>
      <c r="H15" s="24"/>
      <c r="I15" s="16">
        <v>30000.0</v>
      </c>
      <c r="J15" s="16">
        <f t="shared" si="2"/>
        <v>30000</v>
      </c>
      <c r="K15" s="16">
        <f t="shared" si="3"/>
        <v>12000</v>
      </c>
      <c r="L15" s="31" t="s">
        <v>2</v>
      </c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28</v>
      </c>
      <c r="C16" s="14" t="s">
        <v>143</v>
      </c>
      <c r="D16" s="15">
        <v>3000.0</v>
      </c>
      <c r="E16" s="15">
        <f t="shared" si="1"/>
        <v>3000</v>
      </c>
      <c r="F16" s="16"/>
      <c r="G16" s="24"/>
      <c r="H16" s="24"/>
      <c r="I16" s="16">
        <v>2000.0</v>
      </c>
      <c r="J16" s="16">
        <f t="shared" si="2"/>
        <v>2000</v>
      </c>
      <c r="K16" s="16">
        <f t="shared" si="3"/>
        <v>1000</v>
      </c>
      <c r="L16" s="31" t="s">
        <v>2</v>
      </c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2.2</v>
      </c>
      <c r="B17" s="12" t="s">
        <v>17</v>
      </c>
      <c r="C17" s="14" t="s">
        <v>144</v>
      </c>
      <c r="D17" s="15">
        <v>3500.0</v>
      </c>
      <c r="E17" s="15">
        <f t="shared" si="1"/>
        <v>7700</v>
      </c>
      <c r="F17" s="16"/>
      <c r="G17" s="24"/>
      <c r="H17" s="24"/>
      <c r="I17" s="16">
        <v>2500.0</v>
      </c>
      <c r="J17" s="16">
        <f t="shared" si="2"/>
        <v>5500</v>
      </c>
      <c r="K17" s="16">
        <f t="shared" si="3"/>
        <v>2200</v>
      </c>
      <c r="L17" s="31" t="s">
        <v>2</v>
      </c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0.5</v>
      </c>
      <c r="B18" s="12" t="s">
        <v>17</v>
      </c>
      <c r="C18" s="14" t="s">
        <v>37</v>
      </c>
      <c r="D18" s="15">
        <v>6500.0</v>
      </c>
      <c r="E18" s="15">
        <f t="shared" si="1"/>
        <v>3250</v>
      </c>
      <c r="F18" s="16"/>
      <c r="G18" s="24"/>
      <c r="H18" s="24"/>
      <c r="I18" s="16">
        <v>4000.0</v>
      </c>
      <c r="J18" s="16">
        <f t="shared" si="2"/>
        <v>2000</v>
      </c>
      <c r="K18" s="16">
        <f t="shared" si="3"/>
        <v>1250</v>
      </c>
      <c r="L18" s="31" t="s">
        <v>2</v>
      </c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/>
      <c r="B19" s="12"/>
      <c r="C19" s="14"/>
      <c r="D19" s="15"/>
      <c r="E19" s="16"/>
      <c r="F19" s="16"/>
      <c r="G19" s="24"/>
      <c r="H19" s="24"/>
      <c r="I19" s="16"/>
      <c r="J19" s="16"/>
      <c r="K19" s="16"/>
      <c r="L19" s="30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/>
      <c r="B20" s="12"/>
      <c r="C20" s="14"/>
      <c r="D20" s="15"/>
      <c r="E20" s="16">
        <f>SUM(E7:E18)</f>
        <v>196650</v>
      </c>
      <c r="F20" s="16"/>
      <c r="G20" s="24"/>
      <c r="H20" s="24"/>
      <c r="I20" s="16"/>
      <c r="J20" s="16"/>
      <c r="K20" s="16">
        <f>SUM(K7:K18)</f>
        <v>51350</v>
      </c>
      <c r="L20" s="30">
        <f>K20/E20</f>
        <v>0.2611238241</v>
      </c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/>
      <c r="B21" s="12"/>
      <c r="C21" s="14"/>
      <c r="D21" s="15"/>
      <c r="E21" s="3"/>
      <c r="F21" s="3"/>
      <c r="G21" s="2"/>
      <c r="H21" s="2"/>
      <c r="I21" s="2"/>
      <c r="J21" s="2"/>
      <c r="K21" s="3"/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33"/>
      <c r="B22" s="34"/>
      <c r="C22" s="2"/>
      <c r="D22" s="3"/>
      <c r="E22" s="3"/>
      <c r="F22" s="3"/>
      <c r="G22" s="2"/>
      <c r="H22" s="2"/>
      <c r="I22" s="2"/>
      <c r="J22" s="2"/>
      <c r="K22" s="3"/>
      <c r="L22" s="4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33"/>
      <c r="B23" s="34"/>
      <c r="C23" s="2"/>
      <c r="D23" s="3"/>
      <c r="E23" s="3"/>
      <c r="F23" s="3"/>
      <c r="G23" s="2"/>
      <c r="H23" s="2"/>
      <c r="I23" s="2"/>
      <c r="J23" s="2"/>
      <c r="K23" s="3"/>
      <c r="L23" s="4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23" t="s">
        <v>212</v>
      </c>
      <c r="B24" s="23"/>
      <c r="C24" s="23"/>
      <c r="D24" s="25" t="s">
        <v>215</v>
      </c>
      <c r="E24" s="7">
        <v>46042.0</v>
      </c>
      <c r="F24" s="28" t="s">
        <v>263</v>
      </c>
      <c r="G24" s="24"/>
      <c r="H24" s="24"/>
      <c r="I24" s="16"/>
      <c r="J24" s="16"/>
      <c r="K24" s="16"/>
      <c r="L24" s="29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B25" s="24"/>
      <c r="C25" s="26"/>
      <c r="D25" s="24"/>
      <c r="E25" s="24"/>
      <c r="F25" s="24"/>
      <c r="G25" s="24"/>
      <c r="H25" s="24"/>
      <c r="I25" s="16"/>
      <c r="J25" s="16"/>
      <c r="K25" s="16"/>
      <c r="L25" s="29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5" t="s">
        <v>4</v>
      </c>
      <c r="B26" s="10" t="s">
        <v>5</v>
      </c>
      <c r="C26" s="11" t="s">
        <v>6</v>
      </c>
      <c r="D26" s="12" t="s">
        <v>7</v>
      </c>
      <c r="E26" s="10" t="s">
        <v>8</v>
      </c>
      <c r="F26" s="10"/>
      <c r="G26" s="24"/>
      <c r="H26" s="24"/>
      <c r="I26" s="12" t="s">
        <v>7</v>
      </c>
      <c r="J26" s="12" t="s">
        <v>8</v>
      </c>
      <c r="K26" s="12" t="s">
        <v>10</v>
      </c>
      <c r="L26" s="29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3.0</v>
      </c>
      <c r="B27" s="12" t="s">
        <v>17</v>
      </c>
      <c r="C27" s="14" t="s">
        <v>44</v>
      </c>
      <c r="D27" s="15">
        <v>2800.0</v>
      </c>
      <c r="E27" s="15">
        <f t="shared" ref="E27:E32" si="4">A27*D27</f>
        <v>8400</v>
      </c>
      <c r="F27" s="15"/>
      <c r="G27" s="24"/>
      <c r="H27" s="24"/>
      <c r="I27" s="15">
        <f>10000/8</f>
        <v>1250</v>
      </c>
      <c r="J27" s="16">
        <f t="shared" ref="J27:J32" si="5">I27*A27</f>
        <v>3750</v>
      </c>
      <c r="K27" s="16">
        <f t="shared" ref="K27:K32" si="6">E27-J27</f>
        <v>4650</v>
      </c>
      <c r="L27" s="30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0.5</v>
      </c>
      <c r="B28" s="12" t="s">
        <v>28</v>
      </c>
      <c r="C28" s="14" t="s">
        <v>78</v>
      </c>
      <c r="D28" s="15">
        <v>5000.0</v>
      </c>
      <c r="E28" s="15">
        <f t="shared" si="4"/>
        <v>2500</v>
      </c>
      <c r="F28" s="15"/>
      <c r="G28" s="24"/>
      <c r="H28" s="24"/>
      <c r="I28" s="15">
        <v>4500.0</v>
      </c>
      <c r="J28" s="16">
        <f t="shared" si="5"/>
        <v>2250</v>
      </c>
      <c r="K28" s="16">
        <f t="shared" si="6"/>
        <v>250</v>
      </c>
      <c r="L28" s="30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0.5</v>
      </c>
      <c r="B29" s="12" t="s">
        <v>28</v>
      </c>
      <c r="C29" s="14" t="s">
        <v>172</v>
      </c>
      <c r="D29" s="15">
        <v>6000.0</v>
      </c>
      <c r="E29" s="15">
        <f t="shared" si="4"/>
        <v>3000</v>
      </c>
      <c r="F29" s="15"/>
      <c r="G29" s="24"/>
      <c r="H29" s="24"/>
      <c r="I29" s="15">
        <v>6000.0</v>
      </c>
      <c r="J29" s="16">
        <f t="shared" si="5"/>
        <v>3000</v>
      </c>
      <c r="K29" s="16">
        <f t="shared" si="6"/>
        <v>0</v>
      </c>
      <c r="L29" s="30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3.0</v>
      </c>
      <c r="B30" s="12" t="s">
        <v>28</v>
      </c>
      <c r="C30" s="14" t="s">
        <v>74</v>
      </c>
      <c r="D30" s="15">
        <v>1000.0</v>
      </c>
      <c r="E30" s="15">
        <f t="shared" si="4"/>
        <v>3000</v>
      </c>
      <c r="F30" s="15"/>
      <c r="G30" s="24"/>
      <c r="H30" s="24"/>
      <c r="I30" s="15">
        <v>500.0</v>
      </c>
      <c r="J30" s="16">
        <f t="shared" si="5"/>
        <v>1500</v>
      </c>
      <c r="K30" s="16">
        <f t="shared" si="6"/>
        <v>1500</v>
      </c>
      <c r="L30" s="30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1.0</v>
      </c>
      <c r="B31" s="12" t="s">
        <v>17</v>
      </c>
      <c r="C31" s="14" t="s">
        <v>265</v>
      </c>
      <c r="D31" s="15">
        <v>3600.0</v>
      </c>
      <c r="E31" s="15">
        <f t="shared" si="4"/>
        <v>3600</v>
      </c>
      <c r="F31" s="15"/>
      <c r="G31" s="24"/>
      <c r="H31" s="24"/>
      <c r="I31" s="15">
        <f>40000/15</f>
        <v>2666.666667</v>
      </c>
      <c r="J31" s="16">
        <f t="shared" si="5"/>
        <v>2666.666667</v>
      </c>
      <c r="K31" s="16">
        <f t="shared" si="6"/>
        <v>933.3333333</v>
      </c>
      <c r="L31" s="30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17</v>
      </c>
      <c r="C32" s="14" t="s">
        <v>192</v>
      </c>
      <c r="D32" s="15">
        <v>4000.0</v>
      </c>
      <c r="E32" s="15">
        <f t="shared" si="4"/>
        <v>4000</v>
      </c>
      <c r="F32" s="15"/>
      <c r="G32" s="24"/>
      <c r="H32" s="24"/>
      <c r="I32" s="15">
        <v>0.0</v>
      </c>
      <c r="J32" s="16">
        <f t="shared" si="5"/>
        <v>0</v>
      </c>
      <c r="K32" s="16">
        <f t="shared" si="6"/>
        <v>4000</v>
      </c>
      <c r="L32" s="30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/>
      <c r="B33" s="12"/>
      <c r="C33" s="14"/>
      <c r="D33" s="15"/>
      <c r="E33" s="16"/>
      <c r="F33" s="16"/>
      <c r="G33" s="24"/>
      <c r="H33" s="24"/>
      <c r="I33" s="16"/>
      <c r="J33" s="16"/>
      <c r="K33" s="16"/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/>
      <c r="B34" s="12"/>
      <c r="C34" s="14"/>
      <c r="D34" s="15"/>
      <c r="E34" s="16">
        <f>SUM(E27:E32)</f>
        <v>24500</v>
      </c>
      <c r="F34" s="16"/>
      <c r="G34" s="24"/>
      <c r="H34" s="24"/>
      <c r="I34" s="16"/>
      <c r="J34" s="16"/>
      <c r="K34" s="16">
        <f>SUM(K27:K32)</f>
        <v>11333.33333</v>
      </c>
      <c r="L34" s="30">
        <f>K34/E34</f>
        <v>0.462585034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33"/>
      <c r="B35" s="34"/>
      <c r="C35" s="2"/>
      <c r="D35" s="3"/>
      <c r="E35" s="3"/>
      <c r="F35" s="3"/>
      <c r="G35" s="2"/>
      <c r="H35" s="2"/>
      <c r="I35" s="2"/>
      <c r="J35" s="2"/>
      <c r="K35" s="3"/>
      <c r="L35" s="4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33"/>
      <c r="B36" s="34"/>
      <c r="C36" s="2"/>
      <c r="D36" s="3"/>
      <c r="E36" s="3"/>
      <c r="F36" s="3"/>
      <c r="G36" s="2"/>
      <c r="H36" s="2"/>
      <c r="I36" s="2"/>
      <c r="J36" s="2"/>
      <c r="K36" s="3"/>
      <c r="L36" s="4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33"/>
      <c r="B37" s="34"/>
      <c r="C37" s="2"/>
      <c r="D37" s="3"/>
      <c r="E37" s="3"/>
      <c r="F37" s="3"/>
      <c r="G37" s="2"/>
      <c r="H37" s="2"/>
      <c r="I37" s="2"/>
      <c r="J37" s="2"/>
      <c r="K37" s="3"/>
      <c r="L37" s="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23" t="s">
        <v>47</v>
      </c>
      <c r="B38" s="23"/>
      <c r="C38" s="23"/>
      <c r="D38" s="25" t="s">
        <v>191</v>
      </c>
      <c r="E38" s="7">
        <v>46042.0</v>
      </c>
      <c r="G38" s="24"/>
      <c r="H38" s="24"/>
      <c r="I38" s="16"/>
      <c r="J38" s="16"/>
      <c r="K38" s="16"/>
      <c r="L38" s="29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B39" s="24"/>
      <c r="C39" s="26"/>
      <c r="D39" s="24"/>
      <c r="E39" s="24"/>
      <c r="F39" s="24"/>
      <c r="G39" s="24"/>
      <c r="H39" s="24"/>
      <c r="I39" s="16"/>
      <c r="J39" s="16"/>
      <c r="K39" s="16"/>
      <c r="L39" s="29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5" t="s">
        <v>4</v>
      </c>
      <c r="B40" s="10" t="s">
        <v>5</v>
      </c>
      <c r="C40" s="11" t="s">
        <v>6</v>
      </c>
      <c r="D40" s="12" t="s">
        <v>7</v>
      </c>
      <c r="E40" s="10" t="s">
        <v>8</v>
      </c>
      <c r="F40" s="12"/>
      <c r="G40" s="24"/>
      <c r="H40" s="24"/>
      <c r="I40" s="12" t="s">
        <v>7</v>
      </c>
      <c r="J40" s="12" t="s">
        <v>8</v>
      </c>
      <c r="K40" s="12" t="s">
        <v>10</v>
      </c>
      <c r="L40" s="29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1.0</v>
      </c>
      <c r="B41" s="12" t="s">
        <v>42</v>
      </c>
      <c r="C41" s="12" t="s">
        <v>70</v>
      </c>
      <c r="D41" s="15">
        <v>18000.0</v>
      </c>
      <c r="E41" s="15">
        <f t="shared" ref="E41:E52" si="7">A41*D41</f>
        <v>18000</v>
      </c>
      <c r="F41" s="16"/>
      <c r="G41" s="24"/>
      <c r="H41" s="24"/>
      <c r="I41" s="15">
        <v>18000.0</v>
      </c>
      <c r="J41" s="16">
        <f t="shared" ref="J41:J52" si="8">I41*A41</f>
        <v>18000</v>
      </c>
      <c r="K41" s="16">
        <f t="shared" ref="K41:K52" si="9">E41-J41</f>
        <v>0</v>
      </c>
      <c r="L41" s="30">
        <f t="shared" ref="L41:L52" si="10">K41/E41</f>
        <v>0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1.0</v>
      </c>
      <c r="B42" s="12" t="s">
        <v>42</v>
      </c>
      <c r="C42" s="12" t="s">
        <v>66</v>
      </c>
      <c r="D42" s="15">
        <v>13000.0</v>
      </c>
      <c r="E42" s="15">
        <f t="shared" si="7"/>
        <v>13000</v>
      </c>
      <c r="F42" s="16"/>
      <c r="G42" s="24"/>
      <c r="H42" s="24"/>
      <c r="I42" s="15">
        <v>9000.0</v>
      </c>
      <c r="J42" s="16">
        <f t="shared" si="8"/>
        <v>9000</v>
      </c>
      <c r="K42" s="16">
        <f t="shared" si="9"/>
        <v>4000</v>
      </c>
      <c r="L42" s="30">
        <f t="shared" si="10"/>
        <v>0.3076923077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2.0</v>
      </c>
      <c r="B43" s="12" t="s">
        <v>5</v>
      </c>
      <c r="C43" s="12" t="s">
        <v>49</v>
      </c>
      <c r="D43" s="15">
        <v>3000.0</v>
      </c>
      <c r="E43" s="15">
        <f t="shared" si="7"/>
        <v>6000</v>
      </c>
      <c r="F43" s="16"/>
      <c r="G43" s="24"/>
      <c r="H43" s="24"/>
      <c r="I43" s="15">
        <v>2000.0</v>
      </c>
      <c r="J43" s="16">
        <f t="shared" si="8"/>
        <v>4000</v>
      </c>
      <c r="K43" s="16">
        <f t="shared" si="9"/>
        <v>2000</v>
      </c>
      <c r="L43" s="30">
        <f t="shared" si="10"/>
        <v>0.3333333333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2.0</v>
      </c>
      <c r="B44" s="12" t="s">
        <v>32</v>
      </c>
      <c r="C44" s="14" t="s">
        <v>45</v>
      </c>
      <c r="D44" s="15">
        <v>35000.0</v>
      </c>
      <c r="E44" s="15">
        <f t="shared" si="7"/>
        <v>70000</v>
      </c>
      <c r="F44" s="16"/>
      <c r="G44" s="24"/>
      <c r="H44" s="24"/>
      <c r="I44" s="15">
        <v>25000.0</v>
      </c>
      <c r="J44" s="16">
        <f t="shared" si="8"/>
        <v>50000</v>
      </c>
      <c r="K44" s="16">
        <f t="shared" si="9"/>
        <v>20000</v>
      </c>
      <c r="L44" s="30">
        <f t="shared" si="10"/>
        <v>0.2857142857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2.0</v>
      </c>
      <c r="B45" s="12" t="s">
        <v>32</v>
      </c>
      <c r="C45" s="14" t="s">
        <v>20</v>
      </c>
      <c r="D45" s="15">
        <v>19000.0</v>
      </c>
      <c r="E45" s="15">
        <f t="shared" si="7"/>
        <v>38000</v>
      </c>
      <c r="F45" s="16"/>
      <c r="G45" s="24"/>
      <c r="H45" s="24"/>
      <c r="I45" s="15">
        <v>15000.0</v>
      </c>
      <c r="J45" s="16">
        <f t="shared" si="8"/>
        <v>30000</v>
      </c>
      <c r="K45" s="16">
        <f t="shared" si="9"/>
        <v>8000</v>
      </c>
      <c r="L45" s="30">
        <f t="shared" si="10"/>
        <v>0.2105263158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1.0</v>
      </c>
      <c r="B46" s="12" t="s">
        <v>13</v>
      </c>
      <c r="C46" s="14" t="s">
        <v>38</v>
      </c>
      <c r="D46" s="15">
        <v>62000.0</v>
      </c>
      <c r="E46" s="15">
        <f t="shared" si="7"/>
        <v>62000</v>
      </c>
      <c r="F46" s="16"/>
      <c r="G46" s="24"/>
      <c r="H46" s="24"/>
      <c r="I46" s="15">
        <v>50000.0</v>
      </c>
      <c r="J46" s="16">
        <f t="shared" si="8"/>
        <v>50000</v>
      </c>
      <c r="K46" s="16">
        <f t="shared" si="9"/>
        <v>12000</v>
      </c>
      <c r="L46" s="30">
        <f t="shared" si="10"/>
        <v>0.1935483871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3.0</v>
      </c>
      <c r="B47" s="28" t="s">
        <v>17</v>
      </c>
      <c r="C47" s="14" t="s">
        <v>31</v>
      </c>
      <c r="D47" s="15">
        <v>1800.0</v>
      </c>
      <c r="E47" s="15">
        <f t="shared" si="7"/>
        <v>5400</v>
      </c>
      <c r="F47" s="16"/>
      <c r="G47" s="24"/>
      <c r="H47" s="24"/>
      <c r="I47" s="15">
        <v>1500.0</v>
      </c>
      <c r="J47" s="16">
        <f t="shared" si="8"/>
        <v>4500</v>
      </c>
      <c r="K47" s="16">
        <f t="shared" si="9"/>
        <v>900</v>
      </c>
      <c r="L47" s="30">
        <f t="shared" si="10"/>
        <v>0.1666666667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4.0</v>
      </c>
      <c r="B48" s="28" t="s">
        <v>5</v>
      </c>
      <c r="C48" s="14" t="s">
        <v>55</v>
      </c>
      <c r="D48" s="15">
        <v>2500.0</v>
      </c>
      <c r="E48" s="15">
        <f t="shared" si="7"/>
        <v>10000</v>
      </c>
      <c r="F48" s="16"/>
      <c r="G48" s="24"/>
      <c r="H48" s="24"/>
      <c r="I48" s="15">
        <f>22000/13</f>
        <v>1692.307692</v>
      </c>
      <c r="J48" s="16">
        <f t="shared" si="8"/>
        <v>6769.230769</v>
      </c>
      <c r="K48" s="16">
        <f t="shared" si="9"/>
        <v>3230.769231</v>
      </c>
      <c r="L48" s="30">
        <f t="shared" si="10"/>
        <v>0.3230769231</v>
      </c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1.0</v>
      </c>
      <c r="B49" s="28" t="s">
        <v>42</v>
      </c>
      <c r="C49" s="14" t="s">
        <v>76</v>
      </c>
      <c r="D49" s="15">
        <v>14000.0</v>
      </c>
      <c r="E49" s="15">
        <f t="shared" si="7"/>
        <v>14000</v>
      </c>
      <c r="F49" s="16"/>
      <c r="G49" s="24"/>
      <c r="H49" s="24"/>
      <c r="I49" s="15">
        <v>10000.0</v>
      </c>
      <c r="J49" s="16">
        <f t="shared" si="8"/>
        <v>10000</v>
      </c>
      <c r="K49" s="16">
        <f t="shared" si="9"/>
        <v>4000</v>
      </c>
      <c r="L49" s="30">
        <f t="shared" si="10"/>
        <v>0.2857142857</v>
      </c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3.0</v>
      </c>
      <c r="B50" s="12" t="s">
        <v>28</v>
      </c>
      <c r="C50" s="14" t="s">
        <v>143</v>
      </c>
      <c r="D50" s="15">
        <v>3000.0</v>
      </c>
      <c r="E50" s="15">
        <f t="shared" si="7"/>
        <v>9000</v>
      </c>
      <c r="F50" s="16"/>
      <c r="G50" s="24"/>
      <c r="H50" s="24"/>
      <c r="I50" s="15">
        <v>2000.0</v>
      </c>
      <c r="J50" s="16">
        <f t="shared" si="8"/>
        <v>6000</v>
      </c>
      <c r="K50" s="16">
        <f t="shared" si="9"/>
        <v>3000</v>
      </c>
      <c r="L50" s="30">
        <f t="shared" si="10"/>
        <v>0.3333333333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2.0</v>
      </c>
      <c r="B51" s="12" t="s">
        <v>28</v>
      </c>
      <c r="C51" s="14" t="s">
        <v>53</v>
      </c>
      <c r="D51" s="15">
        <v>3000.0</v>
      </c>
      <c r="E51" s="15">
        <f t="shared" si="7"/>
        <v>6000</v>
      </c>
      <c r="F51" s="16"/>
      <c r="G51" s="24"/>
      <c r="H51" s="24"/>
      <c r="I51" s="15">
        <v>1500.0</v>
      </c>
      <c r="J51" s="16">
        <f t="shared" si="8"/>
        <v>3000</v>
      </c>
      <c r="K51" s="16">
        <f t="shared" si="9"/>
        <v>3000</v>
      </c>
      <c r="L51" s="30">
        <f t="shared" si="10"/>
        <v>0.5</v>
      </c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1.5</v>
      </c>
      <c r="B52" s="12" t="s">
        <v>28</v>
      </c>
      <c r="C52" s="14" t="s">
        <v>172</v>
      </c>
      <c r="D52" s="15">
        <v>7000.0</v>
      </c>
      <c r="E52" s="15">
        <f t="shared" si="7"/>
        <v>10500</v>
      </c>
      <c r="F52" s="16"/>
      <c r="G52" s="24"/>
      <c r="H52" s="24"/>
      <c r="I52" s="15">
        <v>6000.0</v>
      </c>
      <c r="J52" s="16">
        <f t="shared" si="8"/>
        <v>9000</v>
      </c>
      <c r="K52" s="16">
        <f t="shared" si="9"/>
        <v>1500</v>
      </c>
      <c r="L52" s="30">
        <f t="shared" si="10"/>
        <v>0.1428571429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/>
      <c r="B53" s="12"/>
      <c r="C53" s="14"/>
      <c r="D53" s="15"/>
      <c r="E53" s="16"/>
      <c r="F53" s="16"/>
      <c r="G53" s="24"/>
      <c r="H53" s="24"/>
      <c r="I53" s="16"/>
      <c r="J53" s="16"/>
      <c r="K53" s="16"/>
      <c r="L53" s="30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/>
      <c r="B54" s="12"/>
      <c r="C54" s="14"/>
      <c r="D54" s="15"/>
      <c r="E54" s="16">
        <f>SUM(E41:E52)</f>
        <v>261900</v>
      </c>
      <c r="F54" s="16"/>
      <c r="G54" s="24"/>
      <c r="H54" s="24"/>
      <c r="I54" s="16"/>
      <c r="J54" s="16"/>
      <c r="K54" s="16">
        <f>SUM(K41:K52)</f>
        <v>61630.76923</v>
      </c>
      <c r="L54" s="30">
        <f>K54/E54</f>
        <v>0.2353217611</v>
      </c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33"/>
      <c r="B55" s="34"/>
      <c r="C55" s="2"/>
      <c r="D55" s="3"/>
      <c r="E55" s="3"/>
      <c r="F55" s="3"/>
      <c r="G55" s="2"/>
      <c r="H55" s="2"/>
      <c r="I55" s="2"/>
      <c r="J55" s="2"/>
      <c r="K55" s="3"/>
      <c r="L55" s="4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23" t="s">
        <v>80</v>
      </c>
      <c r="B56" s="23"/>
      <c r="C56" s="23"/>
      <c r="D56" s="25" t="s">
        <v>266</v>
      </c>
      <c r="E56" s="7">
        <v>46042.0</v>
      </c>
      <c r="F56" s="28" t="s">
        <v>263</v>
      </c>
      <c r="G56" s="24"/>
      <c r="H56" s="24"/>
      <c r="I56" s="16"/>
      <c r="J56" s="16"/>
      <c r="K56" s="16"/>
      <c r="L56" s="29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B57" s="24"/>
      <c r="C57" s="26"/>
      <c r="D57" s="24"/>
      <c r="E57" s="24"/>
      <c r="F57" s="24"/>
      <c r="G57" s="24"/>
      <c r="H57" s="24"/>
      <c r="I57" s="16"/>
      <c r="J57" s="16"/>
      <c r="K57" s="16"/>
      <c r="L57" s="29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5" t="s">
        <v>4</v>
      </c>
      <c r="B58" s="10" t="s">
        <v>5</v>
      </c>
      <c r="C58" s="11" t="s">
        <v>6</v>
      </c>
      <c r="D58" s="12" t="s">
        <v>7</v>
      </c>
      <c r="E58" s="10" t="s">
        <v>8</v>
      </c>
      <c r="F58" s="12"/>
      <c r="G58" s="24"/>
      <c r="H58" s="24"/>
      <c r="I58" s="12" t="s">
        <v>7</v>
      </c>
      <c r="J58" s="12" t="s">
        <v>8</v>
      </c>
      <c r="K58" s="12" t="s">
        <v>10</v>
      </c>
      <c r="L58" s="29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3.0</v>
      </c>
      <c r="B59" s="12" t="s">
        <v>17</v>
      </c>
      <c r="C59" s="14" t="s">
        <v>35</v>
      </c>
      <c r="D59" s="15">
        <v>4000.0</v>
      </c>
      <c r="E59" s="15">
        <f t="shared" ref="E59:E62" si="11">A59*D59</f>
        <v>12000</v>
      </c>
      <c r="F59" s="16"/>
      <c r="G59" s="24"/>
      <c r="H59" s="24"/>
      <c r="I59" s="15">
        <v>0.0</v>
      </c>
      <c r="J59" s="16">
        <f t="shared" ref="J59:J62" si="12">I59*A59</f>
        <v>0</v>
      </c>
      <c r="K59" s="16">
        <f t="shared" ref="K59:K62" si="13">E59-J59</f>
        <v>12000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8.0</v>
      </c>
      <c r="B60" s="12" t="s">
        <v>146</v>
      </c>
      <c r="C60" s="14" t="s">
        <v>267</v>
      </c>
      <c r="D60" s="15">
        <v>0.0</v>
      </c>
      <c r="E60" s="15">
        <f t="shared" si="11"/>
        <v>0</v>
      </c>
      <c r="F60" s="16"/>
      <c r="G60" s="24"/>
      <c r="H60" s="24"/>
      <c r="I60" s="15">
        <v>0.0</v>
      </c>
      <c r="J60" s="16">
        <f t="shared" si="12"/>
        <v>0</v>
      </c>
      <c r="K60" s="16">
        <f t="shared" si="13"/>
        <v>0</v>
      </c>
      <c r="L60" s="30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4.0</v>
      </c>
      <c r="B61" s="12" t="s">
        <v>146</v>
      </c>
      <c r="C61" s="14" t="s">
        <v>147</v>
      </c>
      <c r="D61" s="15">
        <v>450.0</v>
      </c>
      <c r="E61" s="15">
        <f t="shared" si="11"/>
        <v>1800</v>
      </c>
      <c r="F61" s="16"/>
      <c r="G61" s="24"/>
      <c r="H61" s="24"/>
      <c r="I61" s="15">
        <f>1500/4</f>
        <v>375</v>
      </c>
      <c r="J61" s="16">
        <f t="shared" si="12"/>
        <v>1500</v>
      </c>
      <c r="K61" s="16">
        <f t="shared" si="13"/>
        <v>300</v>
      </c>
      <c r="L61" s="30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1.0</v>
      </c>
      <c r="B62" s="12" t="s">
        <v>32</v>
      </c>
      <c r="C62" s="14" t="s">
        <v>62</v>
      </c>
      <c r="D62" s="15">
        <v>14000.0</v>
      </c>
      <c r="E62" s="15">
        <f t="shared" si="11"/>
        <v>14000</v>
      </c>
      <c r="F62" s="16"/>
      <c r="G62" s="24"/>
      <c r="H62" s="24"/>
      <c r="I62" s="15">
        <v>9000.0</v>
      </c>
      <c r="J62" s="16">
        <f t="shared" si="12"/>
        <v>9000</v>
      </c>
      <c r="K62" s="16">
        <f t="shared" si="13"/>
        <v>5000</v>
      </c>
      <c r="L62" s="30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/>
      <c r="B63" s="12"/>
      <c r="C63" s="14"/>
      <c r="D63" s="15"/>
      <c r="E63" s="16"/>
      <c r="F63" s="16"/>
      <c r="G63" s="24"/>
      <c r="H63" s="24"/>
      <c r="I63" s="16"/>
      <c r="J63" s="16"/>
      <c r="K63" s="16"/>
      <c r="L63" s="30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/>
      <c r="B64" s="12"/>
      <c r="C64" s="14"/>
      <c r="D64" s="15"/>
      <c r="E64" s="16">
        <f>SUM(E59:E62)</f>
        <v>27800</v>
      </c>
      <c r="F64" s="16"/>
      <c r="G64" s="24"/>
      <c r="H64" s="24"/>
      <c r="I64" s="16"/>
      <c r="J64" s="16"/>
      <c r="K64" s="16">
        <f>SUM(K59:K62)</f>
        <v>17300</v>
      </c>
      <c r="L64" s="30">
        <f>K64/E64</f>
        <v>0.6223021583</v>
      </c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33"/>
      <c r="B65" s="34"/>
      <c r="C65" s="2"/>
      <c r="D65" s="3"/>
      <c r="E65" s="3"/>
      <c r="F65" s="3"/>
      <c r="G65" s="2"/>
      <c r="H65" s="2"/>
      <c r="I65" s="2"/>
      <c r="J65" s="2"/>
      <c r="K65" s="3"/>
      <c r="L65" s="4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23" t="s">
        <v>183</v>
      </c>
      <c r="B66" s="23"/>
      <c r="C66" s="23"/>
      <c r="D66" s="25" t="s">
        <v>191</v>
      </c>
      <c r="E66" s="7">
        <v>46042.0</v>
      </c>
      <c r="G66" s="32" t="s">
        <v>263</v>
      </c>
      <c r="H66" s="24"/>
      <c r="I66" s="16"/>
      <c r="J66" s="16"/>
      <c r="K66" s="16"/>
      <c r="L66" s="29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B67" s="24"/>
      <c r="C67" s="26"/>
      <c r="D67" s="24"/>
      <c r="E67" s="24"/>
      <c r="F67" s="24"/>
      <c r="G67" s="24"/>
      <c r="H67" s="24"/>
      <c r="I67" s="16"/>
      <c r="J67" s="16"/>
      <c r="K67" s="16"/>
      <c r="L67" s="29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5" t="s">
        <v>4</v>
      </c>
      <c r="B68" s="10" t="s">
        <v>5</v>
      </c>
      <c r="C68" s="11" t="s">
        <v>6</v>
      </c>
      <c r="D68" s="12" t="s">
        <v>7</v>
      </c>
      <c r="E68" s="10" t="s">
        <v>8</v>
      </c>
      <c r="F68" s="12"/>
      <c r="G68" s="24"/>
      <c r="H68" s="24"/>
      <c r="I68" s="12" t="s">
        <v>7</v>
      </c>
      <c r="J68" s="12" t="s">
        <v>8</v>
      </c>
      <c r="K68" s="12" t="s">
        <v>10</v>
      </c>
      <c r="L68" s="29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1.0</v>
      </c>
      <c r="B69" s="12" t="s">
        <v>32</v>
      </c>
      <c r="C69" s="12" t="s">
        <v>67</v>
      </c>
      <c r="D69" s="15">
        <v>22000.0</v>
      </c>
      <c r="E69" s="15">
        <f t="shared" ref="E69:E79" si="14">A69*D69</f>
        <v>22000</v>
      </c>
      <c r="F69" s="16"/>
      <c r="G69" s="24"/>
      <c r="H69" s="24"/>
      <c r="I69" s="15">
        <v>16000.0</v>
      </c>
      <c r="J69" s="16">
        <f t="shared" ref="J69:J79" si="15">I69*A69</f>
        <v>16000</v>
      </c>
      <c r="K69" s="16">
        <f t="shared" ref="K69:K79" si="16">E69-J69</f>
        <v>6000</v>
      </c>
      <c r="L69" s="30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2.0</v>
      </c>
      <c r="B70" s="12" t="s">
        <v>17</v>
      </c>
      <c r="C70" s="12" t="s">
        <v>164</v>
      </c>
      <c r="D70" s="15">
        <v>10000.0</v>
      </c>
      <c r="E70" s="15">
        <f t="shared" si="14"/>
        <v>20000</v>
      </c>
      <c r="F70" s="16"/>
      <c r="G70" s="24"/>
      <c r="H70" s="24"/>
      <c r="I70" s="15">
        <v>10000.0</v>
      </c>
      <c r="J70" s="16">
        <f t="shared" si="15"/>
        <v>20000</v>
      </c>
      <c r="K70" s="16">
        <f t="shared" si="16"/>
        <v>0</v>
      </c>
      <c r="L70" s="30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2.0</v>
      </c>
      <c r="B71" s="12" t="s">
        <v>17</v>
      </c>
      <c r="C71" s="12" t="s">
        <v>144</v>
      </c>
      <c r="D71" s="15">
        <v>4000.0</v>
      </c>
      <c r="E71" s="15">
        <f t="shared" si="14"/>
        <v>8000</v>
      </c>
      <c r="F71" s="16"/>
      <c r="G71" s="24"/>
      <c r="H71" s="24"/>
      <c r="I71" s="15">
        <v>2500.0</v>
      </c>
      <c r="J71" s="16">
        <f t="shared" si="15"/>
        <v>5000</v>
      </c>
      <c r="K71" s="16">
        <f t="shared" si="16"/>
        <v>3000</v>
      </c>
      <c r="L71" s="30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5.0</v>
      </c>
      <c r="B72" s="12" t="s">
        <v>17</v>
      </c>
      <c r="C72" s="14" t="s">
        <v>45</v>
      </c>
      <c r="D72" s="15">
        <v>3200.0</v>
      </c>
      <c r="E72" s="15">
        <f t="shared" si="14"/>
        <v>16000</v>
      </c>
      <c r="F72" s="16"/>
      <c r="G72" s="24"/>
      <c r="H72" s="24"/>
      <c r="I72" s="15">
        <f>32000/15</f>
        <v>2133.333333</v>
      </c>
      <c r="J72" s="16">
        <f t="shared" si="15"/>
        <v>10666.66667</v>
      </c>
      <c r="K72" s="16">
        <f t="shared" si="16"/>
        <v>5333.333333</v>
      </c>
      <c r="L72" s="30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>
        <v>9.0</v>
      </c>
      <c r="B73" s="12" t="s">
        <v>5</v>
      </c>
      <c r="C73" s="14" t="s">
        <v>268</v>
      </c>
      <c r="D73" s="15">
        <v>2500.0</v>
      </c>
      <c r="E73" s="15">
        <f t="shared" si="14"/>
        <v>22500</v>
      </c>
      <c r="F73" s="16"/>
      <c r="G73" s="24"/>
      <c r="H73" s="24"/>
      <c r="I73" s="15">
        <v>1692.0</v>
      </c>
      <c r="J73" s="16">
        <f t="shared" si="15"/>
        <v>15228</v>
      </c>
      <c r="K73" s="16">
        <f t="shared" si="16"/>
        <v>7272</v>
      </c>
      <c r="L73" s="30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15.0</v>
      </c>
      <c r="B74" s="12" t="s">
        <v>5</v>
      </c>
      <c r="C74" s="14" t="s">
        <v>38</v>
      </c>
      <c r="D74" s="15">
        <v>1400.0</v>
      </c>
      <c r="E74" s="15">
        <f t="shared" si="14"/>
        <v>21000</v>
      </c>
      <c r="F74" s="16"/>
      <c r="G74" s="24"/>
      <c r="H74" s="24"/>
      <c r="I74" s="15">
        <f>67000/70</f>
        <v>957.1428571</v>
      </c>
      <c r="J74" s="16">
        <f t="shared" si="15"/>
        <v>14357.14286</v>
      </c>
      <c r="K74" s="16">
        <f t="shared" si="16"/>
        <v>6642.857143</v>
      </c>
      <c r="L74" s="30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1.0</v>
      </c>
      <c r="B75" s="28" t="s">
        <v>17</v>
      </c>
      <c r="C75" s="14" t="s">
        <v>31</v>
      </c>
      <c r="D75" s="15">
        <v>2000.0</v>
      </c>
      <c r="E75" s="15">
        <f t="shared" si="14"/>
        <v>2000</v>
      </c>
      <c r="F75" s="16"/>
      <c r="G75" s="24"/>
      <c r="H75" s="24"/>
      <c r="I75" s="15">
        <v>1500.0</v>
      </c>
      <c r="J75" s="16">
        <f t="shared" si="15"/>
        <v>1500</v>
      </c>
      <c r="K75" s="16">
        <f t="shared" si="16"/>
        <v>500</v>
      </c>
      <c r="L75" s="30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1.0</v>
      </c>
      <c r="B76" s="28" t="s">
        <v>17</v>
      </c>
      <c r="C76" s="14" t="s">
        <v>182</v>
      </c>
      <c r="D76" s="15">
        <v>3200.0</v>
      </c>
      <c r="E76" s="15">
        <f t="shared" si="14"/>
        <v>3200</v>
      </c>
      <c r="F76" s="16"/>
      <c r="G76" s="24"/>
      <c r="H76" s="24"/>
      <c r="I76" s="15">
        <f>38000/15</f>
        <v>2533.333333</v>
      </c>
      <c r="J76" s="16">
        <f t="shared" si="15"/>
        <v>2533.333333</v>
      </c>
      <c r="K76" s="16">
        <f t="shared" si="16"/>
        <v>666.6666667</v>
      </c>
      <c r="L76" s="30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4.0</v>
      </c>
      <c r="B77" s="28" t="s">
        <v>28</v>
      </c>
      <c r="C77" s="14" t="s">
        <v>172</v>
      </c>
      <c r="D77" s="15">
        <v>7500.0</v>
      </c>
      <c r="E77" s="15">
        <f t="shared" si="14"/>
        <v>30000</v>
      </c>
      <c r="F77" s="16"/>
      <c r="G77" s="24"/>
      <c r="H77" s="24"/>
      <c r="I77" s="15">
        <v>6000.0</v>
      </c>
      <c r="J77" s="16">
        <f t="shared" si="15"/>
        <v>24000</v>
      </c>
      <c r="K77" s="16">
        <f t="shared" si="16"/>
        <v>6000</v>
      </c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3.9</v>
      </c>
      <c r="B78" s="12" t="s">
        <v>17</v>
      </c>
      <c r="C78" s="14" t="s">
        <v>76</v>
      </c>
      <c r="D78" s="15">
        <v>1200.0</v>
      </c>
      <c r="E78" s="15">
        <f t="shared" si="14"/>
        <v>4680</v>
      </c>
      <c r="F78" s="16"/>
      <c r="G78" s="24"/>
      <c r="H78" s="24"/>
      <c r="I78" s="15">
        <f>10000/14</f>
        <v>714.2857143</v>
      </c>
      <c r="J78" s="16">
        <f t="shared" si="15"/>
        <v>2785.714286</v>
      </c>
      <c r="K78" s="16">
        <f t="shared" si="16"/>
        <v>1894.285714</v>
      </c>
      <c r="L78" s="30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2.0</v>
      </c>
      <c r="B79" s="12" t="s">
        <v>32</v>
      </c>
      <c r="C79" s="14" t="s">
        <v>152</v>
      </c>
      <c r="D79" s="15">
        <v>50000.0</v>
      </c>
      <c r="E79" s="15">
        <f t="shared" si="14"/>
        <v>100000</v>
      </c>
      <c r="F79" s="16"/>
      <c r="G79" s="24"/>
      <c r="H79" s="24"/>
      <c r="I79" s="15">
        <v>43000.0</v>
      </c>
      <c r="J79" s="16">
        <f t="shared" si="15"/>
        <v>86000</v>
      </c>
      <c r="K79" s="16">
        <f t="shared" si="16"/>
        <v>14000</v>
      </c>
      <c r="L79" s="30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/>
      <c r="B80" s="12"/>
      <c r="C80" s="14"/>
      <c r="D80" s="15"/>
      <c r="E80" s="16"/>
      <c r="F80" s="16"/>
      <c r="G80" s="24"/>
      <c r="H80" s="24"/>
      <c r="I80" s="16"/>
      <c r="J80" s="16"/>
      <c r="K80" s="16"/>
      <c r="L80" s="30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/>
      <c r="B81" s="12"/>
      <c r="C81" s="14"/>
      <c r="D81" s="15"/>
      <c r="E81" s="16">
        <f>SUM(E69:E79)</f>
        <v>249380</v>
      </c>
      <c r="F81" s="16"/>
      <c r="G81" s="24"/>
      <c r="H81" s="24"/>
      <c r="I81" s="16"/>
      <c r="J81" s="16"/>
      <c r="K81" s="16">
        <f>SUM(K69:K79)</f>
        <v>51309.14286</v>
      </c>
      <c r="L81" s="30">
        <f>K81/E81</f>
        <v>0.2057468236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33"/>
      <c r="B82" s="34"/>
      <c r="C82" s="2"/>
      <c r="D82" s="3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33"/>
      <c r="B83" s="34"/>
      <c r="C83" s="2"/>
      <c r="D83" s="3"/>
      <c r="E83" s="3"/>
      <c r="F83" s="3"/>
      <c r="G83" s="2"/>
      <c r="H83" s="2"/>
      <c r="I83" s="2"/>
      <c r="J83" s="2"/>
      <c r="K83" s="3"/>
      <c r="L83" s="4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33" t="s">
        <v>88</v>
      </c>
      <c r="B84" s="34">
        <f>E81+E64+E54+E34+E20</f>
        <v>760230</v>
      </c>
      <c r="C84" s="2"/>
      <c r="D84" s="3"/>
      <c r="E84" s="3"/>
      <c r="F84" s="3"/>
      <c r="G84" s="2"/>
      <c r="H84" s="2"/>
      <c r="I84" s="2"/>
      <c r="J84" s="2"/>
      <c r="K84" s="3"/>
      <c r="L84" s="4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"/>
      <c r="B85" s="2"/>
      <c r="C85" s="2"/>
      <c r="D85" s="3"/>
      <c r="E85" s="3"/>
      <c r="F85" s="3"/>
      <c r="G85" s="2"/>
      <c r="H85" s="2"/>
      <c r="I85" s="2"/>
      <c r="J85" s="2"/>
      <c r="K85" s="3"/>
      <c r="L85" s="4"/>
      <c r="M85" s="2"/>
      <c r="N85" s="2"/>
      <c r="O85" s="2"/>
      <c r="P85" s="2"/>
      <c r="Q85" s="3"/>
      <c r="R85" s="9"/>
      <c r="S85" s="3"/>
      <c r="T85" s="3"/>
      <c r="U85" s="1"/>
      <c r="V85" s="3"/>
      <c r="W85" s="3"/>
      <c r="X85" s="3"/>
      <c r="Y85" s="3"/>
      <c r="Z85" s="3"/>
    </row>
    <row r="86">
      <c r="A86" s="33" t="s">
        <v>89</v>
      </c>
      <c r="B86" s="34">
        <f>K81+K64+K54+K34+K20</f>
        <v>192923.2454</v>
      </c>
      <c r="C86" s="2"/>
      <c r="D86" s="3"/>
      <c r="E86" s="3"/>
      <c r="F86" s="3"/>
      <c r="G86" s="2"/>
      <c r="H86" s="2"/>
      <c r="I86" s="2"/>
      <c r="J86" s="2"/>
      <c r="K86" s="3"/>
      <c r="L86" s="4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"/>
      <c r="B87" s="2"/>
      <c r="C87" s="2"/>
      <c r="D87" s="3"/>
      <c r="E87" s="3"/>
      <c r="F87" s="3"/>
      <c r="G87" s="2"/>
      <c r="H87" s="2"/>
      <c r="I87" s="2"/>
      <c r="J87" s="2"/>
      <c r="K87" s="3"/>
      <c r="L87" s="4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33" t="s">
        <v>90</v>
      </c>
      <c r="B88" s="35">
        <f>B86/B84</f>
        <v>0.2537695769</v>
      </c>
      <c r="C88" s="2"/>
      <c r="D88" s="3"/>
      <c r="E88" s="3"/>
      <c r="F88" s="3"/>
      <c r="G88" s="2"/>
      <c r="H88" s="2"/>
      <c r="I88" s="2"/>
      <c r="J88" s="2"/>
      <c r="K88" s="3"/>
      <c r="L88" s="4"/>
      <c r="M88" s="2"/>
      <c r="N88" s="2"/>
      <c r="O88" s="2"/>
      <c r="P88" s="2"/>
      <c r="Q88" s="2"/>
      <c r="R88" s="2"/>
      <c r="S88" s="3"/>
      <c r="T88" s="3"/>
      <c r="U88" s="1"/>
      <c r="V88" s="3"/>
      <c r="W88" s="3"/>
      <c r="X88" s="2"/>
      <c r="Y88" s="2"/>
      <c r="Z88" s="2"/>
    </row>
    <row r="89">
      <c r="A89" s="1"/>
      <c r="B89" s="2"/>
      <c r="C89" s="2"/>
      <c r="D89" s="3"/>
      <c r="E89" s="3"/>
      <c r="F89" s="3"/>
      <c r="G89" s="2"/>
      <c r="H89" s="2"/>
      <c r="I89" s="2"/>
      <c r="J89" s="2"/>
      <c r="K89" s="3"/>
      <c r="L89" s="4"/>
      <c r="M89" s="2"/>
      <c r="N89" s="2"/>
      <c r="O89" s="2"/>
      <c r="P89" s="2"/>
      <c r="Q89" s="3"/>
      <c r="R89" s="9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36" t="s">
        <v>91</v>
      </c>
      <c r="C90" s="37" t="s">
        <v>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9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1"/>
      <c r="B92" s="2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1"/>
      <c r="B93" s="1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X94" s="3"/>
      <c r="Y94" s="3"/>
      <c r="Z94" s="3"/>
    </row>
    <row r="95" ht="15.75" customHeight="1">
      <c r="A95" s="39"/>
      <c r="B95" s="40" t="s">
        <v>92</v>
      </c>
      <c r="C95" s="41" t="s">
        <v>93</v>
      </c>
      <c r="D95" s="42" t="s">
        <v>94</v>
      </c>
      <c r="E95" s="42" t="s">
        <v>95</v>
      </c>
      <c r="F95" s="75" t="s">
        <v>96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9"/>
      <c r="X95" s="3"/>
      <c r="Y95" s="3"/>
      <c r="Z95" s="3"/>
    </row>
    <row r="96" ht="15.75" customHeight="1">
      <c r="A96" s="43"/>
      <c r="B96" s="44">
        <f>'19-01-2026 '!B151</f>
        <v>329737.25</v>
      </c>
      <c r="C96" s="45">
        <f>'19-01-2026 '!C151</f>
        <v>1008573.808</v>
      </c>
      <c r="D96" s="45">
        <f>'19-01-2026 '!D151</f>
        <v>1706736.91</v>
      </c>
      <c r="E96" s="45"/>
      <c r="F96" s="76">
        <f>'19-01-2026 '!F151</f>
        <v>2129338.52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"/>
      <c r="B97" s="46"/>
      <c r="C97" s="46"/>
      <c r="D97" s="46"/>
      <c r="E97" s="4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40" t="s">
        <v>97</v>
      </c>
      <c r="B98" s="47"/>
      <c r="C98" s="47"/>
      <c r="D98" s="47"/>
      <c r="E98" s="47"/>
      <c r="F98" s="48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98</v>
      </c>
      <c r="B99" s="49">
        <v>27800.0</v>
      </c>
      <c r="C99" s="49">
        <v>828700.0</v>
      </c>
      <c r="D99" s="49">
        <v>172966.87</v>
      </c>
      <c r="E99" s="49">
        <v>0.0</v>
      </c>
      <c r="F99" s="49">
        <v>0.0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3" t="s">
        <v>99</v>
      </c>
      <c r="B100" s="49">
        <v>0.0</v>
      </c>
      <c r="C100" s="49">
        <v>728.97</v>
      </c>
      <c r="D100" s="49">
        <v>0.0</v>
      </c>
      <c r="E100" s="49">
        <v>0.0</v>
      </c>
      <c r="F100" s="49">
        <v>0.0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3" t="s">
        <v>100</v>
      </c>
      <c r="B101" s="49">
        <v>0.0</v>
      </c>
      <c r="C101" s="49">
        <v>0.0</v>
      </c>
      <c r="D101" s="49">
        <v>1491910.12</v>
      </c>
      <c r="E101" s="49">
        <v>0.0</v>
      </c>
      <c r="F101" s="49">
        <v>1486748.86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101</v>
      </c>
      <c r="B102" s="49">
        <v>0.0</v>
      </c>
      <c r="C102" s="49">
        <v>0.0</v>
      </c>
      <c r="D102" s="49">
        <v>0.0</v>
      </c>
      <c r="E102" s="49">
        <v>0.0</v>
      </c>
      <c r="F102" s="49">
        <v>0.0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102</v>
      </c>
      <c r="B103" s="49">
        <v>0.0</v>
      </c>
      <c r="C103" s="49">
        <v>0.0</v>
      </c>
      <c r="D103" s="49">
        <v>0.0</v>
      </c>
      <c r="E103" s="49">
        <v>0.0</v>
      </c>
      <c r="F103" s="49">
        <v>0.0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3" t="s">
        <v>203</v>
      </c>
      <c r="B104" s="49">
        <v>0.0</v>
      </c>
      <c r="C104" s="50">
        <f>C99*2%</f>
        <v>16574</v>
      </c>
      <c r="D104" s="49">
        <f>SUM(D98:D103)*2%</f>
        <v>33297.5398</v>
      </c>
      <c r="E104" s="49">
        <v>0.0</v>
      </c>
      <c r="F104" s="49">
        <v>0.0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3" t="s">
        <v>103</v>
      </c>
      <c r="B105" s="49">
        <v>0.0</v>
      </c>
      <c r="C105" s="50">
        <f>C99*0.6%+C102*0.6%</f>
        <v>4972.2</v>
      </c>
      <c r="D105" s="49">
        <f>SUM(D99:D101)*0.6%</f>
        <v>9989.26194</v>
      </c>
      <c r="E105" s="49">
        <v>0.0</v>
      </c>
      <c r="F105" s="49">
        <v>0.0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"/>
      <c r="B106" s="46"/>
      <c r="C106" s="46"/>
      <c r="D106" s="46"/>
      <c r="E106" s="4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51" t="s">
        <v>8</v>
      </c>
      <c r="B107" s="52">
        <f>SUM(B96:B105)</f>
        <v>357537.25</v>
      </c>
      <c r="C107" s="52">
        <f>C96+C99+C102+C103-C105+C100-C104</f>
        <v>1816456.578</v>
      </c>
      <c r="D107" s="53">
        <f>D96+D99+D102+D103-D105+D101-D104</f>
        <v>3328327.098</v>
      </c>
      <c r="E107" s="52">
        <f>E96+E99+E102+E103-E105</f>
        <v>0</v>
      </c>
      <c r="F107" s="54">
        <f>F96+F99+F102+F103-F105-D101</f>
        <v>637428.4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"/>
      <c r="B108" s="1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40" t="s">
        <v>104</v>
      </c>
      <c r="B109" s="47"/>
      <c r="C109" s="47"/>
      <c r="D109" s="47"/>
      <c r="E109" s="47"/>
      <c r="F109" s="4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3" t="s">
        <v>105</v>
      </c>
      <c r="B110" s="55">
        <v>4000.0</v>
      </c>
      <c r="C110" s="55">
        <v>0.0</v>
      </c>
      <c r="D110" s="55">
        <v>0.0</v>
      </c>
      <c r="E110" s="55">
        <v>0.0</v>
      </c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106</v>
      </c>
      <c r="B111" s="49">
        <v>0.0</v>
      </c>
      <c r="C111" s="49">
        <v>0.0</v>
      </c>
      <c r="D111" s="49">
        <v>0.0</v>
      </c>
      <c r="E111" s="49">
        <v>0.0</v>
      </c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107</v>
      </c>
      <c r="B112" s="55">
        <v>0.0</v>
      </c>
      <c r="C112" s="55">
        <v>0.0</v>
      </c>
      <c r="D112" s="49">
        <v>750000.0</v>
      </c>
      <c r="E112" s="55">
        <v>0.0</v>
      </c>
      <c r="F112" s="2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108</v>
      </c>
      <c r="B113" s="55">
        <v>4200.0</v>
      </c>
      <c r="C113" s="55">
        <v>0.0</v>
      </c>
      <c r="D113" s="55">
        <v>0.0</v>
      </c>
      <c r="E113" s="55">
        <v>0.0</v>
      </c>
      <c r="F113" s="2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109</v>
      </c>
      <c r="B114" s="55">
        <f>41000+25000+66000</f>
        <v>132000</v>
      </c>
      <c r="C114" s="55">
        <v>123450.0</v>
      </c>
      <c r="D114" s="55">
        <v>0.0</v>
      </c>
      <c r="E114" s="55">
        <v>0.0</v>
      </c>
      <c r="F114" s="2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110</v>
      </c>
      <c r="B115" s="55">
        <v>0.0</v>
      </c>
      <c r="C115" s="55">
        <v>0.0</v>
      </c>
      <c r="D115" s="55">
        <v>0.0</v>
      </c>
      <c r="E115" s="55">
        <v>0.0</v>
      </c>
      <c r="F115" s="26"/>
      <c r="G115" s="2"/>
      <c r="H115" s="56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13" t="s">
        <v>111</v>
      </c>
      <c r="B116" s="49">
        <v>0.0</v>
      </c>
      <c r="C116" s="49">
        <v>0.0</v>
      </c>
      <c r="D116" s="49">
        <v>0.0</v>
      </c>
      <c r="E116" s="49">
        <v>0.0</v>
      </c>
      <c r="F116" s="2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112</v>
      </c>
      <c r="B117" s="49">
        <v>0.0</v>
      </c>
      <c r="C117" s="49">
        <v>0.0</v>
      </c>
      <c r="D117" s="49">
        <v>0.0</v>
      </c>
      <c r="E117" s="49">
        <v>0.0</v>
      </c>
      <c r="F117" s="26"/>
      <c r="G117" s="2"/>
      <c r="H117" s="56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113</v>
      </c>
      <c r="B118" s="49">
        <v>0.0</v>
      </c>
      <c r="C118" s="49">
        <v>0.0</v>
      </c>
      <c r="D118" s="49">
        <v>0.0</v>
      </c>
      <c r="E118" s="49">
        <v>0.0</v>
      </c>
      <c r="F118" s="26"/>
      <c r="G118" s="2"/>
      <c r="H118" s="56"/>
      <c r="I118" s="2"/>
      <c r="J118" s="2"/>
      <c r="K118" s="2"/>
      <c r="L118" s="2"/>
      <c r="M118" s="2"/>
      <c r="N118" s="2"/>
      <c r="O118" s="2"/>
      <c r="P118" s="2"/>
      <c r="Q118" s="3"/>
      <c r="R118" s="9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114</v>
      </c>
      <c r="B119" s="55">
        <v>0.0</v>
      </c>
      <c r="C119" s="55">
        <v>0.0</v>
      </c>
      <c r="D119" s="55">
        <v>0.0</v>
      </c>
      <c r="E119" s="55">
        <v>0.0</v>
      </c>
      <c r="F119" s="26"/>
      <c r="G119" s="2"/>
      <c r="H119" s="56"/>
      <c r="I119" s="2"/>
      <c r="J119" s="2"/>
      <c r="K119" s="2"/>
      <c r="L119" s="2"/>
      <c r="M119" s="2"/>
      <c r="N119" s="2"/>
      <c r="O119" s="2"/>
      <c r="P119" s="2"/>
      <c r="Q119" s="3"/>
      <c r="R119" s="9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13" t="s">
        <v>115</v>
      </c>
      <c r="B120" s="55">
        <v>0.0</v>
      </c>
      <c r="C120" s="55">
        <v>300000.0</v>
      </c>
      <c r="D120" s="55">
        <v>0.0</v>
      </c>
      <c r="E120" s="55">
        <v>0.0</v>
      </c>
      <c r="F120" s="26"/>
      <c r="G120" s="2"/>
      <c r="H120" s="56"/>
      <c r="I120" s="2"/>
      <c r="J120" s="2"/>
      <c r="K120" s="2"/>
      <c r="L120" s="2"/>
      <c r="M120" s="2"/>
      <c r="N120" s="2"/>
      <c r="O120" s="2"/>
      <c r="P120" s="2"/>
      <c r="Q120" s="3"/>
      <c r="R120" s="9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116</v>
      </c>
      <c r="B121" s="50">
        <v>0.0</v>
      </c>
      <c r="C121" s="50">
        <v>0.0</v>
      </c>
      <c r="D121" s="49">
        <v>200000.0</v>
      </c>
      <c r="E121" s="49">
        <v>0.0</v>
      </c>
      <c r="F121" s="2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117</v>
      </c>
      <c r="B122" s="50">
        <v>0.0</v>
      </c>
      <c r="C122" s="50">
        <v>0.0</v>
      </c>
      <c r="D122" s="49">
        <v>0.0</v>
      </c>
      <c r="E122" s="49">
        <v>0.0</v>
      </c>
      <c r="F122" s="26"/>
      <c r="G122" s="2"/>
      <c r="H122" s="56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3" t="s">
        <v>118</v>
      </c>
      <c r="B123" s="50">
        <v>0.0</v>
      </c>
      <c r="C123" s="50">
        <v>0.0</v>
      </c>
      <c r="D123" s="49">
        <v>0.0</v>
      </c>
      <c r="E123" s="49">
        <v>0.0</v>
      </c>
      <c r="F123" s="2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119</v>
      </c>
      <c r="B124" s="50">
        <v>0.0</v>
      </c>
      <c r="C124" s="50">
        <v>0.0</v>
      </c>
      <c r="D124" s="49">
        <v>0.0</v>
      </c>
      <c r="E124" s="49">
        <v>0.0</v>
      </c>
      <c r="F124" s="2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9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120</v>
      </c>
      <c r="B125" s="50">
        <v>0.0</v>
      </c>
      <c r="C125" s="50">
        <v>0.0</v>
      </c>
      <c r="D125" s="49">
        <v>0.0</v>
      </c>
      <c r="E125" s="49">
        <v>0.0</v>
      </c>
      <c r="F125" s="2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9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121</v>
      </c>
      <c r="B126" s="50">
        <v>0.0</v>
      </c>
      <c r="C126" s="50">
        <v>0.0</v>
      </c>
      <c r="D126" s="49">
        <v>0.0</v>
      </c>
      <c r="E126" s="49">
        <v>0.0</v>
      </c>
      <c r="F126" s="2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3" t="s">
        <v>122</v>
      </c>
      <c r="B127" s="49">
        <v>0.0</v>
      </c>
      <c r="C127" s="49">
        <v>0.0</v>
      </c>
      <c r="D127" s="49">
        <v>0.0</v>
      </c>
      <c r="E127" s="49">
        <v>0.0</v>
      </c>
      <c r="F127" s="2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13" t="s">
        <v>230</v>
      </c>
      <c r="B128" s="49">
        <v>0.0</v>
      </c>
      <c r="C128" s="49">
        <v>0.0</v>
      </c>
      <c r="D128" s="49">
        <v>0.0</v>
      </c>
      <c r="E128" s="49">
        <v>0.0</v>
      </c>
      <c r="F128" s="2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123</v>
      </c>
      <c r="B129" s="49">
        <v>0.0</v>
      </c>
      <c r="C129" s="49">
        <v>0.0</v>
      </c>
      <c r="D129" s="49">
        <v>0.0</v>
      </c>
      <c r="E129" s="49">
        <v>0.0</v>
      </c>
      <c r="F129" s="2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124</v>
      </c>
      <c r="B130" s="49">
        <v>0.0</v>
      </c>
      <c r="C130" s="49">
        <v>0.0</v>
      </c>
      <c r="D130" s="49">
        <v>0.0</v>
      </c>
      <c r="E130" s="49">
        <v>0.0</v>
      </c>
      <c r="F130" s="2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125</v>
      </c>
      <c r="B131" s="50">
        <v>0.0</v>
      </c>
      <c r="C131" s="50">
        <v>0.0</v>
      </c>
      <c r="D131" s="49">
        <v>0.0</v>
      </c>
      <c r="E131" s="49">
        <v>0.0</v>
      </c>
      <c r="F131" s="2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126</v>
      </c>
      <c r="B132" s="49">
        <v>0.0</v>
      </c>
      <c r="C132" s="49">
        <v>0.0</v>
      </c>
      <c r="D132" s="49">
        <v>0.0</v>
      </c>
      <c r="E132" s="49">
        <v>0.0</v>
      </c>
      <c r="F132" s="2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127</v>
      </c>
      <c r="B133" s="49">
        <v>0.0</v>
      </c>
      <c r="C133" s="49">
        <v>0.0</v>
      </c>
      <c r="D133" s="49">
        <v>0.0</v>
      </c>
      <c r="E133" s="49">
        <v>0.0</v>
      </c>
      <c r="F133" s="2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128</v>
      </c>
      <c r="B134" s="49">
        <v>0.0</v>
      </c>
      <c r="C134" s="49">
        <v>0.0</v>
      </c>
      <c r="D134" s="49">
        <v>0.0</v>
      </c>
      <c r="E134" s="49">
        <v>0.0</v>
      </c>
      <c r="F134" s="2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3" t="s">
        <v>129</v>
      </c>
      <c r="B135" s="49">
        <v>0.0</v>
      </c>
      <c r="C135" s="49">
        <v>0.0</v>
      </c>
      <c r="D135" s="49">
        <v>0.0</v>
      </c>
      <c r="E135" s="49">
        <v>0.0</v>
      </c>
      <c r="F135" s="2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57"/>
      <c r="B136" s="49"/>
      <c r="C136" s="49"/>
      <c r="D136" s="49"/>
      <c r="E136" s="49"/>
      <c r="F136" s="2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3" t="s">
        <v>130</v>
      </c>
      <c r="B137" s="50">
        <v>0.0</v>
      </c>
      <c r="C137" s="50">
        <f>SUM(C110:C134)*0.6%</f>
        <v>2540.7</v>
      </c>
      <c r="D137" s="50">
        <f>SUM(D110:D135)*0.6%</f>
        <v>5700</v>
      </c>
      <c r="E137" s="50">
        <f>(E114*0.6%)+(E115*0.6%)+(E116*0.6%)+(E119*0.6%)+(E120*0.6%)</f>
        <v>0</v>
      </c>
      <c r="F137" s="2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13" t="s">
        <v>131</v>
      </c>
      <c r="B138" s="50">
        <v>0.0</v>
      </c>
      <c r="C138" s="50">
        <v>0.0</v>
      </c>
      <c r="D138" s="50"/>
      <c r="E138" s="50">
        <f>SUM(E111:E136)*0.6%+(E139*0.6%)</f>
        <v>0</v>
      </c>
      <c r="F138" s="5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57"/>
      <c r="B139" s="57"/>
      <c r="C139" s="26"/>
      <c r="D139" s="2"/>
      <c r="E139" s="26"/>
      <c r="F139" s="2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59" t="s">
        <v>132</v>
      </c>
      <c r="B140" s="60">
        <f>SUM(B110:B139)</f>
        <v>140200</v>
      </c>
      <c r="C140" s="60">
        <f>SUM(C110:C137)</f>
        <v>425990.7</v>
      </c>
      <c r="D140" s="60">
        <f>SUM(D110:D138)</f>
        <v>955700</v>
      </c>
      <c r="E140" s="60">
        <f>E121+E125+E137-E138</f>
        <v>0</v>
      </c>
      <c r="F140" s="61" t="str">
        <f>F114</f>
        <v/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57"/>
      <c r="B141" s="57"/>
      <c r="C141" s="26"/>
      <c r="D141" s="26"/>
      <c r="E141" s="26"/>
      <c r="F141" s="2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59" t="s">
        <v>133</v>
      </c>
      <c r="B142" s="62">
        <f>B107-B140</f>
        <v>217337.25</v>
      </c>
      <c r="C142" s="63">
        <f>C107-C140+C138</f>
        <v>1390465.878</v>
      </c>
      <c r="D142" s="63">
        <f>D107-D140+15816.83</f>
        <v>2388443.928</v>
      </c>
      <c r="E142" s="64">
        <f t="shared" ref="E142:F142" si="17">E107-E140</f>
        <v>0</v>
      </c>
      <c r="F142" s="77">
        <f t="shared" si="17"/>
        <v>637428.4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65" t="s">
        <v>134</v>
      </c>
      <c r="B144" s="66">
        <f>214777.25-1000-2800-B114</f>
        <v>78977.25</v>
      </c>
      <c r="C144" s="46"/>
      <c r="D144" s="46"/>
      <c r="E144" s="46"/>
      <c r="F144" s="4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9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65" t="s">
        <v>135</v>
      </c>
      <c r="B145" s="66">
        <f>114960+B99-3000-1400</f>
        <v>138360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46" t="s">
        <v>2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46">
        <f>SUM(B144:B145)</f>
        <v>217337.25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9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9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9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9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9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9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9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9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9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9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9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9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3"/>
      <c r="T221" s="3"/>
      <c r="U221" s="9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9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9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9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9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9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9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3"/>
      <c r="T263" s="3"/>
      <c r="U263" s="9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9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9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46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46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46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46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46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46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46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46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46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46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46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46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46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9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46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46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46"/>
      <c r="R308" s="46"/>
      <c r="S308" s="3"/>
      <c r="T308" s="3"/>
      <c r="U308" s="9"/>
      <c r="V308" s="3"/>
      <c r="W308" s="3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9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9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46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46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46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46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46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46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46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9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9"/>
      <c r="T354" s="3"/>
      <c r="U354" s="2"/>
      <c r="V354" s="3"/>
      <c r="W354" s="3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9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9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9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9"/>
      <c r="T371" s="3"/>
      <c r="U371" s="2"/>
      <c r="V371" s="3"/>
      <c r="W371" s="3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9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9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9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9"/>
      <c r="T382" s="3"/>
      <c r="U382" s="2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9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9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3"/>
      <c r="T398" s="3"/>
      <c r="U398" s="9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9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3"/>
      <c r="T412" s="9"/>
      <c r="U412" s="2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9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9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9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3"/>
      <c r="T424" s="9"/>
      <c r="U424" s="2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9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67"/>
      <c r="R439" s="2"/>
      <c r="S439" s="2"/>
      <c r="T439" s="3"/>
      <c r="U439" s="2"/>
      <c r="V439" s="2"/>
      <c r="W439" s="2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3"/>
      <c r="T440" s="3"/>
      <c r="U440" s="3"/>
      <c r="V440" s="2"/>
      <c r="W440" s="2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8"/>
      <c r="R442" s="38"/>
      <c r="S442" s="38"/>
      <c r="T442" s="38"/>
      <c r="U442" s="38"/>
      <c r="V442" s="38"/>
      <c r="W442" s="38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3"/>
      <c r="T443" s="3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"/>
      <c r="R444" s="2"/>
      <c r="S444" s="3"/>
      <c r="T444" s="3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68"/>
      <c r="R446" s="69"/>
      <c r="S446" s="70"/>
      <c r="T446" s="70"/>
      <c r="U446" s="70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1"/>
      <c r="R447" s="71"/>
      <c r="S447" s="71"/>
      <c r="T447" s="71"/>
      <c r="U447" s="71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"/>
      <c r="R448" s="46"/>
      <c r="S448" s="46"/>
      <c r="T448" s="46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"/>
      <c r="R450" s="46"/>
      <c r="S450" s="46"/>
      <c r="T450" s="46"/>
      <c r="U450" s="46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6"/>
      <c r="R451" s="46"/>
      <c r="S451" s="46"/>
      <c r="T451" s="46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6"/>
      <c r="R453" s="46"/>
      <c r="S453" s="46"/>
      <c r="T453" s="46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46"/>
      <c r="S454" s="46"/>
      <c r="T454" s="46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2"/>
      <c r="R455" s="72"/>
      <c r="S455" s="72"/>
      <c r="T455" s="72"/>
      <c r="U455" s="73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2"/>
      <c r="S456" s="3"/>
      <c r="T456" s="3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56"/>
      <c r="R458" s="56"/>
      <c r="S458" s="56"/>
      <c r="T458" s="56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56"/>
      <c r="R459" s="56"/>
      <c r="S459" s="56"/>
      <c r="T459" s="56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56"/>
      <c r="R460" s="56"/>
      <c r="S460" s="56"/>
      <c r="T460" s="56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56"/>
      <c r="R461" s="56"/>
      <c r="S461" s="56"/>
      <c r="T461" s="56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56"/>
      <c r="R462" s="56"/>
      <c r="S462" s="56"/>
      <c r="T462" s="56"/>
      <c r="U462" s="2"/>
      <c r="V462" s="2"/>
      <c r="W462" s="56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56"/>
      <c r="R463" s="56"/>
      <c r="S463" s="56"/>
      <c r="T463" s="56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56"/>
      <c r="R464" s="56"/>
      <c r="S464" s="56"/>
      <c r="T464" s="56"/>
      <c r="U464" s="2"/>
      <c r="V464" s="2"/>
      <c r="W464" s="56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56"/>
      <c r="R465" s="56"/>
      <c r="S465" s="56"/>
      <c r="T465" s="56"/>
      <c r="U465" s="2"/>
      <c r="V465" s="2"/>
      <c r="W465" s="56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46"/>
      <c r="R466" s="46"/>
      <c r="S466" s="46"/>
      <c r="T466" s="46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6"/>
      <c r="R467" s="46"/>
      <c r="S467" s="46"/>
      <c r="T467" s="46"/>
      <c r="U467" s="2"/>
      <c r="V467" s="2"/>
      <c r="W467" s="56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46"/>
      <c r="R468" s="46"/>
      <c r="S468" s="46"/>
      <c r="T468" s="46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46"/>
      <c r="R469" s="46"/>
      <c r="S469" s="46"/>
      <c r="T469" s="46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6"/>
      <c r="R470" s="46"/>
      <c r="S470" s="46"/>
      <c r="T470" s="46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46"/>
      <c r="R471" s="46"/>
      <c r="S471" s="46"/>
      <c r="T471" s="46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46"/>
      <c r="R472" s="46"/>
      <c r="S472" s="46"/>
      <c r="T472" s="46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46"/>
      <c r="R473" s="46"/>
      <c r="S473" s="46"/>
      <c r="T473" s="46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46"/>
      <c r="R474" s="46"/>
      <c r="S474" s="46"/>
      <c r="T474" s="46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"/>
      <c r="R475" s="46"/>
      <c r="S475" s="46"/>
      <c r="T475" s="46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2"/>
      <c r="R477" s="72"/>
      <c r="S477" s="72"/>
      <c r="T477" s="72"/>
      <c r="U477" s="73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1"/>
      <c r="R479" s="72"/>
      <c r="S479" s="72"/>
      <c r="T479" s="74"/>
      <c r="U479" s="74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46"/>
      <c r="R481" s="46"/>
      <c r="S481" s="46"/>
      <c r="T481" s="46"/>
      <c r="U481" s="46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6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</sheetData>
  <mergeCells count="7">
    <mergeCell ref="A90:B90"/>
    <mergeCell ref="U94:W94"/>
    <mergeCell ref="A95:A96"/>
    <mergeCell ref="A98:F98"/>
    <mergeCell ref="A109:F109"/>
    <mergeCell ref="U150:W150"/>
    <mergeCell ref="U185:W185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269</v>
      </c>
      <c r="F3" s="7">
        <v>46044.0</v>
      </c>
      <c r="G3" s="3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5.0</v>
      </c>
      <c r="B6" s="12" t="s">
        <v>13</v>
      </c>
      <c r="C6" s="14" t="s">
        <v>15</v>
      </c>
      <c r="D6" s="15">
        <v>35000.0</v>
      </c>
      <c r="E6" s="15">
        <f t="shared" ref="E6:E9" si="1">A6*D6</f>
        <v>175000</v>
      </c>
      <c r="F6" s="15">
        <f t="shared" ref="F6:F9" si="2">E6*1.105</f>
        <v>193375</v>
      </c>
      <c r="G6" s="3"/>
      <c r="H6" s="3" t="s">
        <v>2</v>
      </c>
      <c r="I6" s="16">
        <f>131000/5</f>
        <v>26200</v>
      </c>
      <c r="J6" s="15">
        <f t="shared" ref="J6:J9" si="3">I6*A6</f>
        <v>131000</v>
      </c>
      <c r="K6" s="15">
        <f t="shared" ref="K6:K9" si="4">F6-J6</f>
        <v>62375</v>
      </c>
      <c r="L6" s="25" t="s">
        <v>2</v>
      </c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1.0</v>
      </c>
      <c r="B7" s="12" t="s">
        <v>13</v>
      </c>
      <c r="C7" s="14" t="s">
        <v>207</v>
      </c>
      <c r="D7" s="15">
        <v>32000.0</v>
      </c>
      <c r="E7" s="15">
        <f t="shared" si="1"/>
        <v>32000</v>
      </c>
      <c r="F7" s="15">
        <f t="shared" si="2"/>
        <v>35360</v>
      </c>
      <c r="G7" s="3"/>
      <c r="H7" s="3" t="s">
        <v>2</v>
      </c>
      <c r="I7" s="16">
        <v>25000.0</v>
      </c>
      <c r="J7" s="15">
        <f t="shared" si="3"/>
        <v>25000</v>
      </c>
      <c r="K7" s="15">
        <f t="shared" si="4"/>
        <v>10360</v>
      </c>
      <c r="L7" s="25" t="s">
        <v>2</v>
      </c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13</v>
      </c>
      <c r="C8" s="14" t="s">
        <v>270</v>
      </c>
      <c r="D8" s="15">
        <v>25000.0</v>
      </c>
      <c r="E8" s="15">
        <f t="shared" si="1"/>
        <v>25000</v>
      </c>
      <c r="F8" s="15">
        <f t="shared" si="2"/>
        <v>27625</v>
      </c>
      <c r="G8" s="3"/>
      <c r="H8" s="3" t="s">
        <v>2</v>
      </c>
      <c r="I8" s="16">
        <v>0.0</v>
      </c>
      <c r="J8" s="15">
        <f t="shared" si="3"/>
        <v>0</v>
      </c>
      <c r="K8" s="15">
        <f t="shared" si="4"/>
        <v>27625</v>
      </c>
      <c r="L8" s="25" t="s">
        <v>2</v>
      </c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2.0</v>
      </c>
      <c r="B9" s="12" t="s">
        <v>13</v>
      </c>
      <c r="C9" s="14" t="s">
        <v>155</v>
      </c>
      <c r="D9" s="15">
        <v>28000.0</v>
      </c>
      <c r="E9" s="15">
        <f t="shared" si="1"/>
        <v>56000</v>
      </c>
      <c r="F9" s="15">
        <f t="shared" si="2"/>
        <v>61880</v>
      </c>
      <c r="G9" s="3"/>
      <c r="H9" s="3" t="s">
        <v>2</v>
      </c>
      <c r="I9" s="16">
        <v>23000.0</v>
      </c>
      <c r="J9" s="15">
        <f t="shared" si="3"/>
        <v>46000</v>
      </c>
      <c r="K9" s="15">
        <f t="shared" si="4"/>
        <v>15880</v>
      </c>
      <c r="L9" s="25" t="s">
        <v>2</v>
      </c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/>
      <c r="B10" s="12"/>
      <c r="C10" s="14"/>
      <c r="D10" s="15"/>
      <c r="E10" s="15"/>
      <c r="F10" s="15"/>
      <c r="G10" s="3"/>
      <c r="H10" s="3"/>
      <c r="I10" s="3"/>
      <c r="J10" s="3"/>
      <c r="K10" s="15"/>
      <c r="L10" s="22"/>
      <c r="M10" s="2"/>
      <c r="N10" s="21"/>
      <c r="P10" s="21"/>
      <c r="Q10" s="21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/>
      <c r="B11" s="12"/>
      <c r="C11" s="14"/>
      <c r="D11" s="15"/>
      <c r="E11" s="15">
        <f t="shared" ref="E11:F11" si="5">SUM(E6:E9)</f>
        <v>288000</v>
      </c>
      <c r="F11" s="15">
        <f t="shared" si="5"/>
        <v>318240</v>
      </c>
      <c r="G11" s="3"/>
      <c r="H11" s="3"/>
      <c r="I11" s="3"/>
      <c r="J11" s="3"/>
      <c r="K11" s="15">
        <f>SUM(K6:K9)</f>
        <v>116240</v>
      </c>
      <c r="L11" s="22">
        <f>K11/F11</f>
        <v>0.3652589241</v>
      </c>
      <c r="M11" s="2"/>
      <c r="N11" s="21"/>
      <c r="P11" s="21"/>
      <c r="Q11" s="21"/>
      <c r="R11" s="2"/>
      <c r="S11" s="3"/>
      <c r="T11" s="3"/>
      <c r="U11" s="1"/>
      <c r="V11" s="3"/>
      <c r="W11" s="3"/>
      <c r="X11" s="3"/>
      <c r="Y11" s="3"/>
      <c r="Z11" s="3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23"/>
      <c r="B13" s="23"/>
      <c r="C13" s="23"/>
      <c r="D13" s="7"/>
      <c r="E13" s="24"/>
      <c r="F13" s="7"/>
      <c r="G13" s="6"/>
      <c r="H13" s="3"/>
      <c r="I13" s="8"/>
      <c r="J13" s="8"/>
      <c r="K13" s="8"/>
      <c r="L13" s="4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23" t="s">
        <v>158</v>
      </c>
      <c r="B14" s="23"/>
      <c r="C14" s="23"/>
      <c r="D14" s="25" t="s">
        <v>171</v>
      </c>
      <c r="E14" s="7">
        <v>46044.0</v>
      </c>
      <c r="F14" s="28"/>
      <c r="G14" s="24"/>
      <c r="H14" s="24"/>
      <c r="I14" s="16"/>
      <c r="J14" s="16"/>
      <c r="K14" s="16"/>
      <c r="L14" s="29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B15" s="24"/>
      <c r="C15" s="26"/>
      <c r="D15" s="24"/>
      <c r="E15" s="24"/>
      <c r="F15" s="24"/>
      <c r="G15" s="24"/>
      <c r="H15" s="24"/>
      <c r="I15" s="16"/>
      <c r="J15" s="16"/>
      <c r="K15" s="16"/>
      <c r="L15" s="29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5" t="s">
        <v>4</v>
      </c>
      <c r="B16" s="10" t="s">
        <v>5</v>
      </c>
      <c r="C16" s="11" t="s">
        <v>6</v>
      </c>
      <c r="D16" s="12" t="s">
        <v>7</v>
      </c>
      <c r="E16" s="10" t="s">
        <v>8</v>
      </c>
      <c r="F16" s="12"/>
      <c r="G16" s="24"/>
      <c r="H16" s="24"/>
      <c r="I16" s="12" t="s">
        <v>7</v>
      </c>
      <c r="J16" s="12" t="s">
        <v>8</v>
      </c>
      <c r="K16" s="12" t="s">
        <v>10</v>
      </c>
      <c r="L16" s="29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4.0</v>
      </c>
      <c r="B17" s="12" t="s">
        <v>146</v>
      </c>
      <c r="C17" s="14" t="s">
        <v>77</v>
      </c>
      <c r="D17" s="15">
        <v>1200.0</v>
      </c>
      <c r="E17" s="15">
        <f t="shared" ref="E17:E46" si="6">A17*D17</f>
        <v>4800</v>
      </c>
      <c r="F17" s="16"/>
      <c r="G17" s="24"/>
      <c r="H17" s="24"/>
      <c r="I17" s="16">
        <v>1200.0</v>
      </c>
      <c r="J17" s="16">
        <f t="shared" ref="J17:J46" si="7">I17*A17</f>
        <v>4800</v>
      </c>
      <c r="K17" s="16">
        <f t="shared" ref="K17:K46" si="8">E17-J17</f>
        <v>0</v>
      </c>
      <c r="L17" s="31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5</v>
      </c>
      <c r="C18" s="14" t="s">
        <v>49</v>
      </c>
      <c r="D18" s="15">
        <v>2000.0</v>
      </c>
      <c r="E18" s="15">
        <f t="shared" si="6"/>
        <v>2000</v>
      </c>
      <c r="F18" s="16"/>
      <c r="G18" s="24"/>
      <c r="H18" s="24"/>
      <c r="I18" s="16">
        <v>2000.0</v>
      </c>
      <c r="J18" s="16">
        <f t="shared" si="7"/>
        <v>2000</v>
      </c>
      <c r="K18" s="16">
        <f t="shared" si="8"/>
        <v>0</v>
      </c>
      <c r="L18" s="31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3.0</v>
      </c>
      <c r="B19" s="12" t="s">
        <v>5</v>
      </c>
      <c r="C19" s="14" t="s">
        <v>69</v>
      </c>
      <c r="D19" s="15">
        <v>1200.0</v>
      </c>
      <c r="E19" s="15">
        <f t="shared" si="6"/>
        <v>3600</v>
      </c>
      <c r="F19" s="16"/>
      <c r="G19" s="24"/>
      <c r="H19" s="24"/>
      <c r="I19" s="16">
        <v>560.0</v>
      </c>
      <c r="J19" s="16">
        <f t="shared" si="7"/>
        <v>1680</v>
      </c>
      <c r="K19" s="16">
        <f t="shared" si="8"/>
        <v>1920</v>
      </c>
      <c r="L19" s="31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4.0</v>
      </c>
      <c r="B20" s="12" t="s">
        <v>17</v>
      </c>
      <c r="C20" s="14" t="s">
        <v>86</v>
      </c>
      <c r="D20" s="15">
        <v>1500.0</v>
      </c>
      <c r="E20" s="15">
        <f t="shared" si="6"/>
        <v>6000</v>
      </c>
      <c r="F20" s="16"/>
      <c r="G20" s="24"/>
      <c r="H20" s="24"/>
      <c r="I20" s="16">
        <f>11000/11</f>
        <v>1000</v>
      </c>
      <c r="J20" s="16">
        <f t="shared" si="7"/>
        <v>4000</v>
      </c>
      <c r="K20" s="16">
        <f t="shared" si="8"/>
        <v>2000</v>
      </c>
      <c r="L20" s="31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4.0</v>
      </c>
      <c r="B21" s="12" t="s">
        <v>17</v>
      </c>
      <c r="C21" s="14" t="s">
        <v>159</v>
      </c>
      <c r="D21" s="15">
        <v>3800.0</v>
      </c>
      <c r="E21" s="15">
        <f t="shared" si="6"/>
        <v>15200</v>
      </c>
      <c r="F21" s="16"/>
      <c r="G21" s="24"/>
      <c r="H21" s="24"/>
      <c r="I21" s="16">
        <f>23500/11</f>
        <v>2136.363636</v>
      </c>
      <c r="J21" s="16">
        <f t="shared" si="7"/>
        <v>8545.454545</v>
      </c>
      <c r="K21" s="16">
        <f t="shared" si="8"/>
        <v>6654.545455</v>
      </c>
      <c r="L21" s="31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2.0</v>
      </c>
      <c r="B22" s="12" t="s">
        <v>17</v>
      </c>
      <c r="C22" s="14" t="s">
        <v>161</v>
      </c>
      <c r="D22" s="15">
        <v>5000.0</v>
      </c>
      <c r="E22" s="15">
        <f t="shared" si="6"/>
        <v>10000</v>
      </c>
      <c r="F22" s="16"/>
      <c r="G22" s="24"/>
      <c r="H22" s="24"/>
      <c r="I22" s="16">
        <v>5000.0</v>
      </c>
      <c r="J22" s="16">
        <f t="shared" si="7"/>
        <v>10000</v>
      </c>
      <c r="K22" s="16">
        <f t="shared" si="8"/>
        <v>0</v>
      </c>
      <c r="L22" s="31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2.0</v>
      </c>
      <c r="B23" s="12" t="s">
        <v>17</v>
      </c>
      <c r="C23" s="14" t="s">
        <v>271</v>
      </c>
      <c r="D23" s="15">
        <v>3000.0</v>
      </c>
      <c r="E23" s="15">
        <f t="shared" si="6"/>
        <v>6000</v>
      </c>
      <c r="F23" s="16"/>
      <c r="G23" s="24"/>
      <c r="H23" s="24"/>
      <c r="I23" s="16">
        <f>10000/8</f>
        <v>1250</v>
      </c>
      <c r="J23" s="16">
        <f t="shared" si="7"/>
        <v>2500</v>
      </c>
      <c r="K23" s="16">
        <f t="shared" si="8"/>
        <v>3500</v>
      </c>
      <c r="L23" s="31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1.0</v>
      </c>
      <c r="B24" s="12" t="s">
        <v>17</v>
      </c>
      <c r="C24" s="14" t="s">
        <v>79</v>
      </c>
      <c r="D24" s="15">
        <v>3500.0</v>
      </c>
      <c r="E24" s="15">
        <f t="shared" si="6"/>
        <v>3500</v>
      </c>
      <c r="F24" s="16"/>
      <c r="G24" s="24"/>
      <c r="H24" s="24"/>
      <c r="I24" s="16">
        <v>3000.0</v>
      </c>
      <c r="J24" s="16">
        <f t="shared" si="7"/>
        <v>3000</v>
      </c>
      <c r="K24" s="16">
        <f t="shared" si="8"/>
        <v>500</v>
      </c>
      <c r="L24" s="31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2.0</v>
      </c>
      <c r="B25" s="12" t="s">
        <v>5</v>
      </c>
      <c r="C25" s="14" t="s">
        <v>38</v>
      </c>
      <c r="D25" s="15">
        <v>1300.0</v>
      </c>
      <c r="E25" s="15">
        <f t="shared" si="6"/>
        <v>2600</v>
      </c>
      <c r="F25" s="16"/>
      <c r="G25" s="24"/>
      <c r="H25" s="24"/>
      <c r="I25" s="16">
        <f>67000/70</f>
        <v>957.1428571</v>
      </c>
      <c r="J25" s="16">
        <f t="shared" si="7"/>
        <v>1914.285714</v>
      </c>
      <c r="K25" s="16">
        <f t="shared" si="8"/>
        <v>685.7142857</v>
      </c>
      <c r="L25" s="31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0.5</v>
      </c>
      <c r="B26" s="12" t="s">
        <v>146</v>
      </c>
      <c r="C26" s="14" t="s">
        <v>53</v>
      </c>
      <c r="D26" s="15">
        <v>3500.0</v>
      </c>
      <c r="E26" s="15">
        <f t="shared" si="6"/>
        <v>1750</v>
      </c>
      <c r="F26" s="16"/>
      <c r="G26" s="24"/>
      <c r="H26" s="24"/>
      <c r="I26" s="16">
        <v>2000.0</v>
      </c>
      <c r="J26" s="16">
        <f t="shared" si="7"/>
        <v>1000</v>
      </c>
      <c r="K26" s="16">
        <f t="shared" si="8"/>
        <v>750</v>
      </c>
      <c r="L26" s="31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5.0</v>
      </c>
      <c r="B27" s="12" t="s">
        <v>17</v>
      </c>
      <c r="C27" s="14" t="s">
        <v>33</v>
      </c>
      <c r="D27" s="15">
        <v>2000.0</v>
      </c>
      <c r="E27" s="15">
        <f t="shared" si="6"/>
        <v>10000</v>
      </c>
      <c r="F27" s="16"/>
      <c r="G27" s="24"/>
      <c r="H27" s="24"/>
      <c r="I27" s="16">
        <v>1400.0</v>
      </c>
      <c r="J27" s="16">
        <f t="shared" si="7"/>
        <v>7000</v>
      </c>
      <c r="K27" s="16">
        <f t="shared" si="8"/>
        <v>3000</v>
      </c>
      <c r="L27" s="31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6.0</v>
      </c>
      <c r="B28" s="12" t="s">
        <v>146</v>
      </c>
      <c r="C28" s="14" t="s">
        <v>147</v>
      </c>
      <c r="D28" s="15">
        <v>500.0</v>
      </c>
      <c r="E28" s="15">
        <f t="shared" si="6"/>
        <v>3000</v>
      </c>
      <c r="F28" s="16"/>
      <c r="G28" s="24"/>
      <c r="H28" s="24"/>
      <c r="I28" s="16">
        <v>300.0</v>
      </c>
      <c r="J28" s="16">
        <f t="shared" si="7"/>
        <v>1800</v>
      </c>
      <c r="K28" s="16">
        <f t="shared" si="8"/>
        <v>1200</v>
      </c>
      <c r="L28" s="31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6.0</v>
      </c>
      <c r="B29" s="12" t="s">
        <v>17</v>
      </c>
      <c r="C29" s="14" t="s">
        <v>162</v>
      </c>
      <c r="D29" s="15">
        <v>3500.0</v>
      </c>
      <c r="E29" s="15">
        <f t="shared" si="6"/>
        <v>21000</v>
      </c>
      <c r="F29" s="16"/>
      <c r="G29" s="24"/>
      <c r="H29" s="24"/>
      <c r="I29" s="16">
        <f>40000/15</f>
        <v>2666.666667</v>
      </c>
      <c r="J29" s="16">
        <f t="shared" si="7"/>
        <v>16000</v>
      </c>
      <c r="K29" s="16">
        <f t="shared" si="8"/>
        <v>5000</v>
      </c>
      <c r="L29" s="31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146</v>
      </c>
      <c r="C30" s="14" t="s">
        <v>272</v>
      </c>
      <c r="D30" s="15">
        <v>5000.0</v>
      </c>
      <c r="E30" s="15">
        <f t="shared" si="6"/>
        <v>5000</v>
      </c>
      <c r="F30" s="16"/>
      <c r="G30" s="24"/>
      <c r="H30" s="24"/>
      <c r="I30" s="16">
        <v>5000.0</v>
      </c>
      <c r="J30" s="16">
        <f t="shared" si="7"/>
        <v>5000</v>
      </c>
      <c r="K30" s="16">
        <f t="shared" si="8"/>
        <v>0</v>
      </c>
      <c r="L30" s="31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4.0</v>
      </c>
      <c r="B31" s="12" t="s">
        <v>17</v>
      </c>
      <c r="C31" s="14" t="s">
        <v>163</v>
      </c>
      <c r="D31" s="15">
        <v>2000.0</v>
      </c>
      <c r="E31" s="15">
        <f t="shared" si="6"/>
        <v>8000</v>
      </c>
      <c r="F31" s="16"/>
      <c r="G31" s="24"/>
      <c r="H31" s="24"/>
      <c r="I31" s="16">
        <v>2000.0</v>
      </c>
      <c r="J31" s="16">
        <f t="shared" si="7"/>
        <v>8000</v>
      </c>
      <c r="K31" s="16">
        <f t="shared" si="8"/>
        <v>0</v>
      </c>
      <c r="L31" s="31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2.0</v>
      </c>
      <c r="B32" s="12" t="s">
        <v>17</v>
      </c>
      <c r="C32" s="14" t="s">
        <v>190</v>
      </c>
      <c r="D32" s="15">
        <v>2000.0</v>
      </c>
      <c r="E32" s="15">
        <f t="shared" si="6"/>
        <v>4000</v>
      </c>
      <c r="F32" s="16"/>
      <c r="G32" s="24"/>
      <c r="H32" s="24"/>
      <c r="I32" s="16">
        <f>18000/14</f>
        <v>1285.714286</v>
      </c>
      <c r="J32" s="16">
        <f t="shared" si="7"/>
        <v>2571.428571</v>
      </c>
      <c r="K32" s="16">
        <f t="shared" si="8"/>
        <v>1428.571429</v>
      </c>
      <c r="L32" s="31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42</v>
      </c>
      <c r="C33" s="14" t="s">
        <v>76</v>
      </c>
      <c r="D33" s="15">
        <v>13000.0</v>
      </c>
      <c r="E33" s="15">
        <f t="shared" si="6"/>
        <v>13000</v>
      </c>
      <c r="F33" s="16"/>
      <c r="G33" s="24"/>
      <c r="H33" s="24"/>
      <c r="I33" s="16">
        <v>10000.0</v>
      </c>
      <c r="J33" s="16">
        <f t="shared" si="7"/>
        <v>10000</v>
      </c>
      <c r="K33" s="16">
        <f t="shared" si="8"/>
        <v>3000</v>
      </c>
      <c r="L33" s="31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0.5</v>
      </c>
      <c r="B34" s="12" t="s">
        <v>42</v>
      </c>
      <c r="C34" s="14" t="s">
        <v>66</v>
      </c>
      <c r="D34" s="15">
        <v>13000.0</v>
      </c>
      <c r="E34" s="15">
        <f t="shared" si="6"/>
        <v>6500</v>
      </c>
      <c r="F34" s="16"/>
      <c r="G34" s="24"/>
      <c r="H34" s="24"/>
      <c r="I34" s="16">
        <v>9000.0</v>
      </c>
      <c r="J34" s="16">
        <f t="shared" si="7"/>
        <v>4500</v>
      </c>
      <c r="K34" s="16">
        <f t="shared" si="8"/>
        <v>2000</v>
      </c>
      <c r="L34" s="31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1.0</v>
      </c>
      <c r="B35" s="12" t="s">
        <v>42</v>
      </c>
      <c r="C35" s="14" t="s">
        <v>70</v>
      </c>
      <c r="D35" s="15">
        <v>14000.0</v>
      </c>
      <c r="E35" s="15">
        <f t="shared" si="6"/>
        <v>14000</v>
      </c>
      <c r="F35" s="16"/>
      <c r="G35" s="24"/>
      <c r="H35" s="24"/>
      <c r="I35" s="16">
        <v>12000.0</v>
      </c>
      <c r="J35" s="16">
        <f t="shared" si="7"/>
        <v>12000</v>
      </c>
      <c r="K35" s="16">
        <f t="shared" si="8"/>
        <v>2000</v>
      </c>
      <c r="L35" s="31" t="s">
        <v>2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1.0</v>
      </c>
      <c r="B36" s="12" t="s">
        <v>42</v>
      </c>
      <c r="C36" s="14" t="s">
        <v>68</v>
      </c>
      <c r="D36" s="15">
        <v>13000.0</v>
      </c>
      <c r="E36" s="15">
        <f t="shared" si="6"/>
        <v>13000</v>
      </c>
      <c r="F36" s="16"/>
      <c r="G36" s="24"/>
      <c r="H36" s="24"/>
      <c r="I36" s="16">
        <v>9000.0</v>
      </c>
      <c r="J36" s="16">
        <f t="shared" si="7"/>
        <v>9000</v>
      </c>
      <c r="K36" s="16">
        <f t="shared" si="8"/>
        <v>4000</v>
      </c>
      <c r="L36" s="31" t="s">
        <v>2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0.5</v>
      </c>
      <c r="B37" s="12" t="s">
        <v>13</v>
      </c>
      <c r="C37" s="14" t="s">
        <v>19</v>
      </c>
      <c r="D37" s="15">
        <v>42000.0</v>
      </c>
      <c r="E37" s="15">
        <f t="shared" si="6"/>
        <v>21000</v>
      </c>
      <c r="F37" s="16"/>
      <c r="G37" s="24"/>
      <c r="H37" s="24"/>
      <c r="I37" s="16">
        <v>38000.0</v>
      </c>
      <c r="J37" s="16">
        <f t="shared" si="7"/>
        <v>19000</v>
      </c>
      <c r="K37" s="16">
        <f t="shared" si="8"/>
        <v>2000</v>
      </c>
      <c r="L37" s="31" t="s">
        <v>2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2.0</v>
      </c>
      <c r="B38" s="12" t="s">
        <v>17</v>
      </c>
      <c r="C38" s="14" t="s">
        <v>153</v>
      </c>
      <c r="D38" s="15">
        <v>4000.0</v>
      </c>
      <c r="E38" s="15">
        <f t="shared" si="6"/>
        <v>8000</v>
      </c>
      <c r="F38" s="16"/>
      <c r="G38" s="24"/>
      <c r="H38" s="24"/>
      <c r="I38" s="16">
        <v>4000.0</v>
      </c>
      <c r="J38" s="16">
        <f t="shared" si="7"/>
        <v>8000</v>
      </c>
      <c r="K38" s="16">
        <f t="shared" si="8"/>
        <v>0</v>
      </c>
      <c r="L38" s="31" t="s">
        <v>2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3.0</v>
      </c>
      <c r="B39" s="12" t="s">
        <v>17</v>
      </c>
      <c r="C39" s="14" t="s">
        <v>15</v>
      </c>
      <c r="D39" s="15">
        <v>4000.0</v>
      </c>
      <c r="E39" s="15">
        <f t="shared" si="6"/>
        <v>12000</v>
      </c>
      <c r="F39" s="16"/>
      <c r="G39" s="24"/>
      <c r="H39" s="24"/>
      <c r="I39" s="16">
        <v>0.0</v>
      </c>
      <c r="J39" s="16">
        <f t="shared" si="7"/>
        <v>0</v>
      </c>
      <c r="K39" s="16">
        <f t="shared" si="8"/>
        <v>12000</v>
      </c>
      <c r="L39" s="31" t="s">
        <v>2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3.0</v>
      </c>
      <c r="B40" s="12" t="s">
        <v>17</v>
      </c>
      <c r="C40" s="14" t="s">
        <v>45</v>
      </c>
      <c r="D40" s="15">
        <v>3000.0</v>
      </c>
      <c r="E40" s="15">
        <f t="shared" si="6"/>
        <v>9000</v>
      </c>
      <c r="F40" s="16"/>
      <c r="G40" s="24"/>
      <c r="H40" s="24"/>
      <c r="I40" s="16">
        <f>32000/15</f>
        <v>2133.333333</v>
      </c>
      <c r="J40" s="16">
        <f t="shared" si="7"/>
        <v>6400</v>
      </c>
      <c r="K40" s="16">
        <f t="shared" si="8"/>
        <v>2600</v>
      </c>
      <c r="L40" s="31" t="s">
        <v>2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1.0</v>
      </c>
      <c r="B41" s="12" t="s">
        <v>273</v>
      </c>
      <c r="C41" s="14" t="s">
        <v>72</v>
      </c>
      <c r="D41" s="15">
        <v>42000.0</v>
      </c>
      <c r="E41" s="15">
        <f t="shared" si="6"/>
        <v>42000</v>
      </c>
      <c r="F41" s="16"/>
      <c r="G41" s="24"/>
      <c r="H41" s="24"/>
      <c r="I41" s="16">
        <v>37000.0</v>
      </c>
      <c r="J41" s="16">
        <f t="shared" si="7"/>
        <v>37000</v>
      </c>
      <c r="K41" s="16">
        <f t="shared" si="8"/>
        <v>5000</v>
      </c>
      <c r="L41" s="31" t="s">
        <v>2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3.0</v>
      </c>
      <c r="B42" s="12" t="s">
        <v>17</v>
      </c>
      <c r="C42" s="14" t="s">
        <v>206</v>
      </c>
      <c r="D42" s="15">
        <v>5000.0</v>
      </c>
      <c r="E42" s="15">
        <f t="shared" si="6"/>
        <v>15000</v>
      </c>
      <c r="F42" s="16"/>
      <c r="G42" s="24"/>
      <c r="H42" s="24"/>
      <c r="I42" s="16">
        <f>40000/18</f>
        <v>2222.222222</v>
      </c>
      <c r="J42" s="16">
        <f t="shared" si="7"/>
        <v>6666.666667</v>
      </c>
      <c r="K42" s="16">
        <f t="shared" si="8"/>
        <v>8333.333333</v>
      </c>
      <c r="L42" s="31" t="s">
        <v>2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7.0</v>
      </c>
      <c r="B43" s="12" t="s">
        <v>17</v>
      </c>
      <c r="C43" s="14" t="s">
        <v>20</v>
      </c>
      <c r="D43" s="15">
        <v>1600.0</v>
      </c>
      <c r="E43" s="15">
        <f t="shared" si="6"/>
        <v>11200</v>
      </c>
      <c r="F43" s="16"/>
      <c r="G43" s="24"/>
      <c r="H43" s="24"/>
      <c r="I43" s="16">
        <v>1000.0</v>
      </c>
      <c r="J43" s="16">
        <f t="shared" si="7"/>
        <v>7000</v>
      </c>
      <c r="K43" s="16">
        <f t="shared" si="8"/>
        <v>4200</v>
      </c>
      <c r="L43" s="31" t="s">
        <v>2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2.0</v>
      </c>
      <c r="B44" s="12" t="s">
        <v>17</v>
      </c>
      <c r="C44" s="14" t="s">
        <v>243</v>
      </c>
      <c r="D44" s="15">
        <v>3300.0</v>
      </c>
      <c r="E44" s="15">
        <f t="shared" si="6"/>
        <v>6600</v>
      </c>
      <c r="F44" s="16"/>
      <c r="G44" s="24"/>
      <c r="H44" s="24"/>
      <c r="I44" s="16">
        <f>21000/9</f>
        <v>2333.333333</v>
      </c>
      <c r="J44" s="16">
        <f t="shared" si="7"/>
        <v>4666.666667</v>
      </c>
      <c r="K44" s="16">
        <f t="shared" si="8"/>
        <v>1933.333333</v>
      </c>
      <c r="L44" s="31" t="s">
        <v>2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2.0</v>
      </c>
      <c r="B45" s="12" t="s">
        <v>5</v>
      </c>
      <c r="C45" s="14" t="s">
        <v>155</v>
      </c>
      <c r="D45" s="15">
        <v>4000.0</v>
      </c>
      <c r="E45" s="15">
        <f t="shared" si="6"/>
        <v>8000</v>
      </c>
      <c r="F45" s="16"/>
      <c r="G45" s="24"/>
      <c r="H45" s="24"/>
      <c r="I45" s="16">
        <v>0.0</v>
      </c>
      <c r="J45" s="16">
        <f t="shared" si="7"/>
        <v>0</v>
      </c>
      <c r="K45" s="16">
        <f t="shared" si="8"/>
        <v>8000</v>
      </c>
      <c r="L45" s="31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2.0</v>
      </c>
      <c r="B46" s="12" t="s">
        <v>17</v>
      </c>
      <c r="C46" s="14" t="s">
        <v>220</v>
      </c>
      <c r="D46" s="15">
        <v>3500.0</v>
      </c>
      <c r="E46" s="15">
        <f t="shared" si="6"/>
        <v>7000</v>
      </c>
      <c r="F46" s="16"/>
      <c r="G46" s="24"/>
      <c r="H46" s="24"/>
      <c r="I46" s="16">
        <f>25000/8</f>
        <v>3125</v>
      </c>
      <c r="J46" s="16">
        <f t="shared" si="7"/>
        <v>6250</v>
      </c>
      <c r="K46" s="16">
        <f t="shared" si="8"/>
        <v>750</v>
      </c>
      <c r="L46" s="31" t="s">
        <v>2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/>
      <c r="B47" s="12"/>
      <c r="C47" s="14"/>
      <c r="D47" s="15"/>
      <c r="E47" s="16"/>
      <c r="F47" s="16"/>
      <c r="G47" s="24"/>
      <c r="H47" s="24"/>
      <c r="I47" s="16"/>
      <c r="J47" s="16"/>
      <c r="K47" s="16"/>
      <c r="L47" s="30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/>
      <c r="B48" s="12"/>
      <c r="C48" s="14"/>
      <c r="D48" s="15"/>
      <c r="E48" s="16">
        <f>SUM(E17:E46)</f>
        <v>292750</v>
      </c>
      <c r="F48" s="16"/>
      <c r="G48" s="24"/>
      <c r="H48" s="24"/>
      <c r="I48" s="16"/>
      <c r="J48" s="16"/>
      <c r="K48" s="16">
        <f>SUM(K17:K46)</f>
        <v>82455.49784</v>
      </c>
      <c r="L48" s="30">
        <f>K48/E48</f>
        <v>0.2816584042</v>
      </c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/>
      <c r="B49" s="12"/>
      <c r="C49" s="14"/>
      <c r="D49" s="15"/>
      <c r="E49" s="3"/>
      <c r="F49" s="3"/>
      <c r="G49" s="2"/>
      <c r="H49" s="2"/>
      <c r="I49" s="2"/>
      <c r="J49" s="2"/>
      <c r="K49" s="3"/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33"/>
      <c r="B50" s="34"/>
      <c r="C50" s="2"/>
      <c r="D50" s="3"/>
      <c r="E50" s="3"/>
      <c r="F50" s="3"/>
      <c r="G50" s="2"/>
      <c r="H50" s="2"/>
      <c r="I50" s="2"/>
      <c r="J50" s="2"/>
      <c r="K50" s="3"/>
      <c r="L50" s="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33"/>
      <c r="B51" s="34"/>
      <c r="C51" s="2"/>
      <c r="D51" s="3"/>
      <c r="E51" s="3"/>
      <c r="F51" s="3"/>
      <c r="G51" s="2"/>
      <c r="H51" s="2"/>
      <c r="I51" s="2"/>
      <c r="J51" s="2"/>
      <c r="K51" s="3"/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23" t="s">
        <v>229</v>
      </c>
      <c r="B52" s="23"/>
      <c r="C52" s="23"/>
      <c r="D52" s="25" t="s">
        <v>167</v>
      </c>
      <c r="E52" s="7">
        <v>46044.0</v>
      </c>
      <c r="G52" s="24"/>
      <c r="H52" s="24"/>
      <c r="I52" s="16"/>
      <c r="J52" s="16"/>
      <c r="K52" s="16"/>
      <c r="L52" s="29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B53" s="24"/>
      <c r="C53" s="26"/>
      <c r="D53" s="24"/>
      <c r="E53" s="24"/>
      <c r="F53" s="24"/>
      <c r="G53" s="24"/>
      <c r="H53" s="24"/>
      <c r="I53" s="16"/>
      <c r="J53" s="16"/>
      <c r="K53" s="16"/>
      <c r="L53" s="29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5" t="s">
        <v>4</v>
      </c>
      <c r="B54" s="10" t="s">
        <v>5</v>
      </c>
      <c r="C54" s="11" t="s">
        <v>6</v>
      </c>
      <c r="D54" s="12" t="s">
        <v>7</v>
      </c>
      <c r="E54" s="10" t="s">
        <v>8</v>
      </c>
      <c r="F54" s="10" t="s">
        <v>9</v>
      </c>
      <c r="G54" s="24"/>
      <c r="H54" s="24"/>
      <c r="I54" s="12" t="s">
        <v>7</v>
      </c>
      <c r="J54" s="12" t="s">
        <v>8</v>
      </c>
      <c r="K54" s="12" t="s">
        <v>10</v>
      </c>
      <c r="L54" s="29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3.0</v>
      </c>
      <c r="B55" s="12" t="s">
        <v>17</v>
      </c>
      <c r="C55" s="14" t="s">
        <v>19</v>
      </c>
      <c r="D55" s="15">
        <v>3000.0</v>
      </c>
      <c r="E55" s="15">
        <f t="shared" ref="E55:E61" si="9">A55*D55</f>
        <v>9000</v>
      </c>
      <c r="F55" s="15">
        <f t="shared" ref="F55:F60" si="10">E55*1.105</f>
        <v>9945</v>
      </c>
      <c r="G55" s="24"/>
      <c r="H55" s="24"/>
      <c r="I55" s="15">
        <f>38000/17</f>
        <v>2235.294118</v>
      </c>
      <c r="J55" s="16">
        <f t="shared" ref="J55:J61" si="11">I55*A55</f>
        <v>6705.882353</v>
      </c>
      <c r="K55" s="16">
        <f t="shared" ref="K55:K61" si="12">F55-J55</f>
        <v>3239.117647</v>
      </c>
      <c r="L55" s="30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0.5</v>
      </c>
      <c r="B56" s="12" t="s">
        <v>17</v>
      </c>
      <c r="C56" s="14" t="s">
        <v>145</v>
      </c>
      <c r="D56" s="15">
        <v>4000.0</v>
      </c>
      <c r="E56" s="15">
        <f t="shared" si="9"/>
        <v>2000</v>
      </c>
      <c r="F56" s="15">
        <f t="shared" si="10"/>
        <v>2210</v>
      </c>
      <c r="G56" s="24"/>
      <c r="H56" s="24"/>
      <c r="I56" s="15">
        <v>300.0</v>
      </c>
      <c r="J56" s="16">
        <f t="shared" si="11"/>
        <v>150</v>
      </c>
      <c r="K56" s="16">
        <f t="shared" si="12"/>
        <v>2060</v>
      </c>
      <c r="L56" s="30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2.0</v>
      </c>
      <c r="B57" s="12" t="s">
        <v>17</v>
      </c>
      <c r="C57" s="14" t="s">
        <v>192</v>
      </c>
      <c r="D57" s="15">
        <v>3500.0</v>
      </c>
      <c r="E57" s="15">
        <f t="shared" si="9"/>
        <v>7000</v>
      </c>
      <c r="F57" s="15">
        <f t="shared" si="10"/>
        <v>7735</v>
      </c>
      <c r="G57" s="24"/>
      <c r="H57" s="24"/>
      <c r="I57" s="15">
        <f>20000/8</f>
        <v>2500</v>
      </c>
      <c r="J57" s="16">
        <f t="shared" si="11"/>
        <v>5000</v>
      </c>
      <c r="K57" s="16">
        <f t="shared" si="12"/>
        <v>2735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4.0</v>
      </c>
      <c r="B58" s="12" t="s">
        <v>17</v>
      </c>
      <c r="C58" s="14" t="s">
        <v>20</v>
      </c>
      <c r="D58" s="15">
        <v>1600.0</v>
      </c>
      <c r="E58" s="15">
        <f t="shared" si="9"/>
        <v>6400</v>
      </c>
      <c r="F58" s="15">
        <f t="shared" si="10"/>
        <v>7072</v>
      </c>
      <c r="G58" s="24"/>
      <c r="H58" s="24"/>
      <c r="I58" s="15">
        <f>15000/15</f>
        <v>1000</v>
      </c>
      <c r="J58" s="16">
        <f t="shared" si="11"/>
        <v>4000</v>
      </c>
      <c r="K58" s="16">
        <f t="shared" si="12"/>
        <v>3072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1.0</v>
      </c>
      <c r="B59" s="12" t="s">
        <v>32</v>
      </c>
      <c r="C59" s="14" t="s">
        <v>45</v>
      </c>
      <c r="D59" s="15">
        <v>32000.0</v>
      </c>
      <c r="E59" s="15">
        <f t="shared" si="9"/>
        <v>32000</v>
      </c>
      <c r="F59" s="15">
        <f t="shared" si="10"/>
        <v>35360</v>
      </c>
      <c r="G59" s="24"/>
      <c r="H59" s="24"/>
      <c r="I59" s="15">
        <v>25000.0</v>
      </c>
      <c r="J59" s="16">
        <f t="shared" si="11"/>
        <v>25000</v>
      </c>
      <c r="K59" s="16">
        <f t="shared" si="12"/>
        <v>10360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1.0</v>
      </c>
      <c r="B60" s="12" t="s">
        <v>28</v>
      </c>
      <c r="C60" s="14" t="s">
        <v>143</v>
      </c>
      <c r="D60" s="15">
        <v>3000.0</v>
      </c>
      <c r="E60" s="15">
        <f t="shared" si="9"/>
        <v>3000</v>
      </c>
      <c r="F60" s="15">
        <f t="shared" si="10"/>
        <v>3315</v>
      </c>
      <c r="G60" s="24"/>
      <c r="H60" s="24"/>
      <c r="I60" s="15">
        <v>2000.0</v>
      </c>
      <c r="J60" s="16">
        <f t="shared" si="11"/>
        <v>2000</v>
      </c>
      <c r="K60" s="16">
        <f t="shared" si="12"/>
        <v>1315</v>
      </c>
      <c r="L60" s="30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1.0</v>
      </c>
      <c r="B61" s="12" t="s">
        <v>75</v>
      </c>
      <c r="C61" s="14" t="s">
        <v>152</v>
      </c>
      <c r="D61" s="15">
        <v>4500.0</v>
      </c>
      <c r="E61" s="15">
        <f t="shared" si="9"/>
        <v>4500</v>
      </c>
      <c r="F61" s="15">
        <f>E61*1.21</f>
        <v>5445</v>
      </c>
      <c r="G61" s="24"/>
      <c r="H61" s="24"/>
      <c r="I61" s="15">
        <f>38000/12</f>
        <v>3166.666667</v>
      </c>
      <c r="J61" s="16">
        <f t="shared" si="11"/>
        <v>3166.666667</v>
      </c>
      <c r="K61" s="16">
        <f t="shared" si="12"/>
        <v>2278.333333</v>
      </c>
      <c r="L61" s="30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/>
      <c r="B62" s="12"/>
      <c r="C62" s="14"/>
      <c r="D62" s="15"/>
      <c r="E62" s="16"/>
      <c r="F62" s="16"/>
      <c r="G62" s="24"/>
      <c r="H62" s="24"/>
      <c r="I62" s="16"/>
      <c r="J62" s="16"/>
      <c r="K62" s="16"/>
      <c r="L62" s="30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/>
      <c r="B63" s="12"/>
      <c r="C63" s="14"/>
      <c r="D63" s="15"/>
      <c r="E63" s="16">
        <f t="shared" ref="E63:F63" si="13">SUM(E55:E61)</f>
        <v>63900</v>
      </c>
      <c r="F63" s="16">
        <f t="shared" si="13"/>
        <v>71082</v>
      </c>
      <c r="G63" s="24"/>
      <c r="H63" s="24"/>
      <c r="I63" s="16"/>
      <c r="J63" s="16"/>
      <c r="K63" s="16">
        <f>SUM(K55:K61)</f>
        <v>25059.45098</v>
      </c>
      <c r="L63" s="30">
        <f>K63/E63</f>
        <v>0.392166682</v>
      </c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33"/>
      <c r="B64" s="34"/>
      <c r="C64" s="2"/>
      <c r="D64" s="3"/>
      <c r="E64" s="3"/>
      <c r="F64" s="3"/>
      <c r="G64" s="2"/>
      <c r="H64" s="2"/>
      <c r="I64" s="2"/>
      <c r="J64" s="2"/>
      <c r="K64" s="3"/>
      <c r="L64" s="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33"/>
      <c r="B65" s="34"/>
      <c r="C65" s="2"/>
      <c r="D65" s="3"/>
      <c r="E65" s="3"/>
      <c r="F65" s="3"/>
      <c r="G65" s="2"/>
      <c r="H65" s="2"/>
      <c r="I65" s="2"/>
      <c r="J65" s="2"/>
      <c r="K65" s="3"/>
      <c r="L65" s="4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33"/>
      <c r="B66" s="34"/>
      <c r="C66" s="2"/>
      <c r="D66" s="3"/>
      <c r="E66" s="3"/>
      <c r="F66" s="3"/>
      <c r="G66" s="2"/>
      <c r="H66" s="2"/>
      <c r="I66" s="2"/>
      <c r="J66" s="2"/>
      <c r="K66" s="3"/>
      <c r="L66" s="4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33"/>
      <c r="B67" s="34"/>
      <c r="C67" s="2"/>
      <c r="D67" s="3"/>
      <c r="E67" s="3"/>
      <c r="F67" s="3"/>
      <c r="G67" s="2"/>
      <c r="H67" s="2"/>
      <c r="I67" s="2"/>
      <c r="J67" s="2"/>
      <c r="K67" s="3"/>
      <c r="L67" s="4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33" t="s">
        <v>88</v>
      </c>
      <c r="B68" s="34">
        <f>F63+E48+F11</f>
        <v>682072</v>
      </c>
      <c r="C68" s="2"/>
      <c r="D68" s="3"/>
      <c r="E68" s="3"/>
      <c r="F68" s="3"/>
      <c r="G68" s="2"/>
      <c r="H68" s="2"/>
      <c r="I68" s="2"/>
      <c r="J68" s="2"/>
      <c r="K68" s="3"/>
      <c r="L68" s="4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"/>
      <c r="B69" s="2"/>
      <c r="C69" s="2"/>
      <c r="D69" s="3"/>
      <c r="E69" s="3"/>
      <c r="F69" s="3"/>
      <c r="G69" s="2"/>
      <c r="H69" s="2"/>
      <c r="I69" s="2"/>
      <c r="J69" s="2"/>
      <c r="K69" s="3"/>
      <c r="L69" s="4"/>
      <c r="M69" s="2"/>
      <c r="N69" s="2"/>
      <c r="O69" s="2"/>
      <c r="P69" s="2"/>
      <c r="Q69" s="3"/>
      <c r="R69" s="9"/>
      <c r="S69" s="3"/>
      <c r="T69" s="3"/>
      <c r="U69" s="1"/>
      <c r="V69" s="3"/>
      <c r="W69" s="3"/>
      <c r="X69" s="3"/>
      <c r="Y69" s="3"/>
      <c r="Z69" s="3"/>
    </row>
    <row r="70">
      <c r="A70" s="33" t="s">
        <v>89</v>
      </c>
      <c r="B70" s="34">
        <f>K63+K48+K11</f>
        <v>223754.9488</v>
      </c>
      <c r="C70" s="2"/>
      <c r="D70" s="3"/>
      <c r="E70" s="3"/>
      <c r="F70" s="3"/>
      <c r="G70" s="2"/>
      <c r="H70" s="2"/>
      <c r="I70" s="2"/>
      <c r="J70" s="2"/>
      <c r="K70" s="3"/>
      <c r="L70" s="4"/>
      <c r="M70" s="2"/>
      <c r="N70" s="2"/>
      <c r="O70" s="2"/>
      <c r="P70" s="2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"/>
      <c r="B71" s="2"/>
      <c r="C71" s="2"/>
      <c r="D71" s="3"/>
      <c r="E71" s="3"/>
      <c r="F71" s="3"/>
      <c r="G71" s="2"/>
      <c r="H71" s="2"/>
      <c r="I71" s="2"/>
      <c r="J71" s="2"/>
      <c r="K71" s="3"/>
      <c r="L71" s="4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33" t="s">
        <v>90</v>
      </c>
      <c r="B72" s="35">
        <f>B70/B68</f>
        <v>0.3280518022</v>
      </c>
      <c r="C72" s="2"/>
      <c r="D72" s="3"/>
      <c r="E72" s="3"/>
      <c r="F72" s="3"/>
      <c r="G72" s="2"/>
      <c r="H72" s="2"/>
      <c r="I72" s="2"/>
      <c r="J72" s="2"/>
      <c r="K72" s="3"/>
      <c r="L72" s="4"/>
      <c r="M72" s="2"/>
      <c r="N72" s="2"/>
      <c r="O72" s="2"/>
      <c r="P72" s="2"/>
      <c r="Q72" s="2"/>
      <c r="R72" s="2"/>
      <c r="S72" s="3"/>
      <c r="T72" s="3"/>
      <c r="U72" s="1"/>
      <c r="V72" s="3"/>
      <c r="W72" s="3"/>
      <c r="X72" s="2"/>
      <c r="Y72" s="2"/>
      <c r="Z72" s="2"/>
    </row>
    <row r="73">
      <c r="A73" s="1"/>
      <c r="B73" s="2"/>
      <c r="C73" s="2"/>
      <c r="D73" s="3"/>
      <c r="E73" s="3"/>
      <c r="F73" s="3"/>
      <c r="G73" s="2"/>
      <c r="H73" s="2"/>
      <c r="I73" s="2"/>
      <c r="J73" s="2"/>
      <c r="K73" s="3"/>
      <c r="L73" s="4"/>
      <c r="M73" s="2"/>
      <c r="N73" s="2"/>
      <c r="O73" s="2"/>
      <c r="P73" s="2"/>
      <c r="Q73" s="3"/>
      <c r="R73" s="9"/>
      <c r="S73" s="3"/>
      <c r="T73" s="3"/>
      <c r="U73" s="1"/>
      <c r="V73" s="3"/>
      <c r="W73" s="3"/>
      <c r="X73" s="3"/>
      <c r="Y73" s="3"/>
      <c r="Z73" s="3"/>
    </row>
    <row r="74" ht="15.75" customHeight="1">
      <c r="A74" s="36" t="s">
        <v>91</v>
      </c>
      <c r="C74" s="37" t="s">
        <v>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9"/>
      <c r="S74" s="3"/>
      <c r="T74" s="3"/>
      <c r="U74" s="1"/>
      <c r="V74" s="3"/>
      <c r="W74" s="3"/>
      <c r="X74" s="3"/>
      <c r="Y74" s="3"/>
      <c r="Z74" s="3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 ht="15.75" customHeight="1">
      <c r="A76" s="1"/>
      <c r="B76" s="2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 ht="15.75" customHeight="1">
      <c r="A77" s="1"/>
      <c r="B77" s="1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X78" s="3"/>
      <c r="Y78" s="3"/>
      <c r="Z78" s="3"/>
    </row>
    <row r="79" ht="15.75" customHeight="1">
      <c r="A79" s="39"/>
      <c r="B79" s="40" t="s">
        <v>92</v>
      </c>
      <c r="C79" s="41" t="s">
        <v>93</v>
      </c>
      <c r="D79" s="42" t="s">
        <v>94</v>
      </c>
      <c r="E79" s="42" t="s">
        <v>95</v>
      </c>
      <c r="F79" s="42" t="s">
        <v>96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9"/>
      <c r="X79" s="3"/>
      <c r="Y79" s="3"/>
      <c r="Z79" s="3"/>
    </row>
    <row r="80" ht="15.75" customHeight="1">
      <c r="A80" s="43"/>
      <c r="B80" s="44">
        <f>'20-01-2026 '!B142</f>
        <v>217337.25</v>
      </c>
      <c r="C80" s="45">
        <f>'20-01-2026 '!C142</f>
        <v>1390465.878</v>
      </c>
      <c r="D80" s="45">
        <f>'20-01-2026 '!D142</f>
        <v>2388443.928</v>
      </c>
      <c r="E80" s="45"/>
      <c r="F80" s="45">
        <f>'20-01-2026 '!F142</f>
        <v>637428.4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 ht="15.75" customHeight="1">
      <c r="A81" s="1"/>
      <c r="B81" s="46"/>
      <c r="C81" s="46"/>
      <c r="D81" s="46"/>
      <c r="E81" s="4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 ht="15.75" customHeight="1">
      <c r="A82" s="40" t="s">
        <v>97</v>
      </c>
      <c r="B82" s="47"/>
      <c r="C82" s="47"/>
      <c r="D82" s="47"/>
      <c r="E82" s="47"/>
      <c r="F82" s="48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 ht="15.75" customHeight="1">
      <c r="A83" s="13" t="s">
        <v>98</v>
      </c>
      <c r="B83" s="49">
        <v>0.0</v>
      </c>
      <c r="C83" s="49">
        <v>0.0</v>
      </c>
      <c r="D83" s="49">
        <v>0.0</v>
      </c>
      <c r="E83" s="49">
        <v>0.0</v>
      </c>
      <c r="F83" s="49">
        <v>0.0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13" t="s">
        <v>99</v>
      </c>
      <c r="B84" s="49">
        <v>0.0</v>
      </c>
      <c r="C84" s="49">
        <f>1010.75+1025.3</f>
        <v>2036.05</v>
      </c>
      <c r="D84" s="49">
        <v>0.0</v>
      </c>
      <c r="E84" s="49">
        <v>0.0</v>
      </c>
      <c r="F84" s="49">
        <v>0.0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13" t="s">
        <v>100</v>
      </c>
      <c r="B85" s="49">
        <v>0.0</v>
      </c>
      <c r="C85" s="49">
        <v>0.0</v>
      </c>
      <c r="D85" s="49">
        <v>0.0</v>
      </c>
      <c r="E85" s="49">
        <v>0.0</v>
      </c>
      <c r="F85" s="49">
        <v>0.0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 ht="15.75" customHeight="1">
      <c r="A86" s="13" t="s">
        <v>101</v>
      </c>
      <c r="B86" s="49">
        <v>0.0</v>
      </c>
      <c r="C86" s="49">
        <v>0.0</v>
      </c>
      <c r="D86" s="49">
        <v>0.0</v>
      </c>
      <c r="E86" s="49">
        <v>0.0</v>
      </c>
      <c r="F86" s="49">
        <v>0.0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 ht="15.75" customHeight="1">
      <c r="A87" s="13" t="s">
        <v>102</v>
      </c>
      <c r="B87" s="49">
        <v>0.0</v>
      </c>
      <c r="C87" s="49">
        <v>0.0</v>
      </c>
      <c r="D87" s="49">
        <v>0.0</v>
      </c>
      <c r="E87" s="49">
        <v>0.0</v>
      </c>
      <c r="F87" s="49">
        <v>0.0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13" t="s">
        <v>203</v>
      </c>
      <c r="B88" s="49">
        <v>0.0</v>
      </c>
      <c r="C88" s="50">
        <f>C83*2%</f>
        <v>0</v>
      </c>
      <c r="D88" s="49">
        <f>SUM(D82:D83)*2%</f>
        <v>0</v>
      </c>
      <c r="E88" s="49">
        <v>0.0</v>
      </c>
      <c r="F88" s="49">
        <v>0.0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13" t="s">
        <v>103</v>
      </c>
      <c r="B89" s="49">
        <v>0.0</v>
      </c>
      <c r="C89" s="50">
        <f>C83*0.6%+C86*0.6%</f>
        <v>0</v>
      </c>
      <c r="D89" s="49">
        <f>SUM(D83:D85)*0.6%</f>
        <v>0</v>
      </c>
      <c r="E89" s="49">
        <v>0.0</v>
      </c>
      <c r="F89" s="49">
        <v>0.0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1"/>
      <c r="B90" s="46"/>
      <c r="C90" s="46"/>
      <c r="D90" s="46"/>
      <c r="E90" s="4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51" t="s">
        <v>8</v>
      </c>
      <c r="B91" s="52">
        <f>SUM(B80:B89)</f>
        <v>217337.25</v>
      </c>
      <c r="C91" s="52">
        <f>C80+C83+C86+C87-C89+C84-C88</f>
        <v>1392501.928</v>
      </c>
      <c r="D91" s="53">
        <f>D80+D83+D86+D87-D89+D85-D88</f>
        <v>2388443.928</v>
      </c>
      <c r="E91" s="52">
        <f>E80+E83+E86+E87-E89</f>
        <v>0</v>
      </c>
      <c r="F91" s="54">
        <f>F80+F83+F86+F87-F89-D85</f>
        <v>637428.4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1"/>
      <c r="B92" s="1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40" t="s">
        <v>104</v>
      </c>
      <c r="B93" s="47"/>
      <c r="C93" s="47"/>
      <c r="D93" s="47"/>
      <c r="E93" s="47"/>
      <c r="F93" s="48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13" t="s">
        <v>105</v>
      </c>
      <c r="B94" s="55">
        <v>1000.0</v>
      </c>
      <c r="C94" s="55">
        <v>0.0</v>
      </c>
      <c r="D94" s="55">
        <v>0.0</v>
      </c>
      <c r="E94" s="55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3" t="s">
        <v>106</v>
      </c>
      <c r="B95" s="49">
        <v>0.0</v>
      </c>
      <c r="C95" s="49">
        <v>0.0</v>
      </c>
      <c r="D95" s="49">
        <v>0.0</v>
      </c>
      <c r="E95" s="49">
        <v>0.0</v>
      </c>
      <c r="F95" s="26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13" t="s">
        <v>107</v>
      </c>
      <c r="B96" s="55">
        <v>0.0</v>
      </c>
      <c r="C96" s="55">
        <v>0.0</v>
      </c>
      <c r="D96" s="49">
        <v>0.0</v>
      </c>
      <c r="E96" s="55">
        <v>0.0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13" t="s">
        <v>108</v>
      </c>
      <c r="B97" s="55">
        <v>2800.0</v>
      </c>
      <c r="C97" s="55">
        <v>0.0</v>
      </c>
      <c r="D97" s="55">
        <v>0.0</v>
      </c>
      <c r="E97" s="55">
        <v>0.0</v>
      </c>
      <c r="F97" s="26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13" t="s">
        <v>109</v>
      </c>
      <c r="B98" s="55">
        <v>0.0</v>
      </c>
      <c r="C98" s="55">
        <v>28700.0</v>
      </c>
      <c r="D98" s="55">
        <v>0.0</v>
      </c>
      <c r="E98" s="55">
        <v>0.0</v>
      </c>
      <c r="F98" s="26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3" t="s">
        <v>110</v>
      </c>
      <c r="B99" s="55">
        <v>0.0</v>
      </c>
      <c r="C99" s="55">
        <v>25000.0</v>
      </c>
      <c r="D99" s="55">
        <v>0.0</v>
      </c>
      <c r="E99" s="55">
        <v>0.0</v>
      </c>
      <c r="F99" s="26"/>
      <c r="G99" s="2"/>
      <c r="H99" s="56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13" t="s">
        <v>111</v>
      </c>
      <c r="B100" s="49">
        <v>0.0</v>
      </c>
      <c r="C100" s="49">
        <v>0.0</v>
      </c>
      <c r="D100" s="49">
        <v>0.0</v>
      </c>
      <c r="E100" s="49">
        <v>0.0</v>
      </c>
      <c r="F100" s="2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3" t="s">
        <v>112</v>
      </c>
      <c r="B101" s="49">
        <v>0.0</v>
      </c>
      <c r="C101" s="49">
        <v>0.0</v>
      </c>
      <c r="D101" s="49">
        <v>0.0</v>
      </c>
      <c r="E101" s="49">
        <v>0.0</v>
      </c>
      <c r="F101" s="26"/>
      <c r="G101" s="2"/>
      <c r="H101" s="56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113</v>
      </c>
      <c r="B102" s="49">
        <v>0.0</v>
      </c>
      <c r="C102" s="49">
        <v>0.0</v>
      </c>
      <c r="D102" s="49">
        <v>0.0</v>
      </c>
      <c r="E102" s="49">
        <v>0.0</v>
      </c>
      <c r="F102" s="26"/>
      <c r="G102" s="2"/>
      <c r="H102" s="56"/>
      <c r="I102" s="2"/>
      <c r="J102" s="2"/>
      <c r="K102" s="2"/>
      <c r="L102" s="2"/>
      <c r="M102" s="2"/>
      <c r="N102" s="2"/>
      <c r="O102" s="2"/>
      <c r="P102" s="2"/>
      <c r="Q102" s="3"/>
      <c r="R102" s="9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114</v>
      </c>
      <c r="B103" s="55">
        <v>0.0</v>
      </c>
      <c r="C103" s="55">
        <v>0.0</v>
      </c>
      <c r="D103" s="55">
        <v>0.0</v>
      </c>
      <c r="E103" s="55">
        <v>0.0</v>
      </c>
      <c r="F103" s="26"/>
      <c r="G103" s="2"/>
      <c r="H103" s="56"/>
      <c r="I103" s="2"/>
      <c r="J103" s="2"/>
      <c r="K103" s="2"/>
      <c r="L103" s="2"/>
      <c r="M103" s="2"/>
      <c r="N103" s="2"/>
      <c r="O103" s="2"/>
      <c r="P103" s="2"/>
      <c r="Q103" s="3"/>
      <c r="R103" s="9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3" t="s">
        <v>115</v>
      </c>
      <c r="B104" s="55">
        <v>0.0</v>
      </c>
      <c r="C104" s="55">
        <v>0.0</v>
      </c>
      <c r="D104" s="55">
        <v>0.0</v>
      </c>
      <c r="E104" s="55">
        <v>0.0</v>
      </c>
      <c r="F104" s="26"/>
      <c r="G104" s="2"/>
      <c r="H104" s="56"/>
      <c r="I104" s="2"/>
      <c r="J104" s="2"/>
      <c r="K104" s="2"/>
      <c r="L104" s="2"/>
      <c r="M104" s="2"/>
      <c r="N104" s="2"/>
      <c r="O104" s="2"/>
      <c r="P104" s="2"/>
      <c r="Q104" s="3"/>
      <c r="R104" s="9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3" t="s">
        <v>116</v>
      </c>
      <c r="B105" s="50">
        <v>0.0</v>
      </c>
      <c r="C105" s="50">
        <v>0.0</v>
      </c>
      <c r="D105" s="49">
        <v>0.0</v>
      </c>
      <c r="E105" s="49">
        <v>0.0</v>
      </c>
      <c r="F105" s="2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3" t="s">
        <v>117</v>
      </c>
      <c r="B106" s="50">
        <v>0.0</v>
      </c>
      <c r="C106" s="50">
        <v>0.0</v>
      </c>
      <c r="D106" s="49">
        <v>0.0</v>
      </c>
      <c r="E106" s="49">
        <v>0.0</v>
      </c>
      <c r="F106" s="26"/>
      <c r="G106" s="2"/>
      <c r="H106" s="56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3" t="s">
        <v>118</v>
      </c>
      <c r="B107" s="50">
        <v>0.0</v>
      </c>
      <c r="C107" s="50">
        <v>0.0</v>
      </c>
      <c r="D107" s="49">
        <v>0.0</v>
      </c>
      <c r="E107" s="49">
        <v>0.0</v>
      </c>
      <c r="F107" s="2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3" t="s">
        <v>119</v>
      </c>
      <c r="B108" s="50">
        <v>0.0</v>
      </c>
      <c r="C108" s="50">
        <v>0.0</v>
      </c>
      <c r="D108" s="49">
        <v>0.0</v>
      </c>
      <c r="E108" s="49">
        <v>0.0</v>
      </c>
      <c r="F108" s="2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9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3" t="s">
        <v>120</v>
      </c>
      <c r="B109" s="50">
        <v>0.0</v>
      </c>
      <c r="C109" s="50">
        <v>0.0</v>
      </c>
      <c r="D109" s="49">
        <v>0.0</v>
      </c>
      <c r="E109" s="49">
        <v>0.0</v>
      </c>
      <c r="F109" s="2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9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3" t="s">
        <v>121</v>
      </c>
      <c r="B110" s="50">
        <v>0.0</v>
      </c>
      <c r="C110" s="50">
        <v>0.0</v>
      </c>
      <c r="D110" s="49">
        <v>0.0</v>
      </c>
      <c r="E110" s="49">
        <v>0.0</v>
      </c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122</v>
      </c>
      <c r="B111" s="49">
        <v>0.0</v>
      </c>
      <c r="C111" s="49">
        <v>0.0</v>
      </c>
      <c r="D111" s="49">
        <v>0.0</v>
      </c>
      <c r="E111" s="49">
        <v>0.0</v>
      </c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230</v>
      </c>
      <c r="B112" s="49">
        <v>0.0</v>
      </c>
      <c r="C112" s="49">
        <v>0.0</v>
      </c>
      <c r="D112" s="49">
        <v>0.0</v>
      </c>
      <c r="E112" s="49">
        <v>0.0</v>
      </c>
      <c r="F112" s="2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123</v>
      </c>
      <c r="B113" s="49">
        <v>0.0</v>
      </c>
      <c r="C113" s="49">
        <v>0.0</v>
      </c>
      <c r="D113" s="49">
        <v>0.0</v>
      </c>
      <c r="E113" s="49">
        <v>0.0</v>
      </c>
      <c r="F113" s="2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124</v>
      </c>
      <c r="B114" s="49">
        <v>0.0</v>
      </c>
      <c r="C114" s="49">
        <v>0.0</v>
      </c>
      <c r="D114" s="49">
        <v>0.0</v>
      </c>
      <c r="E114" s="49">
        <v>0.0</v>
      </c>
      <c r="F114" s="2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125</v>
      </c>
      <c r="B115" s="50">
        <v>0.0</v>
      </c>
      <c r="C115" s="50">
        <v>0.0</v>
      </c>
      <c r="D115" s="49">
        <v>0.0</v>
      </c>
      <c r="E115" s="49">
        <v>0.0</v>
      </c>
      <c r="F115" s="2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13" t="s">
        <v>126</v>
      </c>
      <c r="B116" s="49">
        <v>0.0</v>
      </c>
      <c r="C116" s="49">
        <v>0.0</v>
      </c>
      <c r="D116" s="49">
        <v>0.0</v>
      </c>
      <c r="E116" s="49">
        <v>0.0</v>
      </c>
      <c r="F116" s="2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127</v>
      </c>
      <c r="B117" s="49">
        <v>0.0</v>
      </c>
      <c r="C117" s="49">
        <v>0.0</v>
      </c>
      <c r="D117" s="49">
        <v>0.0</v>
      </c>
      <c r="E117" s="49">
        <v>0.0</v>
      </c>
      <c r="F117" s="2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128</v>
      </c>
      <c r="B118" s="49">
        <v>0.0</v>
      </c>
      <c r="C118" s="49">
        <v>0.0</v>
      </c>
      <c r="D118" s="49">
        <v>0.0</v>
      </c>
      <c r="E118" s="49">
        <v>0.0</v>
      </c>
      <c r="F118" s="2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129</v>
      </c>
      <c r="B119" s="49">
        <v>0.0</v>
      </c>
      <c r="C119" s="49">
        <v>0.0</v>
      </c>
      <c r="D119" s="49">
        <v>0.0</v>
      </c>
      <c r="E119" s="49">
        <v>0.0</v>
      </c>
      <c r="F119" s="2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57"/>
      <c r="B120" s="49"/>
      <c r="C120" s="49"/>
      <c r="D120" s="49"/>
      <c r="E120" s="49"/>
      <c r="F120" s="2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130</v>
      </c>
      <c r="B121" s="50">
        <v>0.0</v>
      </c>
      <c r="C121" s="50">
        <f>SUM(C94:C118)*0.6%</f>
        <v>322.2</v>
      </c>
      <c r="D121" s="50">
        <v>0.0</v>
      </c>
      <c r="E121" s="50">
        <f>(E98*0.6%)+(E99*0.6%)+(E100*0.6%)+(E103*0.6%)+(E104*0.6%)</f>
        <v>0</v>
      </c>
      <c r="F121" s="2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131</v>
      </c>
      <c r="B122" s="50">
        <v>0.0</v>
      </c>
      <c r="C122" s="50">
        <v>0.0</v>
      </c>
      <c r="D122" s="50">
        <v>0.0</v>
      </c>
      <c r="E122" s="50">
        <f>SUM(E95:E120)*0.6%+(E123*0.6%)</f>
        <v>0</v>
      </c>
      <c r="F122" s="5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57"/>
      <c r="B123" s="57"/>
      <c r="C123" s="26"/>
      <c r="D123" s="2"/>
      <c r="E123" s="26"/>
      <c r="F123" s="2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59" t="s">
        <v>132</v>
      </c>
      <c r="B124" s="60">
        <f>SUM(B94:B123)</f>
        <v>3800</v>
      </c>
      <c r="C124" s="60">
        <f>SUM(C94:C121)</f>
        <v>54022.2</v>
      </c>
      <c r="D124" s="60">
        <f>SUM(D94:D122)</f>
        <v>0</v>
      </c>
      <c r="E124" s="60">
        <f>E105+E109+E121-E122</f>
        <v>0</v>
      </c>
      <c r="F124" s="61" t="str">
        <f>F98</f>
        <v/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57"/>
      <c r="B125" s="57"/>
      <c r="C125" s="26"/>
      <c r="D125" s="26"/>
      <c r="E125" s="26"/>
      <c r="F125" s="2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59" t="s">
        <v>133</v>
      </c>
      <c r="B126" s="62">
        <f>B91-B124</f>
        <v>213537.25</v>
      </c>
      <c r="C126" s="63">
        <f>C91-C124+C122</f>
        <v>1338479.728</v>
      </c>
      <c r="D126" s="63">
        <f t="shared" ref="D126:F126" si="14">D91-D124</f>
        <v>2388443.928</v>
      </c>
      <c r="E126" s="64">
        <f t="shared" si="14"/>
        <v>0</v>
      </c>
      <c r="F126" s="64">
        <f t="shared" si="14"/>
        <v>637428.4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65" t="s">
        <v>134</v>
      </c>
      <c r="B128" s="66">
        <f>78977.25-B94-B97</f>
        <v>75177.25</v>
      </c>
      <c r="C128" s="46"/>
      <c r="D128" s="46"/>
      <c r="E128" s="46"/>
      <c r="F128" s="4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9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65" t="s">
        <v>135</v>
      </c>
      <c r="B129" s="66">
        <v>138360.0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2"/>
      <c r="B130" s="46" t="s">
        <v>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2"/>
      <c r="B131" s="46">
        <f>SUM(B127:B129)</f>
        <v>213537.25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9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9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9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9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9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9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9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9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9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9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9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9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9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9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9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"/>
      <c r="R203" s="2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"/>
      <c r="R204" s="2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3"/>
      <c r="T205" s="3"/>
      <c r="U205" s="9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9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9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9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9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9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9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3"/>
      <c r="T247" s="3"/>
      <c r="U247" s="9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9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9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46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46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46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46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46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46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46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46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46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46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46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46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46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46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9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46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46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46"/>
      <c r="R292" s="46"/>
      <c r="S292" s="3"/>
      <c r="T292" s="3"/>
      <c r="U292" s="9"/>
      <c r="V292" s="3"/>
      <c r="W292" s="3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9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9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46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46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46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46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46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46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9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9"/>
      <c r="T338" s="3"/>
      <c r="U338" s="2"/>
      <c r="V338" s="3"/>
      <c r="W338" s="3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9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9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9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9"/>
      <c r="T355" s="3"/>
      <c r="U355" s="2"/>
      <c r="V355" s="3"/>
      <c r="W355" s="3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9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9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9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9"/>
      <c r="T366" s="3"/>
      <c r="U366" s="2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9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9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3"/>
      <c r="T382" s="3"/>
      <c r="U382" s="9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9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9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3"/>
      <c r="T396" s="9"/>
      <c r="U396" s="2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9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9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9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9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3"/>
      <c r="T408" s="9"/>
      <c r="U408" s="2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9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9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67"/>
      <c r="R423" s="2"/>
      <c r="S423" s="2"/>
      <c r="T423" s="3"/>
      <c r="U423" s="2"/>
      <c r="V423" s="2"/>
      <c r="W423" s="2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3"/>
      <c r="T424" s="3"/>
      <c r="U424" s="3"/>
      <c r="V424" s="2"/>
      <c r="W424" s="2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8"/>
      <c r="R426" s="38"/>
      <c r="S426" s="38"/>
      <c r="T426" s="38"/>
      <c r="U426" s="38"/>
      <c r="V426" s="38"/>
      <c r="W426" s="38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3"/>
      <c r="T427" s="3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"/>
      <c r="R428" s="2"/>
      <c r="S428" s="3"/>
      <c r="T428" s="3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68"/>
      <c r="R430" s="69"/>
      <c r="S430" s="70"/>
      <c r="T430" s="70"/>
      <c r="U430" s="70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1"/>
      <c r="R431" s="71"/>
      <c r="S431" s="71"/>
      <c r="T431" s="71"/>
      <c r="U431" s="71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"/>
      <c r="R432" s="46"/>
      <c r="S432" s="46"/>
      <c r="T432" s="46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"/>
      <c r="R434" s="46"/>
      <c r="S434" s="46"/>
      <c r="T434" s="46"/>
      <c r="U434" s="46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6"/>
      <c r="R435" s="46"/>
      <c r="S435" s="46"/>
      <c r="T435" s="46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46"/>
      <c r="R436" s="46"/>
      <c r="S436" s="46"/>
      <c r="T436" s="46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46"/>
      <c r="R437" s="46"/>
      <c r="S437" s="46"/>
      <c r="T437" s="46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46"/>
      <c r="R438" s="46"/>
      <c r="S438" s="46"/>
      <c r="T438" s="46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2"/>
      <c r="R439" s="72"/>
      <c r="S439" s="72"/>
      <c r="T439" s="72"/>
      <c r="U439" s="73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"/>
      <c r="R440" s="2"/>
      <c r="S440" s="3"/>
      <c r="T440" s="3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6"/>
      <c r="R442" s="56"/>
      <c r="S442" s="56"/>
      <c r="T442" s="56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6"/>
      <c r="R443" s="56"/>
      <c r="S443" s="56"/>
      <c r="T443" s="56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6"/>
      <c r="R444" s="56"/>
      <c r="S444" s="56"/>
      <c r="T444" s="56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6"/>
      <c r="R445" s="56"/>
      <c r="S445" s="56"/>
      <c r="T445" s="56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56"/>
      <c r="R446" s="56"/>
      <c r="S446" s="56"/>
      <c r="T446" s="56"/>
      <c r="U446" s="2"/>
      <c r="V446" s="2"/>
      <c r="W446" s="56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56"/>
      <c r="R447" s="56"/>
      <c r="S447" s="56"/>
      <c r="T447" s="56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56"/>
      <c r="R448" s="56"/>
      <c r="S448" s="56"/>
      <c r="T448" s="56"/>
      <c r="U448" s="2"/>
      <c r="V448" s="2"/>
      <c r="W448" s="56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56"/>
      <c r="R449" s="56"/>
      <c r="S449" s="56"/>
      <c r="T449" s="56"/>
      <c r="U449" s="2"/>
      <c r="V449" s="2"/>
      <c r="W449" s="56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"/>
      <c r="R450" s="46"/>
      <c r="S450" s="46"/>
      <c r="T450" s="46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6"/>
      <c r="R451" s="46"/>
      <c r="S451" s="46"/>
      <c r="T451" s="46"/>
      <c r="U451" s="2"/>
      <c r="V451" s="2"/>
      <c r="W451" s="56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6"/>
      <c r="R453" s="46"/>
      <c r="S453" s="46"/>
      <c r="T453" s="46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46"/>
      <c r="S454" s="46"/>
      <c r="T454" s="46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46"/>
      <c r="R455" s="46"/>
      <c r="S455" s="46"/>
      <c r="T455" s="46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46"/>
      <c r="R456" s="46"/>
      <c r="S456" s="46"/>
      <c r="T456" s="46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46"/>
      <c r="R457" s="46"/>
      <c r="S457" s="46"/>
      <c r="T457" s="46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46"/>
      <c r="R458" s="46"/>
      <c r="S458" s="46"/>
      <c r="T458" s="46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"/>
      <c r="R459" s="46"/>
      <c r="S459" s="46"/>
      <c r="T459" s="46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2"/>
      <c r="R461" s="72"/>
      <c r="S461" s="72"/>
      <c r="T461" s="72"/>
      <c r="U461" s="73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1"/>
      <c r="R463" s="72"/>
      <c r="S463" s="72"/>
      <c r="T463" s="74"/>
      <c r="U463" s="74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46"/>
      <c r="R465" s="46"/>
      <c r="S465" s="46"/>
      <c r="T465" s="46"/>
      <c r="U465" s="46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6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</sheetData>
  <mergeCells count="8">
    <mergeCell ref="I3:K3"/>
    <mergeCell ref="A74:B74"/>
    <mergeCell ref="U78:W78"/>
    <mergeCell ref="A79:A80"/>
    <mergeCell ref="A82:F82"/>
    <mergeCell ref="A93:F93"/>
    <mergeCell ref="U134:W134"/>
    <mergeCell ref="U169:W169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23"/>
      <c r="B2" s="23"/>
      <c r="C2" s="23"/>
      <c r="D2" s="7"/>
      <c r="E2" s="24"/>
      <c r="F2" s="7"/>
      <c r="G2" s="6"/>
      <c r="H2" s="3"/>
      <c r="I2" s="8"/>
      <c r="J2" s="8"/>
      <c r="K2" s="8"/>
      <c r="L2" s="4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23" t="s">
        <v>47</v>
      </c>
      <c r="B3" s="23"/>
      <c r="C3" s="23"/>
      <c r="D3" s="25" t="s">
        <v>233</v>
      </c>
      <c r="E3" s="7">
        <v>46045.0</v>
      </c>
      <c r="F3" s="7"/>
      <c r="G3" s="6"/>
      <c r="H3" s="3"/>
      <c r="I3" s="8" t="s">
        <v>3</v>
      </c>
      <c r="L3" s="4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B4" s="24"/>
      <c r="C4" s="26"/>
      <c r="D4" s="7"/>
      <c r="E4" s="24"/>
      <c r="F4" s="3"/>
      <c r="G4" s="3"/>
      <c r="H4" s="3"/>
      <c r="I4" s="3"/>
      <c r="J4" s="3"/>
      <c r="K4" s="3"/>
      <c r="L4" s="4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/>
      <c r="G5" s="3"/>
      <c r="H5" s="3"/>
      <c r="I5" s="27" t="s">
        <v>7</v>
      </c>
      <c r="J5" s="10" t="s">
        <v>8</v>
      </c>
      <c r="K5" s="10" t="s">
        <v>10</v>
      </c>
      <c r="L5" s="4"/>
      <c r="M5" s="19"/>
      <c r="N5" s="18"/>
      <c r="O5" s="19"/>
      <c r="P5" s="18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0.5</v>
      </c>
      <c r="B6" s="12" t="s">
        <v>32</v>
      </c>
      <c r="C6" s="14" t="s">
        <v>35</v>
      </c>
      <c r="D6" s="15">
        <v>22000.0</v>
      </c>
      <c r="E6" s="16">
        <f t="shared" ref="E6:E11" si="1">A6*D6</f>
        <v>11000</v>
      </c>
      <c r="F6" s="15"/>
      <c r="G6" s="2"/>
      <c r="H6" s="3"/>
      <c r="I6" s="15">
        <v>15000.0</v>
      </c>
      <c r="J6" s="15">
        <f t="shared" ref="J6:J11" si="2">I6*A6</f>
        <v>7500</v>
      </c>
      <c r="K6" s="15">
        <f t="shared" ref="K6:K11" si="3">E6-J6</f>
        <v>3500</v>
      </c>
      <c r="L6" s="22"/>
      <c r="N6" s="21"/>
      <c r="P6" s="21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1.0</v>
      </c>
      <c r="B7" s="12" t="s">
        <v>32</v>
      </c>
      <c r="C7" s="14" t="s">
        <v>44</v>
      </c>
      <c r="D7" s="15">
        <v>16000.0</v>
      </c>
      <c r="E7" s="16">
        <f t="shared" si="1"/>
        <v>16000</v>
      </c>
      <c r="F7" s="15"/>
      <c r="G7" s="2"/>
      <c r="H7" s="3"/>
      <c r="I7" s="15">
        <v>10000.0</v>
      </c>
      <c r="J7" s="15">
        <f t="shared" si="2"/>
        <v>10000</v>
      </c>
      <c r="K7" s="15">
        <f t="shared" si="3"/>
        <v>6000</v>
      </c>
      <c r="L7" s="22"/>
      <c r="N7" s="21"/>
      <c r="P7" s="21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28</v>
      </c>
      <c r="C8" s="14" t="s">
        <v>78</v>
      </c>
      <c r="D8" s="15">
        <v>5000.0</v>
      </c>
      <c r="E8" s="16">
        <f t="shared" si="1"/>
        <v>10000</v>
      </c>
      <c r="F8" s="15"/>
      <c r="G8" s="2"/>
      <c r="H8" s="3"/>
      <c r="I8" s="15">
        <v>4000.0</v>
      </c>
      <c r="J8" s="15">
        <f t="shared" si="2"/>
        <v>8000</v>
      </c>
      <c r="K8" s="15">
        <f t="shared" si="3"/>
        <v>2000</v>
      </c>
      <c r="L8" s="22"/>
      <c r="N8" s="21"/>
      <c r="P8" s="21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6.0</v>
      </c>
      <c r="B9" s="12" t="s">
        <v>17</v>
      </c>
      <c r="C9" s="14" t="s">
        <v>144</v>
      </c>
      <c r="D9" s="15">
        <v>4000.0</v>
      </c>
      <c r="E9" s="16">
        <f t="shared" si="1"/>
        <v>24000</v>
      </c>
      <c r="F9" s="15"/>
      <c r="G9" s="2"/>
      <c r="H9" s="3"/>
      <c r="I9" s="15">
        <v>3000.0</v>
      </c>
      <c r="J9" s="15">
        <f t="shared" si="2"/>
        <v>18000</v>
      </c>
      <c r="K9" s="15">
        <f t="shared" si="3"/>
        <v>6000</v>
      </c>
      <c r="L9" s="22"/>
      <c r="N9" s="21"/>
      <c r="P9" s="21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2.0</v>
      </c>
      <c r="B10" s="12" t="s">
        <v>13</v>
      </c>
      <c r="C10" s="14" t="s">
        <v>45</v>
      </c>
      <c r="D10" s="15">
        <v>35000.0</v>
      </c>
      <c r="E10" s="16">
        <f t="shared" si="1"/>
        <v>70000</v>
      </c>
      <c r="F10" s="15"/>
      <c r="G10" s="2"/>
      <c r="H10" s="3"/>
      <c r="I10" s="15">
        <v>25000.0</v>
      </c>
      <c r="J10" s="15">
        <f t="shared" si="2"/>
        <v>50000</v>
      </c>
      <c r="K10" s="15">
        <f t="shared" si="3"/>
        <v>20000</v>
      </c>
      <c r="L10" s="22"/>
      <c r="M10" s="20"/>
      <c r="N10" s="21"/>
      <c r="P10" s="21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2.0</v>
      </c>
      <c r="B11" s="12" t="s">
        <v>32</v>
      </c>
      <c r="C11" s="14" t="s">
        <v>20</v>
      </c>
      <c r="D11" s="15">
        <v>18000.0</v>
      </c>
      <c r="E11" s="16">
        <f t="shared" si="1"/>
        <v>36000</v>
      </c>
      <c r="F11" s="15"/>
      <c r="G11" s="2"/>
      <c r="H11" s="3"/>
      <c r="I11" s="15">
        <v>10000.0</v>
      </c>
      <c r="J11" s="15">
        <f t="shared" si="2"/>
        <v>20000</v>
      </c>
      <c r="K11" s="15">
        <f t="shared" si="3"/>
        <v>16000</v>
      </c>
      <c r="L11" s="22"/>
      <c r="M11" s="20"/>
      <c r="N11" s="21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/>
      <c r="B12" s="12"/>
      <c r="C12" s="14"/>
      <c r="D12" s="15"/>
      <c r="E12" s="16"/>
      <c r="F12" s="10"/>
      <c r="G12" s="3"/>
      <c r="H12" s="3"/>
      <c r="I12" s="3"/>
      <c r="J12" s="3"/>
      <c r="K12" s="3"/>
      <c r="L12" s="4"/>
      <c r="M12" s="17"/>
      <c r="N12" s="18"/>
      <c r="O12" s="19"/>
      <c r="P12" s="18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/>
      <c r="B13" s="12"/>
      <c r="C13" s="14"/>
      <c r="D13" s="15"/>
      <c r="E13" s="16">
        <f>SUM(E6:E11)</f>
        <v>167000</v>
      </c>
      <c r="F13" s="15"/>
      <c r="G13" s="2"/>
      <c r="H13" s="3"/>
      <c r="I13" s="3"/>
      <c r="J13" s="3"/>
      <c r="K13" s="15">
        <f>SUM(K6:K11)</f>
        <v>53500</v>
      </c>
      <c r="L13" s="22">
        <f>K13/E13</f>
        <v>0.3203592814</v>
      </c>
      <c r="M13" s="20"/>
      <c r="N13" s="21"/>
      <c r="P13" s="21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/>
      <c r="B14" s="12"/>
      <c r="C14" s="14"/>
      <c r="D14" s="15"/>
      <c r="E14" s="16"/>
      <c r="F14" s="15"/>
      <c r="G14" s="2"/>
      <c r="H14" s="3"/>
      <c r="I14" s="16"/>
      <c r="J14" s="15"/>
      <c r="K14" s="15"/>
      <c r="L14" s="25"/>
      <c r="M14" s="20"/>
      <c r="N14" s="21"/>
      <c r="P14" s="21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1"/>
      <c r="B15" s="2"/>
      <c r="C15" s="2"/>
      <c r="D15" s="3"/>
      <c r="E15" s="3"/>
      <c r="F15" s="3"/>
      <c r="G15" s="2"/>
      <c r="H15" s="2"/>
      <c r="I15" s="2"/>
      <c r="J15" s="2"/>
      <c r="K15" s="3"/>
      <c r="L15" s="4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23" t="s">
        <v>57</v>
      </c>
      <c r="B16" s="23"/>
      <c r="C16" s="23"/>
      <c r="D16" s="25" t="s">
        <v>274</v>
      </c>
      <c r="E16" s="7">
        <v>46045.0</v>
      </c>
      <c r="F16" s="28"/>
      <c r="G16" s="24"/>
      <c r="H16" s="24"/>
      <c r="I16" s="16"/>
      <c r="J16" s="16"/>
      <c r="K16" s="16"/>
      <c r="L16" s="29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B17" s="24"/>
      <c r="C17" s="26"/>
      <c r="D17" s="24"/>
      <c r="E17" s="24"/>
      <c r="F17" s="24"/>
      <c r="G17" s="24"/>
      <c r="H17" s="24"/>
      <c r="I17" s="16"/>
      <c r="J17" s="16"/>
      <c r="K17" s="16"/>
      <c r="L17" s="29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5" t="s">
        <v>4</v>
      </c>
      <c r="B18" s="10" t="s">
        <v>5</v>
      </c>
      <c r="C18" s="11" t="s">
        <v>6</v>
      </c>
      <c r="D18" s="12" t="s">
        <v>7</v>
      </c>
      <c r="E18" s="10" t="s">
        <v>8</v>
      </c>
      <c r="F18" s="12"/>
      <c r="G18" s="24"/>
      <c r="H18" s="24"/>
      <c r="I18" s="12" t="s">
        <v>7</v>
      </c>
      <c r="J18" s="12" t="s">
        <v>8</v>
      </c>
      <c r="K18" s="12" t="s">
        <v>10</v>
      </c>
      <c r="L18" s="29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2.0</v>
      </c>
      <c r="B19" s="12" t="s">
        <v>32</v>
      </c>
      <c r="C19" s="14" t="s">
        <v>67</v>
      </c>
      <c r="D19" s="15">
        <v>20000.0</v>
      </c>
      <c r="E19" s="15">
        <f t="shared" ref="E19:E34" si="4">A19*D19</f>
        <v>40000</v>
      </c>
      <c r="F19" s="16"/>
      <c r="G19" s="24"/>
      <c r="H19" s="24"/>
      <c r="I19" s="16">
        <v>12000.0</v>
      </c>
      <c r="J19" s="16">
        <f t="shared" ref="J19:J34" si="5">I19*A19</f>
        <v>24000</v>
      </c>
      <c r="K19" s="16">
        <f t="shared" ref="K19:K34" si="6">E19-J19</f>
        <v>16000</v>
      </c>
      <c r="L19" s="30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1.0</v>
      </c>
      <c r="B20" s="12" t="s">
        <v>39</v>
      </c>
      <c r="C20" s="14" t="s">
        <v>275</v>
      </c>
      <c r="D20" s="15">
        <v>2500.0</v>
      </c>
      <c r="E20" s="15">
        <f t="shared" si="4"/>
        <v>2500</v>
      </c>
      <c r="F20" s="16"/>
      <c r="G20" s="24"/>
      <c r="H20" s="24"/>
      <c r="I20" s="16">
        <v>1500.0</v>
      </c>
      <c r="J20" s="16">
        <f t="shared" si="5"/>
        <v>1500</v>
      </c>
      <c r="K20" s="16">
        <f t="shared" si="6"/>
        <v>1000</v>
      </c>
      <c r="L20" s="30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1.0</v>
      </c>
      <c r="B21" s="12" t="s">
        <v>28</v>
      </c>
      <c r="C21" s="14" t="s">
        <v>78</v>
      </c>
      <c r="D21" s="15">
        <v>5000.0</v>
      </c>
      <c r="E21" s="15">
        <f t="shared" si="4"/>
        <v>5000</v>
      </c>
      <c r="F21" s="16"/>
      <c r="G21" s="24"/>
      <c r="H21" s="24"/>
      <c r="I21" s="16">
        <v>4000.0</v>
      </c>
      <c r="J21" s="16">
        <f t="shared" si="5"/>
        <v>4000</v>
      </c>
      <c r="K21" s="16">
        <f t="shared" si="6"/>
        <v>1000</v>
      </c>
      <c r="L21" s="30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3.0</v>
      </c>
      <c r="B22" s="12" t="s">
        <v>5</v>
      </c>
      <c r="C22" s="14" t="s">
        <v>69</v>
      </c>
      <c r="D22" s="15">
        <v>1200.0</v>
      </c>
      <c r="E22" s="15">
        <f t="shared" si="4"/>
        <v>3600</v>
      </c>
      <c r="F22" s="16"/>
      <c r="G22" s="24"/>
      <c r="H22" s="24"/>
      <c r="I22" s="16">
        <v>560.0</v>
      </c>
      <c r="J22" s="16">
        <f t="shared" si="5"/>
        <v>1680</v>
      </c>
      <c r="K22" s="16">
        <f t="shared" si="6"/>
        <v>1920</v>
      </c>
      <c r="L22" s="30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2.0</v>
      </c>
      <c r="B23" s="12" t="s">
        <v>42</v>
      </c>
      <c r="C23" s="14" t="s">
        <v>70</v>
      </c>
      <c r="D23" s="15">
        <v>22000.0</v>
      </c>
      <c r="E23" s="15">
        <f t="shared" si="4"/>
        <v>44000</v>
      </c>
      <c r="F23" s="16"/>
      <c r="G23" s="24"/>
      <c r="H23" s="24"/>
      <c r="I23" s="16">
        <v>16500.0</v>
      </c>
      <c r="J23" s="16">
        <f t="shared" si="5"/>
        <v>33000</v>
      </c>
      <c r="K23" s="16">
        <f t="shared" si="6"/>
        <v>11000</v>
      </c>
      <c r="L23" s="30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4.0</v>
      </c>
      <c r="B24" s="12" t="s">
        <v>5</v>
      </c>
      <c r="C24" s="14" t="s">
        <v>55</v>
      </c>
      <c r="D24" s="15">
        <v>3000.0</v>
      </c>
      <c r="E24" s="15">
        <f t="shared" si="4"/>
        <v>12000</v>
      </c>
      <c r="F24" s="16"/>
      <c r="G24" s="24"/>
      <c r="H24" s="32" t="s">
        <v>276</v>
      </c>
      <c r="I24" s="16">
        <v>0.0</v>
      </c>
      <c r="J24" s="16">
        <f t="shared" si="5"/>
        <v>0</v>
      </c>
      <c r="K24" s="16">
        <f t="shared" si="6"/>
        <v>12000</v>
      </c>
      <c r="L24" s="30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1.0</v>
      </c>
      <c r="B25" s="12" t="s">
        <v>17</v>
      </c>
      <c r="C25" s="14" t="s">
        <v>159</v>
      </c>
      <c r="D25" s="15">
        <v>3200.0</v>
      </c>
      <c r="E25" s="15">
        <f t="shared" si="4"/>
        <v>3200</v>
      </c>
      <c r="F25" s="16"/>
      <c r="G25" s="24"/>
      <c r="H25" s="24"/>
      <c r="I25" s="16">
        <f>2400</f>
        <v>2400</v>
      </c>
      <c r="J25" s="15">
        <f t="shared" si="5"/>
        <v>2400</v>
      </c>
      <c r="K25" s="15">
        <f t="shared" si="6"/>
        <v>800</v>
      </c>
      <c r="L25" s="30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1.0</v>
      </c>
      <c r="B26" s="12" t="s">
        <v>28</v>
      </c>
      <c r="C26" s="14" t="s">
        <v>53</v>
      </c>
      <c r="D26" s="15">
        <v>4000.0</v>
      </c>
      <c r="E26" s="15">
        <f t="shared" si="4"/>
        <v>4000</v>
      </c>
      <c r="F26" s="16"/>
      <c r="G26" s="24"/>
      <c r="H26" s="24"/>
      <c r="I26" s="16">
        <v>1500.0</v>
      </c>
      <c r="J26" s="15">
        <f t="shared" si="5"/>
        <v>1500</v>
      </c>
      <c r="K26" s="15">
        <f t="shared" si="6"/>
        <v>2500</v>
      </c>
      <c r="L26" s="30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32</v>
      </c>
      <c r="C27" s="14" t="s">
        <v>168</v>
      </c>
      <c r="D27" s="15">
        <v>14000.0</v>
      </c>
      <c r="E27" s="15">
        <f t="shared" si="4"/>
        <v>14000</v>
      </c>
      <c r="F27" s="16"/>
      <c r="G27" s="24"/>
      <c r="H27" s="24"/>
      <c r="I27" s="16">
        <v>13000.0</v>
      </c>
      <c r="J27" s="15">
        <f t="shared" si="5"/>
        <v>13000</v>
      </c>
      <c r="K27" s="15">
        <f t="shared" si="6"/>
        <v>1000</v>
      </c>
      <c r="L27" s="30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1.0</v>
      </c>
      <c r="B28" s="12" t="s">
        <v>32</v>
      </c>
      <c r="C28" s="14" t="s">
        <v>196</v>
      </c>
      <c r="D28" s="15">
        <v>12000.0</v>
      </c>
      <c r="E28" s="15">
        <f t="shared" si="4"/>
        <v>12000</v>
      </c>
      <c r="F28" s="16"/>
      <c r="G28" s="24"/>
      <c r="H28" s="24"/>
      <c r="I28" s="16">
        <v>5000.0</v>
      </c>
      <c r="J28" s="15">
        <f t="shared" si="5"/>
        <v>5000</v>
      </c>
      <c r="K28" s="15">
        <f t="shared" si="6"/>
        <v>7000</v>
      </c>
      <c r="L28" s="30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32</v>
      </c>
      <c r="C29" s="14" t="s">
        <v>147</v>
      </c>
      <c r="D29" s="15">
        <v>10000.0</v>
      </c>
      <c r="E29" s="15">
        <f t="shared" si="4"/>
        <v>10000</v>
      </c>
      <c r="F29" s="16"/>
      <c r="G29" s="24"/>
      <c r="H29" s="24"/>
      <c r="I29" s="16">
        <v>5000.0</v>
      </c>
      <c r="J29" s="16">
        <f t="shared" si="5"/>
        <v>5000</v>
      </c>
      <c r="K29" s="16">
        <f t="shared" si="6"/>
        <v>5000</v>
      </c>
      <c r="L29" s="30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13</v>
      </c>
      <c r="C30" s="14" t="s">
        <v>45</v>
      </c>
      <c r="D30" s="15">
        <v>35000.0</v>
      </c>
      <c r="E30" s="15">
        <f t="shared" si="4"/>
        <v>35000</v>
      </c>
      <c r="F30" s="16"/>
      <c r="G30" s="24"/>
      <c r="H30" s="24"/>
      <c r="I30" s="16">
        <v>25000.0</v>
      </c>
      <c r="J30" s="16">
        <f t="shared" si="5"/>
        <v>25000</v>
      </c>
      <c r="K30" s="16">
        <f t="shared" si="6"/>
        <v>10000</v>
      </c>
      <c r="L30" s="30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0.5</v>
      </c>
      <c r="B31" s="12" t="s">
        <v>32</v>
      </c>
      <c r="C31" s="14" t="s">
        <v>182</v>
      </c>
      <c r="D31" s="15">
        <v>35000.0</v>
      </c>
      <c r="E31" s="15">
        <f t="shared" si="4"/>
        <v>17500</v>
      </c>
      <c r="F31" s="16"/>
      <c r="G31" s="24"/>
      <c r="H31" s="24"/>
      <c r="I31" s="16">
        <v>25000.0</v>
      </c>
      <c r="J31" s="16">
        <f t="shared" si="5"/>
        <v>12500</v>
      </c>
      <c r="K31" s="16">
        <f t="shared" si="6"/>
        <v>5000</v>
      </c>
      <c r="L31" s="30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0.5</v>
      </c>
      <c r="B32" s="12" t="s">
        <v>32</v>
      </c>
      <c r="C32" s="14" t="s">
        <v>20</v>
      </c>
      <c r="D32" s="15">
        <v>18000.0</v>
      </c>
      <c r="E32" s="15">
        <f t="shared" si="4"/>
        <v>9000</v>
      </c>
      <c r="F32" s="16"/>
      <c r="G32" s="24"/>
      <c r="H32" s="24"/>
      <c r="I32" s="16">
        <v>10000.0</v>
      </c>
      <c r="J32" s="16">
        <f t="shared" si="5"/>
        <v>5000</v>
      </c>
      <c r="K32" s="16">
        <f t="shared" si="6"/>
        <v>4000</v>
      </c>
      <c r="L32" s="30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0.25</v>
      </c>
      <c r="B33" s="12" t="s">
        <v>17</v>
      </c>
      <c r="C33" s="14" t="s">
        <v>37</v>
      </c>
      <c r="D33" s="15">
        <v>5000.0</v>
      </c>
      <c r="E33" s="15">
        <f t="shared" si="4"/>
        <v>1250</v>
      </c>
      <c r="F33" s="16"/>
      <c r="G33" s="24"/>
      <c r="H33" s="24"/>
      <c r="I33" s="16">
        <v>4000.0</v>
      </c>
      <c r="J33" s="16">
        <f t="shared" si="5"/>
        <v>1000</v>
      </c>
      <c r="K33" s="16">
        <f t="shared" si="6"/>
        <v>250</v>
      </c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28</v>
      </c>
      <c r="C34" s="14" t="s">
        <v>143</v>
      </c>
      <c r="D34" s="15">
        <v>3000.0</v>
      </c>
      <c r="E34" s="15">
        <f t="shared" si="4"/>
        <v>3000</v>
      </c>
      <c r="F34" s="16"/>
      <c r="G34" s="24"/>
      <c r="H34" s="24"/>
      <c r="I34" s="16">
        <v>2000.0</v>
      </c>
      <c r="J34" s="16">
        <f t="shared" si="5"/>
        <v>2000</v>
      </c>
      <c r="K34" s="16">
        <f t="shared" si="6"/>
        <v>1000</v>
      </c>
      <c r="L34" s="30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/>
      <c r="B35" s="12"/>
      <c r="C35" s="14"/>
      <c r="D35" s="15"/>
      <c r="E35" s="16"/>
      <c r="F35" s="16"/>
      <c r="G35" s="24"/>
      <c r="H35" s="24"/>
      <c r="I35" s="16"/>
      <c r="J35" s="16"/>
      <c r="K35" s="16"/>
      <c r="L35" s="30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/>
      <c r="B36" s="12"/>
      <c r="C36" s="14"/>
      <c r="D36" s="15"/>
      <c r="E36" s="16">
        <f>SUM(E19:E34)</f>
        <v>216050</v>
      </c>
      <c r="F36" s="16"/>
      <c r="G36" s="24"/>
      <c r="H36" s="24"/>
      <c r="I36" s="16"/>
      <c r="J36" s="16"/>
      <c r="K36" s="16">
        <f>SUM(K19:K34)</f>
        <v>79470</v>
      </c>
      <c r="L36" s="30">
        <f>K36/E36</f>
        <v>0.3678315205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/>
      <c r="B37" s="12"/>
      <c r="C37" s="14"/>
      <c r="D37" s="15"/>
      <c r="E37" s="3"/>
      <c r="F37" s="3"/>
      <c r="G37" s="2"/>
      <c r="H37" s="2"/>
      <c r="I37" s="2"/>
      <c r="J37" s="2"/>
      <c r="K37" s="3"/>
      <c r="L37" s="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33"/>
      <c r="B38" s="34"/>
      <c r="C38" s="2"/>
      <c r="D38" s="3"/>
      <c r="E38" s="3"/>
      <c r="F38" s="3"/>
      <c r="G38" s="2"/>
      <c r="H38" s="2"/>
      <c r="I38" s="2"/>
      <c r="J38" s="2"/>
      <c r="K38" s="3"/>
      <c r="L38" s="4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33"/>
      <c r="B39" s="34"/>
      <c r="C39" s="2"/>
      <c r="E39" s="3"/>
      <c r="F39" s="3"/>
      <c r="G39" s="2"/>
      <c r="H39" s="2"/>
      <c r="I39" s="2"/>
      <c r="J39" s="2"/>
      <c r="K39" s="3"/>
      <c r="L39" s="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23" t="s">
        <v>183</v>
      </c>
      <c r="B40" s="23"/>
      <c r="C40" s="23"/>
      <c r="D40" s="25" t="s">
        <v>215</v>
      </c>
      <c r="E40" s="7">
        <v>46045.0</v>
      </c>
      <c r="G40" s="24"/>
      <c r="H40" s="24"/>
      <c r="I40" s="16"/>
      <c r="J40" s="16"/>
      <c r="K40" s="16"/>
      <c r="L40" s="29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B41" s="24"/>
      <c r="C41" s="26"/>
      <c r="D41" s="24"/>
      <c r="E41" s="24"/>
      <c r="F41" s="24"/>
      <c r="G41" s="24"/>
      <c r="H41" s="24"/>
      <c r="I41" s="16"/>
      <c r="J41" s="16"/>
      <c r="K41" s="16"/>
      <c r="L41" s="29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5" t="s">
        <v>4</v>
      </c>
      <c r="B42" s="10" t="s">
        <v>5</v>
      </c>
      <c r="C42" s="11" t="s">
        <v>6</v>
      </c>
      <c r="D42" s="12" t="s">
        <v>7</v>
      </c>
      <c r="E42" s="10" t="s">
        <v>8</v>
      </c>
      <c r="F42" s="12"/>
      <c r="G42" s="24"/>
      <c r="H42" s="24"/>
      <c r="I42" s="12" t="s">
        <v>7</v>
      </c>
      <c r="J42" s="12" t="s">
        <v>8</v>
      </c>
      <c r="K42" s="12" t="s">
        <v>10</v>
      </c>
      <c r="L42" s="29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1.0</v>
      </c>
      <c r="B43" s="12" t="s">
        <v>32</v>
      </c>
      <c r="C43" s="14" t="s">
        <v>20</v>
      </c>
      <c r="D43" s="15">
        <v>16000.0</v>
      </c>
      <c r="E43" s="15">
        <f t="shared" ref="E43:E45" si="7">A43*D43</f>
        <v>16000</v>
      </c>
      <c r="F43" s="16"/>
      <c r="G43" s="24"/>
      <c r="H43" s="24"/>
      <c r="I43" s="15">
        <v>10000.0</v>
      </c>
      <c r="J43" s="16">
        <f t="shared" ref="J43:J45" si="8">I43*A43</f>
        <v>10000</v>
      </c>
      <c r="K43" s="16">
        <f t="shared" ref="K43:K45" si="9">E43-J43</f>
        <v>6000</v>
      </c>
      <c r="L43" s="31" t="s">
        <v>2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1.0</v>
      </c>
      <c r="B44" s="12" t="s">
        <v>13</v>
      </c>
      <c r="C44" s="14" t="s">
        <v>45</v>
      </c>
      <c r="D44" s="15">
        <v>32000.0</v>
      </c>
      <c r="E44" s="15">
        <f t="shared" si="7"/>
        <v>32000</v>
      </c>
      <c r="F44" s="16"/>
      <c r="G44" s="24"/>
      <c r="H44" s="24"/>
      <c r="I44" s="15">
        <v>25000.0</v>
      </c>
      <c r="J44" s="16">
        <f t="shared" si="8"/>
        <v>25000</v>
      </c>
      <c r="K44" s="16">
        <f t="shared" si="9"/>
        <v>7000</v>
      </c>
      <c r="L44" s="31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1.0</v>
      </c>
      <c r="B45" s="12" t="s">
        <v>17</v>
      </c>
      <c r="C45" s="14" t="s">
        <v>19</v>
      </c>
      <c r="D45" s="15">
        <v>2800.0</v>
      </c>
      <c r="E45" s="15">
        <f t="shared" si="7"/>
        <v>2800</v>
      </c>
      <c r="F45" s="16"/>
      <c r="G45" s="24"/>
      <c r="H45" s="24"/>
      <c r="I45" s="15">
        <v>2000.0</v>
      </c>
      <c r="J45" s="16">
        <f t="shared" si="8"/>
        <v>2000</v>
      </c>
      <c r="K45" s="16">
        <f t="shared" si="9"/>
        <v>800</v>
      </c>
      <c r="L45" s="31" t="s">
        <v>2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/>
      <c r="B46" s="12"/>
      <c r="C46" s="14"/>
      <c r="D46" s="15"/>
      <c r="E46" s="16"/>
      <c r="F46" s="16"/>
      <c r="G46" s="24"/>
      <c r="H46" s="24"/>
      <c r="I46" s="16"/>
      <c r="J46" s="16"/>
      <c r="K46" s="16"/>
      <c r="L46" s="30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/>
      <c r="B47" s="12"/>
      <c r="C47" s="14"/>
      <c r="D47" s="15"/>
      <c r="E47" s="16">
        <f>SUM(E43:E45)</f>
        <v>50800</v>
      </c>
      <c r="F47" s="16"/>
      <c r="G47" s="24"/>
      <c r="H47" s="24"/>
      <c r="I47" s="16"/>
      <c r="J47" s="16"/>
      <c r="K47" s="16">
        <f>SUM(K43:K45)</f>
        <v>13800</v>
      </c>
      <c r="L47" s="30">
        <f>K47/E47</f>
        <v>0.2716535433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33"/>
      <c r="B48" s="34"/>
      <c r="C48" s="2"/>
      <c r="D48" s="3"/>
      <c r="E48" s="3"/>
      <c r="F48" s="3"/>
      <c r="G48" s="2"/>
      <c r="H48" s="2"/>
      <c r="I48" s="2"/>
      <c r="J48" s="2"/>
      <c r="K48" s="3"/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33"/>
      <c r="B49" s="34"/>
      <c r="C49" s="2"/>
      <c r="D49" s="3"/>
      <c r="E49" s="3"/>
      <c r="F49" s="3"/>
      <c r="G49" s="2"/>
      <c r="H49" s="2"/>
      <c r="I49" s="2"/>
      <c r="J49" s="2"/>
      <c r="K49" s="3"/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33"/>
      <c r="B50" s="34"/>
      <c r="C50" s="2"/>
      <c r="E50" s="3"/>
      <c r="F50" s="3"/>
      <c r="G50" s="2"/>
      <c r="H50" s="2"/>
      <c r="I50" s="2"/>
      <c r="J50" s="2"/>
      <c r="K50" s="3"/>
      <c r="L50" s="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23" t="s">
        <v>80</v>
      </c>
      <c r="B51" s="23"/>
      <c r="C51" s="23"/>
      <c r="D51" s="25" t="s">
        <v>277</v>
      </c>
      <c r="E51" s="7">
        <v>46045.0</v>
      </c>
      <c r="G51" s="24"/>
      <c r="H51" s="24"/>
      <c r="I51" s="16"/>
      <c r="J51" s="16"/>
      <c r="K51" s="16"/>
      <c r="L51" s="29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B52" s="24"/>
      <c r="C52" s="26"/>
      <c r="D52" s="24"/>
      <c r="E52" s="24"/>
      <c r="F52" s="24"/>
      <c r="G52" s="24"/>
      <c r="H52" s="24"/>
      <c r="I52" s="16"/>
      <c r="J52" s="16"/>
      <c r="K52" s="16"/>
      <c r="L52" s="29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5" t="s">
        <v>4</v>
      </c>
      <c r="B53" s="10" t="s">
        <v>5</v>
      </c>
      <c r="C53" s="11" t="s">
        <v>6</v>
      </c>
      <c r="D53" s="12" t="s">
        <v>7</v>
      </c>
      <c r="E53" s="10" t="s">
        <v>8</v>
      </c>
      <c r="F53" s="12"/>
      <c r="G53" s="24"/>
      <c r="H53" s="24"/>
      <c r="I53" s="12" t="s">
        <v>7</v>
      </c>
      <c r="J53" s="12" t="s">
        <v>8</v>
      </c>
      <c r="K53" s="12" t="s">
        <v>10</v>
      </c>
      <c r="L53" s="29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1.0</v>
      </c>
      <c r="B54" s="12" t="s">
        <v>32</v>
      </c>
      <c r="C54" s="14" t="s">
        <v>147</v>
      </c>
      <c r="D54" s="15">
        <v>9000.0</v>
      </c>
      <c r="E54" s="15">
        <f t="shared" ref="E54:E68" si="10">A54*D54</f>
        <v>9000</v>
      </c>
      <c r="F54" s="16"/>
      <c r="G54" s="24"/>
      <c r="H54" s="24"/>
      <c r="I54" s="15">
        <v>5000.0</v>
      </c>
      <c r="J54" s="16">
        <f t="shared" ref="J54:J68" si="11">I54*A54</f>
        <v>5000</v>
      </c>
      <c r="K54" s="16">
        <f t="shared" ref="K54:K68" si="12">E54-J54</f>
        <v>4000</v>
      </c>
      <c r="L54" s="30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3.0</v>
      </c>
      <c r="B55" s="12" t="s">
        <v>28</v>
      </c>
      <c r="C55" s="14" t="s">
        <v>74</v>
      </c>
      <c r="D55" s="15">
        <v>1000.0</v>
      </c>
      <c r="E55" s="15">
        <f t="shared" si="10"/>
        <v>3000</v>
      </c>
      <c r="F55" s="16"/>
      <c r="G55" s="24"/>
      <c r="H55" s="24"/>
      <c r="I55" s="15">
        <f>2500/6</f>
        <v>416.6666667</v>
      </c>
      <c r="J55" s="16">
        <f t="shared" si="11"/>
        <v>1250</v>
      </c>
      <c r="K55" s="16">
        <f t="shared" si="12"/>
        <v>1750</v>
      </c>
      <c r="L55" s="30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1.0</v>
      </c>
      <c r="B56" s="12" t="s">
        <v>17</v>
      </c>
      <c r="C56" s="14" t="s">
        <v>278</v>
      </c>
      <c r="D56" s="15">
        <v>3500.0</v>
      </c>
      <c r="E56" s="15">
        <f t="shared" si="10"/>
        <v>3500</v>
      </c>
      <c r="F56" s="16"/>
      <c r="G56" s="24"/>
      <c r="H56" s="32" t="s">
        <v>279</v>
      </c>
      <c r="I56" s="15"/>
      <c r="J56" s="16">
        <f t="shared" si="11"/>
        <v>0</v>
      </c>
      <c r="K56" s="16">
        <f t="shared" si="12"/>
        <v>3500</v>
      </c>
      <c r="L56" s="30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4.0</v>
      </c>
      <c r="B57" s="12" t="s">
        <v>5</v>
      </c>
      <c r="C57" s="14" t="s">
        <v>38</v>
      </c>
      <c r="D57" s="15">
        <v>1400.0</v>
      </c>
      <c r="E57" s="15">
        <f t="shared" si="10"/>
        <v>5600</v>
      </c>
      <c r="F57" s="16"/>
      <c r="G57" s="24"/>
      <c r="H57" s="24"/>
      <c r="I57" s="15">
        <f>67000/70</f>
        <v>957.1428571</v>
      </c>
      <c r="J57" s="16">
        <f t="shared" si="11"/>
        <v>3828.571429</v>
      </c>
      <c r="K57" s="16">
        <f t="shared" si="12"/>
        <v>1771.428571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3.0</v>
      </c>
      <c r="B58" s="12" t="s">
        <v>28</v>
      </c>
      <c r="C58" s="14" t="s">
        <v>67</v>
      </c>
      <c r="D58" s="15">
        <v>1500.0</v>
      </c>
      <c r="E58" s="15">
        <f t="shared" si="10"/>
        <v>4500</v>
      </c>
      <c r="F58" s="16"/>
      <c r="G58" s="24"/>
      <c r="H58" s="32" t="s">
        <v>279</v>
      </c>
      <c r="I58" s="15"/>
      <c r="J58" s="16">
        <f t="shared" si="11"/>
        <v>0</v>
      </c>
      <c r="K58" s="16">
        <f t="shared" si="12"/>
        <v>4500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1.0</v>
      </c>
      <c r="B59" s="12" t="s">
        <v>17</v>
      </c>
      <c r="C59" s="14" t="s">
        <v>45</v>
      </c>
      <c r="D59" s="15">
        <v>3200.0</v>
      </c>
      <c r="E59" s="15">
        <f t="shared" si="10"/>
        <v>3200</v>
      </c>
      <c r="F59" s="16"/>
      <c r="G59" s="24"/>
      <c r="H59" s="24"/>
      <c r="I59" s="15">
        <f>35000/15</f>
        <v>2333.333333</v>
      </c>
      <c r="J59" s="16">
        <f t="shared" si="11"/>
        <v>2333.333333</v>
      </c>
      <c r="K59" s="16">
        <f t="shared" si="12"/>
        <v>866.6666667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3.0</v>
      </c>
      <c r="B60" s="12" t="s">
        <v>28</v>
      </c>
      <c r="C60" s="14" t="s">
        <v>33</v>
      </c>
      <c r="D60" s="15">
        <v>1800.0</v>
      </c>
      <c r="E60" s="15">
        <f t="shared" si="10"/>
        <v>5400</v>
      </c>
      <c r="F60" s="16"/>
      <c r="G60" s="24"/>
      <c r="H60" s="24"/>
      <c r="I60" s="15">
        <v>1000.0</v>
      </c>
      <c r="J60" s="16">
        <f t="shared" si="11"/>
        <v>3000</v>
      </c>
      <c r="K60" s="16">
        <f t="shared" si="12"/>
        <v>2400</v>
      </c>
      <c r="L60" s="30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4.0</v>
      </c>
      <c r="B61" s="12" t="s">
        <v>17</v>
      </c>
      <c r="C61" s="14" t="s">
        <v>265</v>
      </c>
      <c r="D61" s="15">
        <v>1800.0</v>
      </c>
      <c r="E61" s="15">
        <f t="shared" si="10"/>
        <v>7200</v>
      </c>
      <c r="F61" s="16"/>
      <c r="G61" s="24"/>
      <c r="H61" s="24"/>
      <c r="I61" s="15">
        <f>15000/15</f>
        <v>1000</v>
      </c>
      <c r="J61" s="16">
        <f t="shared" si="11"/>
        <v>4000</v>
      </c>
      <c r="K61" s="16">
        <f t="shared" si="12"/>
        <v>3200</v>
      </c>
      <c r="L61" s="30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1.0</v>
      </c>
      <c r="B62" s="12" t="s">
        <v>17</v>
      </c>
      <c r="C62" s="14" t="s">
        <v>72</v>
      </c>
      <c r="D62" s="15">
        <v>5000.0</v>
      </c>
      <c r="E62" s="15">
        <f t="shared" si="10"/>
        <v>5000</v>
      </c>
      <c r="F62" s="16"/>
      <c r="G62" s="24"/>
      <c r="H62" s="24"/>
      <c r="I62" s="15">
        <v>5000.0</v>
      </c>
      <c r="J62" s="16">
        <f t="shared" si="11"/>
        <v>5000</v>
      </c>
      <c r="K62" s="16">
        <f t="shared" si="12"/>
        <v>0</v>
      </c>
      <c r="L62" s="30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2.0</v>
      </c>
      <c r="B63" s="12" t="s">
        <v>17</v>
      </c>
      <c r="C63" s="14" t="s">
        <v>20</v>
      </c>
      <c r="D63" s="15">
        <v>1500.0</v>
      </c>
      <c r="E63" s="15">
        <f t="shared" si="10"/>
        <v>3000</v>
      </c>
      <c r="F63" s="16"/>
      <c r="G63" s="24"/>
      <c r="H63" s="24"/>
      <c r="I63" s="15">
        <v>1000.0</v>
      </c>
      <c r="J63" s="16">
        <f t="shared" si="11"/>
        <v>2000</v>
      </c>
      <c r="K63" s="16">
        <f t="shared" si="12"/>
        <v>1000</v>
      </c>
      <c r="L63" s="30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0.35</v>
      </c>
      <c r="B64" s="12" t="s">
        <v>17</v>
      </c>
      <c r="C64" s="14" t="s">
        <v>165</v>
      </c>
      <c r="D64" s="15">
        <v>12000.0</v>
      </c>
      <c r="E64" s="15">
        <f t="shared" si="10"/>
        <v>4200</v>
      </c>
      <c r="F64" s="16"/>
      <c r="G64" s="24"/>
      <c r="H64" s="24"/>
      <c r="I64" s="15">
        <f>65000/7</f>
        <v>9285.714286</v>
      </c>
      <c r="J64" s="16">
        <f t="shared" si="11"/>
        <v>3250</v>
      </c>
      <c r="K64" s="16">
        <f t="shared" si="12"/>
        <v>950</v>
      </c>
      <c r="L64" s="30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2.0</v>
      </c>
      <c r="B65" s="12" t="s">
        <v>184</v>
      </c>
      <c r="C65" s="14" t="s">
        <v>185</v>
      </c>
      <c r="D65" s="15">
        <v>3000.0</v>
      </c>
      <c r="E65" s="15">
        <f t="shared" si="10"/>
        <v>6000</v>
      </c>
      <c r="F65" s="16"/>
      <c r="G65" s="24"/>
      <c r="H65" s="24"/>
      <c r="I65" s="15">
        <f>22000/12</f>
        <v>1833.333333</v>
      </c>
      <c r="J65" s="16">
        <f t="shared" si="11"/>
        <v>3666.666667</v>
      </c>
      <c r="K65" s="16">
        <f t="shared" si="12"/>
        <v>2333.333333</v>
      </c>
      <c r="L65" s="30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1.0</v>
      </c>
      <c r="B66" s="12" t="s">
        <v>17</v>
      </c>
      <c r="C66" s="14" t="s">
        <v>15</v>
      </c>
      <c r="D66" s="15">
        <v>4500.0</v>
      </c>
      <c r="E66" s="15">
        <f t="shared" si="10"/>
        <v>4500</v>
      </c>
      <c r="F66" s="16"/>
      <c r="G66" s="24"/>
      <c r="H66" s="24"/>
      <c r="I66" s="15">
        <v>4000.0</v>
      </c>
      <c r="J66" s="16">
        <f t="shared" si="11"/>
        <v>4000</v>
      </c>
      <c r="K66" s="16">
        <f t="shared" si="12"/>
        <v>500</v>
      </c>
      <c r="L66" s="30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2.0</v>
      </c>
      <c r="B67" s="12" t="s">
        <v>17</v>
      </c>
      <c r="C67" s="14" t="s">
        <v>19</v>
      </c>
      <c r="D67" s="15">
        <v>3000.0</v>
      </c>
      <c r="E67" s="15">
        <f t="shared" si="10"/>
        <v>6000</v>
      </c>
      <c r="F67" s="16"/>
      <c r="G67" s="24"/>
      <c r="H67" s="24"/>
      <c r="I67" s="15">
        <v>2000.0</v>
      </c>
      <c r="J67" s="16">
        <f t="shared" si="11"/>
        <v>4000</v>
      </c>
      <c r="K67" s="16">
        <f t="shared" si="12"/>
        <v>2000</v>
      </c>
      <c r="L67" s="31" t="s">
        <v>2</v>
      </c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0.5</v>
      </c>
      <c r="B68" s="12" t="s">
        <v>17</v>
      </c>
      <c r="C68" s="14" t="s">
        <v>220</v>
      </c>
      <c r="D68" s="15">
        <v>4500.0</v>
      </c>
      <c r="E68" s="15">
        <f t="shared" si="10"/>
        <v>2250</v>
      </c>
      <c r="F68" s="16"/>
      <c r="G68" s="24"/>
      <c r="H68" s="24"/>
      <c r="I68" s="15">
        <f>25000/8</f>
        <v>3125</v>
      </c>
      <c r="J68" s="16">
        <f t="shared" si="11"/>
        <v>1562.5</v>
      </c>
      <c r="K68" s="16">
        <f t="shared" si="12"/>
        <v>687.5</v>
      </c>
      <c r="L68" s="30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/>
      <c r="B69" s="12"/>
      <c r="C69" s="14"/>
      <c r="D69" s="15"/>
      <c r="E69" s="16"/>
      <c r="F69" s="16"/>
      <c r="G69" s="24"/>
      <c r="H69" s="24"/>
      <c r="I69" s="16"/>
      <c r="J69" s="16"/>
      <c r="K69" s="16"/>
      <c r="L69" s="30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/>
      <c r="B70" s="12"/>
      <c r="C70" s="14"/>
      <c r="D70" s="15"/>
      <c r="E70" s="16">
        <f>SUM(E54:E68)</f>
        <v>72350</v>
      </c>
      <c r="F70" s="16"/>
      <c r="G70" s="24"/>
      <c r="H70" s="24"/>
      <c r="I70" s="16"/>
      <c r="J70" s="16"/>
      <c r="K70" s="16">
        <f>SUM(K54:K68)</f>
        <v>29458.92857</v>
      </c>
      <c r="L70" s="30">
        <f>K70/E70</f>
        <v>0.4071724751</v>
      </c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33"/>
      <c r="B71" s="34"/>
      <c r="C71" s="2"/>
      <c r="D71" s="3"/>
      <c r="E71" s="3"/>
      <c r="F71" s="3"/>
      <c r="G71" s="2"/>
      <c r="H71" s="2"/>
      <c r="I71" s="2"/>
      <c r="J71" s="2"/>
      <c r="K71" s="3"/>
      <c r="L71" s="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1"/>
      <c r="P72" s="21"/>
      <c r="Q72" s="21"/>
      <c r="R72" s="2"/>
      <c r="S72" s="3"/>
      <c r="T72" s="3"/>
      <c r="U72" s="1"/>
      <c r="V72" s="3"/>
      <c r="W72" s="3"/>
      <c r="X72" s="3"/>
      <c r="Y72" s="3"/>
      <c r="Z72" s="3"/>
    </row>
    <row r="73">
      <c r="A73" s="33"/>
      <c r="B73" s="34"/>
      <c r="C73" s="2"/>
      <c r="D73" s="3"/>
      <c r="E73" s="3"/>
      <c r="F73" s="3"/>
      <c r="G73" s="2"/>
      <c r="H73" s="2"/>
      <c r="I73" s="2"/>
      <c r="J73" s="2"/>
      <c r="K73" s="3"/>
      <c r="L73" s="4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23" t="s">
        <v>83</v>
      </c>
      <c r="B74" s="23"/>
      <c r="C74" s="23"/>
      <c r="D74" s="25" t="s">
        <v>233</v>
      </c>
      <c r="E74" s="7">
        <v>46045.0</v>
      </c>
      <c r="F74" s="28"/>
      <c r="G74" s="24"/>
      <c r="H74" s="24"/>
      <c r="I74" s="16"/>
      <c r="J74" s="16"/>
      <c r="K74" s="16"/>
      <c r="L74" s="29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B75" s="24"/>
      <c r="C75" s="26"/>
      <c r="D75" s="24"/>
      <c r="E75" s="24"/>
      <c r="F75" s="24"/>
      <c r="G75" s="24"/>
      <c r="H75" s="24"/>
      <c r="I75" s="16"/>
      <c r="J75" s="16"/>
      <c r="K75" s="16"/>
      <c r="L75" s="29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5" t="s">
        <v>4</v>
      </c>
      <c r="B76" s="10" t="s">
        <v>5</v>
      </c>
      <c r="C76" s="11" t="s">
        <v>6</v>
      </c>
      <c r="D76" s="12" t="s">
        <v>7</v>
      </c>
      <c r="E76" s="10" t="s">
        <v>8</v>
      </c>
      <c r="F76" s="12"/>
      <c r="G76" s="24"/>
      <c r="H76" s="24"/>
      <c r="I76" s="12" t="s">
        <v>7</v>
      </c>
      <c r="J76" s="12" t="s">
        <v>8</v>
      </c>
      <c r="K76" s="12" t="s">
        <v>10</v>
      </c>
      <c r="L76" s="29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2.0</v>
      </c>
      <c r="B77" s="12" t="s">
        <v>42</v>
      </c>
      <c r="C77" s="14" t="s">
        <v>238</v>
      </c>
      <c r="D77" s="15">
        <v>22000.0</v>
      </c>
      <c r="E77" s="15">
        <f t="shared" ref="E77:E79" si="13">A77*D77</f>
        <v>44000</v>
      </c>
      <c r="F77" s="16"/>
      <c r="G77" s="24"/>
      <c r="H77" s="24"/>
      <c r="I77" s="16">
        <v>16500.0</v>
      </c>
      <c r="J77" s="16">
        <f t="shared" ref="J77:J79" si="14">I77*A77</f>
        <v>33000</v>
      </c>
      <c r="K77" s="16">
        <f t="shared" ref="K77:K79" si="15">E77-J77</f>
        <v>11000</v>
      </c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2.0</v>
      </c>
      <c r="B78" s="12" t="s">
        <v>28</v>
      </c>
      <c r="C78" s="14" t="s">
        <v>74</v>
      </c>
      <c r="D78" s="15">
        <v>1000.0</v>
      </c>
      <c r="E78" s="15">
        <f t="shared" si="13"/>
        <v>2000</v>
      </c>
      <c r="F78" s="16"/>
      <c r="G78" s="24"/>
      <c r="H78" s="24"/>
      <c r="I78" s="16">
        <f>2500/6</f>
        <v>416.6666667</v>
      </c>
      <c r="J78" s="16">
        <f t="shared" si="14"/>
        <v>833.3333333</v>
      </c>
      <c r="K78" s="16">
        <f t="shared" si="15"/>
        <v>1166.666667</v>
      </c>
      <c r="L78" s="30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3.1</v>
      </c>
      <c r="B79" s="12" t="s">
        <v>17</v>
      </c>
      <c r="C79" s="14" t="s">
        <v>178</v>
      </c>
      <c r="D79" s="15">
        <v>3500.0</v>
      </c>
      <c r="E79" s="15">
        <f t="shared" si="13"/>
        <v>10850</v>
      </c>
      <c r="F79" s="16"/>
      <c r="G79" s="24"/>
      <c r="H79" s="24"/>
      <c r="I79" s="16">
        <v>2800.0</v>
      </c>
      <c r="J79" s="16">
        <f t="shared" si="14"/>
        <v>8680</v>
      </c>
      <c r="K79" s="16">
        <f t="shared" si="15"/>
        <v>2170</v>
      </c>
      <c r="L79" s="30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/>
      <c r="B80" s="12"/>
      <c r="C80" s="14"/>
      <c r="D80" s="15"/>
      <c r="E80" s="16"/>
      <c r="F80" s="16"/>
      <c r="H80" s="24"/>
      <c r="I80" s="16"/>
      <c r="J80" s="16"/>
      <c r="K80" s="16"/>
      <c r="L80" s="30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/>
      <c r="B81" s="12"/>
      <c r="C81" s="14"/>
      <c r="D81" s="15"/>
      <c r="E81" s="16">
        <f>SUM(E77:E80)</f>
        <v>56850</v>
      </c>
      <c r="F81" s="16"/>
      <c r="G81" s="24"/>
      <c r="H81" s="24"/>
      <c r="I81" s="16"/>
      <c r="J81" s="16"/>
      <c r="K81" s="16">
        <f>SUM(K77:K79)</f>
        <v>14336.66667</v>
      </c>
      <c r="L81" s="30">
        <f>K81/E81</f>
        <v>0.2521841102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/>
      <c r="B82" s="12"/>
      <c r="C82" s="14"/>
      <c r="D82" s="15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/>
      <c r="B83" s="12"/>
      <c r="C83" s="14"/>
      <c r="D83" s="15"/>
      <c r="E83" s="3"/>
      <c r="F83" s="3"/>
      <c r="G83" s="2"/>
      <c r="H83" s="2"/>
      <c r="I83" s="2"/>
      <c r="J83" s="2"/>
      <c r="K83" s="3"/>
      <c r="L83" s="4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23"/>
      <c r="B84" s="23"/>
      <c r="C84" s="23"/>
      <c r="D84" s="25"/>
      <c r="E84" s="7"/>
      <c r="F84" s="28"/>
      <c r="G84" s="24"/>
      <c r="H84" s="24"/>
      <c r="I84" s="16"/>
      <c r="J84" s="16"/>
      <c r="K84" s="16"/>
      <c r="L84" s="29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23" t="s">
        <v>221</v>
      </c>
      <c r="B85" s="23"/>
      <c r="C85" s="23"/>
      <c r="D85" s="25" t="s">
        <v>262</v>
      </c>
      <c r="E85" s="7">
        <v>46045.0</v>
      </c>
      <c r="F85" s="28"/>
      <c r="G85" s="24"/>
      <c r="H85" s="24"/>
      <c r="I85" s="16"/>
      <c r="J85" s="16"/>
      <c r="K85" s="16"/>
      <c r="L85" s="29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B86" s="24"/>
      <c r="C86" s="26"/>
      <c r="D86" s="24"/>
      <c r="E86" s="24"/>
      <c r="F86" s="24"/>
      <c r="G86" s="24"/>
      <c r="H86" s="24"/>
      <c r="I86" s="16"/>
      <c r="J86" s="16"/>
      <c r="K86" s="16"/>
      <c r="L86" s="29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5" t="s">
        <v>4</v>
      </c>
      <c r="B87" s="10" t="s">
        <v>5</v>
      </c>
      <c r="C87" s="11" t="s">
        <v>6</v>
      </c>
      <c r="D87" s="12" t="s">
        <v>7</v>
      </c>
      <c r="E87" s="10" t="s">
        <v>8</v>
      </c>
      <c r="F87" s="12"/>
      <c r="G87" s="24"/>
      <c r="H87" s="24"/>
      <c r="I87" s="12" t="s">
        <v>7</v>
      </c>
      <c r="J87" s="12" t="s">
        <v>8</v>
      </c>
      <c r="K87" s="12" t="s">
        <v>10</v>
      </c>
      <c r="L87" s="29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5.0</v>
      </c>
      <c r="B88" s="12" t="s">
        <v>17</v>
      </c>
      <c r="C88" s="14" t="s">
        <v>280</v>
      </c>
      <c r="D88" s="15">
        <v>3000.0</v>
      </c>
      <c r="E88" s="15">
        <f t="shared" ref="E88:E99" si="16">A88*D88</f>
        <v>15000</v>
      </c>
      <c r="F88" s="16"/>
      <c r="G88" s="24"/>
      <c r="H88" s="32" t="s">
        <v>2</v>
      </c>
      <c r="I88" s="16">
        <v>2000.0</v>
      </c>
      <c r="J88" s="16">
        <f t="shared" ref="J88:J99" si="17">I88*A88</f>
        <v>10000</v>
      </c>
      <c r="K88" s="16">
        <f t="shared" ref="K88:K99" si="18">E88-J88</f>
        <v>5000</v>
      </c>
      <c r="L88" s="30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4.0</v>
      </c>
      <c r="B89" s="12" t="s">
        <v>17</v>
      </c>
      <c r="C89" s="14" t="s">
        <v>44</v>
      </c>
      <c r="D89" s="15">
        <v>2200.0</v>
      </c>
      <c r="E89" s="15">
        <f t="shared" si="16"/>
        <v>8800</v>
      </c>
      <c r="F89" s="16"/>
      <c r="G89" s="24"/>
      <c r="H89" s="24"/>
      <c r="I89" s="16">
        <f>10000/8</f>
        <v>1250</v>
      </c>
      <c r="J89" s="16">
        <f t="shared" si="17"/>
        <v>5000</v>
      </c>
      <c r="K89" s="16">
        <f t="shared" si="18"/>
        <v>3800</v>
      </c>
      <c r="L89" s="30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2.0</v>
      </c>
      <c r="B90" s="12" t="s">
        <v>146</v>
      </c>
      <c r="C90" s="14" t="s">
        <v>33</v>
      </c>
      <c r="D90" s="15">
        <v>2000.0</v>
      </c>
      <c r="E90" s="15">
        <f t="shared" si="16"/>
        <v>4000</v>
      </c>
      <c r="F90" s="16"/>
      <c r="G90" s="24"/>
      <c r="H90" s="24"/>
      <c r="I90" s="16">
        <v>1000.0</v>
      </c>
      <c r="J90" s="16">
        <f t="shared" si="17"/>
        <v>2000</v>
      </c>
      <c r="K90" s="16">
        <f t="shared" si="18"/>
        <v>2000</v>
      </c>
      <c r="L90" s="30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8.0</v>
      </c>
      <c r="B91" s="12" t="s">
        <v>28</v>
      </c>
      <c r="C91" s="14" t="s">
        <v>147</v>
      </c>
      <c r="D91" s="15">
        <v>500.0</v>
      </c>
      <c r="E91" s="15">
        <f t="shared" si="16"/>
        <v>4000</v>
      </c>
      <c r="F91" s="16"/>
      <c r="G91" s="24"/>
      <c r="H91" s="24"/>
      <c r="I91" s="16">
        <f>2000/6</f>
        <v>333.3333333</v>
      </c>
      <c r="J91" s="16">
        <f t="shared" si="17"/>
        <v>2666.666667</v>
      </c>
      <c r="K91" s="16">
        <f t="shared" si="18"/>
        <v>1333.333333</v>
      </c>
      <c r="L91" s="30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1.0</v>
      </c>
      <c r="B92" s="12" t="s">
        <v>17</v>
      </c>
      <c r="C92" s="14" t="s">
        <v>165</v>
      </c>
      <c r="D92" s="15">
        <v>12000.0</v>
      </c>
      <c r="E92" s="15">
        <f t="shared" si="16"/>
        <v>12000</v>
      </c>
      <c r="F92" s="16"/>
      <c r="G92" s="24"/>
      <c r="H92" s="24"/>
      <c r="I92" s="16">
        <f>65000/7</f>
        <v>9285.714286</v>
      </c>
      <c r="J92" s="16">
        <f t="shared" si="17"/>
        <v>9285.714286</v>
      </c>
      <c r="K92" s="16">
        <f t="shared" si="18"/>
        <v>2714.285714</v>
      </c>
      <c r="L92" s="30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1.0</v>
      </c>
      <c r="B93" s="12" t="s">
        <v>17</v>
      </c>
      <c r="C93" s="14" t="s">
        <v>186</v>
      </c>
      <c r="D93" s="15">
        <v>18500.0</v>
      </c>
      <c r="E93" s="15">
        <f t="shared" si="16"/>
        <v>18500</v>
      </c>
      <c r="F93" s="16"/>
      <c r="G93" s="24"/>
      <c r="H93" s="24"/>
      <c r="I93" s="16">
        <v>16000.0</v>
      </c>
      <c r="J93" s="16">
        <f t="shared" si="17"/>
        <v>16000</v>
      </c>
      <c r="K93" s="16">
        <f t="shared" si="18"/>
        <v>2500</v>
      </c>
      <c r="L93" s="30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3.0</v>
      </c>
      <c r="B94" s="12" t="s">
        <v>17</v>
      </c>
      <c r="C94" s="14" t="s">
        <v>192</v>
      </c>
      <c r="D94" s="15">
        <v>3800.0</v>
      </c>
      <c r="E94" s="15">
        <f t="shared" si="16"/>
        <v>11400</v>
      </c>
      <c r="F94" s="16"/>
      <c r="G94" s="24"/>
      <c r="H94" s="24"/>
      <c r="I94" s="16">
        <f>20000/8</f>
        <v>2500</v>
      </c>
      <c r="J94" s="16">
        <f t="shared" si="17"/>
        <v>7500</v>
      </c>
      <c r="K94" s="16">
        <f t="shared" si="18"/>
        <v>3900</v>
      </c>
      <c r="L94" s="30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1.0</v>
      </c>
      <c r="B95" s="12" t="s">
        <v>13</v>
      </c>
      <c r="C95" s="14" t="s">
        <v>206</v>
      </c>
      <c r="D95" s="15">
        <v>52000.0</v>
      </c>
      <c r="E95" s="15">
        <f t="shared" si="16"/>
        <v>52000</v>
      </c>
      <c r="F95" s="16"/>
      <c r="G95" s="24"/>
      <c r="H95" s="24"/>
      <c r="I95" s="16">
        <v>40000.0</v>
      </c>
      <c r="J95" s="16">
        <f t="shared" si="17"/>
        <v>40000</v>
      </c>
      <c r="K95" s="16">
        <f t="shared" si="18"/>
        <v>12000</v>
      </c>
      <c r="L95" s="30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3.0</v>
      </c>
      <c r="B96" s="12" t="s">
        <v>32</v>
      </c>
      <c r="C96" s="14" t="s">
        <v>281</v>
      </c>
      <c r="D96" s="15">
        <v>22000.0</v>
      </c>
      <c r="E96" s="15">
        <f t="shared" si="16"/>
        <v>66000</v>
      </c>
      <c r="F96" s="16"/>
      <c r="G96" s="24"/>
      <c r="H96" s="24"/>
      <c r="I96" s="16">
        <v>18000.0</v>
      </c>
      <c r="J96" s="16">
        <f t="shared" si="17"/>
        <v>54000</v>
      </c>
      <c r="K96" s="16">
        <f t="shared" si="18"/>
        <v>12000</v>
      </c>
      <c r="L96" s="30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2.0</v>
      </c>
      <c r="B97" s="12" t="s">
        <v>13</v>
      </c>
      <c r="C97" s="14" t="s">
        <v>45</v>
      </c>
      <c r="D97" s="15">
        <v>38000.0</v>
      </c>
      <c r="E97" s="15">
        <f t="shared" si="16"/>
        <v>76000</v>
      </c>
      <c r="F97" s="16"/>
      <c r="G97" s="24"/>
      <c r="H97" s="24"/>
      <c r="I97" s="16">
        <v>30000.0</v>
      </c>
      <c r="J97" s="16">
        <f t="shared" si="17"/>
        <v>60000</v>
      </c>
      <c r="K97" s="16">
        <f t="shared" si="18"/>
        <v>16000</v>
      </c>
      <c r="L97" s="30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1.0</v>
      </c>
      <c r="B98" s="82" t="s">
        <v>282</v>
      </c>
      <c r="C98" s="14" t="s">
        <v>143</v>
      </c>
      <c r="D98" s="15">
        <v>3000.0</v>
      </c>
      <c r="E98" s="15">
        <f t="shared" si="16"/>
        <v>3000</v>
      </c>
      <c r="F98" s="16"/>
      <c r="G98" s="24"/>
      <c r="H98" s="24"/>
      <c r="I98" s="16">
        <v>2000.0</v>
      </c>
      <c r="J98" s="16">
        <f t="shared" si="17"/>
        <v>2000</v>
      </c>
      <c r="K98" s="16">
        <f t="shared" si="18"/>
        <v>1000</v>
      </c>
      <c r="L98" s="30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>
        <v>4.0</v>
      </c>
      <c r="B99" s="12" t="s">
        <v>17</v>
      </c>
      <c r="C99" s="14" t="s">
        <v>144</v>
      </c>
      <c r="D99" s="15">
        <v>4000.0</v>
      </c>
      <c r="E99" s="15">
        <f t="shared" si="16"/>
        <v>16000</v>
      </c>
      <c r="F99" s="16"/>
      <c r="G99" s="24"/>
      <c r="H99" s="24"/>
      <c r="I99" s="16">
        <v>3000.0</v>
      </c>
      <c r="J99" s="16">
        <f t="shared" si="17"/>
        <v>12000</v>
      </c>
      <c r="K99" s="16">
        <f t="shared" si="18"/>
        <v>4000</v>
      </c>
      <c r="L99" s="30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/>
      <c r="B100" s="12"/>
      <c r="C100" s="14"/>
      <c r="D100" s="15"/>
      <c r="E100" s="16"/>
      <c r="F100" s="16"/>
      <c r="H100" s="24"/>
      <c r="I100" s="16"/>
      <c r="J100" s="16"/>
      <c r="K100" s="16"/>
      <c r="L100" s="30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/>
      <c r="B101" s="12"/>
      <c r="C101" s="14"/>
      <c r="D101" s="15"/>
      <c r="E101" s="16">
        <f>SUM(E88:E100)</f>
        <v>286700</v>
      </c>
      <c r="F101" s="16"/>
      <c r="G101" s="24"/>
      <c r="H101" s="24"/>
      <c r="I101" s="16"/>
      <c r="J101" s="16"/>
      <c r="K101" s="16">
        <f>SUM(K88:K99)</f>
        <v>66247.61905</v>
      </c>
      <c r="L101" s="30">
        <f>K101/E101</f>
        <v>0.231069477</v>
      </c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/>
      <c r="B102" s="12"/>
      <c r="C102" s="14"/>
      <c r="D102" s="15"/>
      <c r="E102" s="3"/>
      <c r="F102" s="3"/>
      <c r="G102" s="2"/>
      <c r="H102" s="2"/>
      <c r="I102" s="2"/>
      <c r="J102" s="2"/>
      <c r="K102" s="3"/>
      <c r="L102" s="4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23" t="s">
        <v>283</v>
      </c>
      <c r="B103" s="23"/>
      <c r="C103" s="23"/>
      <c r="D103" s="25" t="s">
        <v>48</v>
      </c>
      <c r="E103" s="7">
        <v>46045.0</v>
      </c>
      <c r="F103" s="7"/>
      <c r="G103" s="6"/>
      <c r="H103" s="3"/>
      <c r="I103" s="8" t="s">
        <v>3</v>
      </c>
      <c r="L103" s="4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B104" s="24"/>
      <c r="C104" s="26"/>
      <c r="D104" s="7"/>
      <c r="E104" s="24"/>
      <c r="F104" s="3"/>
      <c r="G104" s="3"/>
      <c r="H104" s="3"/>
      <c r="I104" s="3"/>
      <c r="J104" s="3"/>
      <c r="K104" s="3"/>
      <c r="L104" s="4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5" t="s">
        <v>4</v>
      </c>
      <c r="B105" s="10" t="s">
        <v>5</v>
      </c>
      <c r="C105" s="11" t="s">
        <v>6</v>
      </c>
      <c r="D105" s="12" t="s">
        <v>7</v>
      </c>
      <c r="E105" s="10" t="s">
        <v>8</v>
      </c>
      <c r="F105" s="10" t="s">
        <v>9</v>
      </c>
      <c r="G105" s="3"/>
      <c r="H105" s="3"/>
      <c r="I105" s="27" t="s">
        <v>7</v>
      </c>
      <c r="J105" s="10" t="s">
        <v>8</v>
      </c>
      <c r="K105" s="10" t="s">
        <v>10</v>
      </c>
      <c r="L105" s="4"/>
      <c r="M105" s="19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13">
        <v>1.0</v>
      </c>
      <c r="B106" s="12" t="s">
        <v>28</v>
      </c>
      <c r="C106" s="14" t="s">
        <v>172</v>
      </c>
      <c r="D106" s="15">
        <v>6000.0</v>
      </c>
      <c r="E106" s="16">
        <f t="shared" ref="E106:E113" si="19">A106*D106</f>
        <v>6000</v>
      </c>
      <c r="F106" s="15">
        <f t="shared" ref="F106:F113" si="20">E106*1.105</f>
        <v>6630</v>
      </c>
      <c r="G106" s="2"/>
      <c r="H106" s="3"/>
      <c r="I106" s="15">
        <v>6000.0</v>
      </c>
      <c r="J106" s="15">
        <f t="shared" ref="J106:J113" si="21">I106*A106</f>
        <v>6000</v>
      </c>
      <c r="K106" s="15">
        <f t="shared" ref="K106:K113" si="22">E106-J106</f>
        <v>0</v>
      </c>
      <c r="L106" s="2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3">
        <v>0.5</v>
      </c>
      <c r="B107" s="12" t="s">
        <v>17</v>
      </c>
      <c r="C107" s="14" t="s">
        <v>35</v>
      </c>
      <c r="D107" s="15">
        <v>3500.0</v>
      </c>
      <c r="E107" s="16">
        <f t="shared" si="19"/>
        <v>1750</v>
      </c>
      <c r="F107" s="15">
        <f t="shared" si="20"/>
        <v>1933.75</v>
      </c>
      <c r="G107" s="2"/>
      <c r="H107" s="3"/>
      <c r="I107" s="15">
        <v>1000.0</v>
      </c>
      <c r="J107" s="15">
        <f t="shared" si="21"/>
        <v>500</v>
      </c>
      <c r="K107" s="15">
        <f t="shared" si="22"/>
        <v>1250</v>
      </c>
      <c r="L107" s="2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13">
        <v>3.0</v>
      </c>
      <c r="B108" s="12" t="s">
        <v>17</v>
      </c>
      <c r="C108" s="14" t="s">
        <v>86</v>
      </c>
      <c r="D108" s="15">
        <v>1400.0</v>
      </c>
      <c r="E108" s="16">
        <f t="shared" si="19"/>
        <v>4200</v>
      </c>
      <c r="F108" s="15">
        <f t="shared" si="20"/>
        <v>4641</v>
      </c>
      <c r="G108" s="2"/>
      <c r="H108" s="3"/>
      <c r="I108" s="15">
        <v>1000.0</v>
      </c>
      <c r="J108" s="15">
        <f t="shared" si="21"/>
        <v>3000</v>
      </c>
      <c r="K108" s="15">
        <f t="shared" si="22"/>
        <v>1200</v>
      </c>
      <c r="L108" s="2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13">
        <v>2.0</v>
      </c>
      <c r="B109" s="12" t="s">
        <v>28</v>
      </c>
      <c r="C109" s="14" t="s">
        <v>63</v>
      </c>
      <c r="D109" s="15">
        <v>2500.0</v>
      </c>
      <c r="E109" s="16">
        <f t="shared" si="19"/>
        <v>5000</v>
      </c>
      <c r="F109" s="15">
        <f t="shared" si="20"/>
        <v>5525</v>
      </c>
      <c r="G109" s="2"/>
      <c r="H109" s="3"/>
      <c r="I109" s="15">
        <v>1000.0</v>
      </c>
      <c r="J109" s="15">
        <f t="shared" si="21"/>
        <v>2000</v>
      </c>
      <c r="K109" s="15">
        <f t="shared" si="22"/>
        <v>3000</v>
      </c>
      <c r="L109" s="2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13">
        <v>2.0</v>
      </c>
      <c r="B110" s="12" t="s">
        <v>28</v>
      </c>
      <c r="C110" s="14" t="s">
        <v>197</v>
      </c>
      <c r="D110" s="15">
        <v>3500.0</v>
      </c>
      <c r="E110" s="16">
        <f t="shared" si="19"/>
        <v>7000</v>
      </c>
      <c r="F110" s="15">
        <f t="shared" si="20"/>
        <v>7735</v>
      </c>
      <c r="G110" s="2"/>
      <c r="H110" s="3"/>
      <c r="I110" s="15">
        <v>2000.0</v>
      </c>
      <c r="J110" s="15">
        <f t="shared" si="21"/>
        <v>4000</v>
      </c>
      <c r="K110" s="15">
        <f t="shared" si="22"/>
        <v>3000</v>
      </c>
      <c r="L110" s="22"/>
      <c r="M110" s="20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>
        <v>0.5</v>
      </c>
      <c r="B111" s="12" t="s">
        <v>17</v>
      </c>
      <c r="C111" s="14" t="s">
        <v>31</v>
      </c>
      <c r="D111" s="15">
        <v>1500.0</v>
      </c>
      <c r="E111" s="16">
        <f t="shared" si="19"/>
        <v>750</v>
      </c>
      <c r="F111" s="15">
        <f t="shared" si="20"/>
        <v>828.75</v>
      </c>
      <c r="G111" s="2"/>
      <c r="H111" s="3"/>
      <c r="I111" s="15">
        <v>1600.0</v>
      </c>
      <c r="J111" s="15">
        <f t="shared" si="21"/>
        <v>800</v>
      </c>
      <c r="K111" s="15">
        <f t="shared" si="22"/>
        <v>-50</v>
      </c>
      <c r="L111" s="22"/>
      <c r="M111" s="20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1.0</v>
      </c>
      <c r="B112" s="12" t="s">
        <v>5</v>
      </c>
      <c r="C112" s="14" t="s">
        <v>187</v>
      </c>
      <c r="D112" s="15">
        <v>1800.0</v>
      </c>
      <c r="E112" s="16">
        <f t="shared" si="19"/>
        <v>1800</v>
      </c>
      <c r="F112" s="15">
        <f t="shared" si="20"/>
        <v>1989</v>
      </c>
      <c r="G112" s="2"/>
      <c r="H112" s="3"/>
      <c r="I112" s="15">
        <v>1500.0</v>
      </c>
      <c r="J112" s="15">
        <f t="shared" si="21"/>
        <v>1500</v>
      </c>
      <c r="K112" s="15">
        <f t="shared" si="22"/>
        <v>300</v>
      </c>
      <c r="L112" s="22"/>
      <c r="M112" s="20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1.0</v>
      </c>
      <c r="B113" s="12" t="s">
        <v>39</v>
      </c>
      <c r="C113" s="14" t="s">
        <v>181</v>
      </c>
      <c r="D113" s="15">
        <v>6000.0</v>
      </c>
      <c r="E113" s="16">
        <f t="shared" si="19"/>
        <v>6000</v>
      </c>
      <c r="F113" s="15">
        <f t="shared" si="20"/>
        <v>6630</v>
      </c>
      <c r="G113" s="2"/>
      <c r="H113" s="3"/>
      <c r="I113" s="15">
        <v>0.0</v>
      </c>
      <c r="J113" s="15">
        <f t="shared" si="21"/>
        <v>0</v>
      </c>
      <c r="K113" s="15">
        <f t="shared" si="22"/>
        <v>6000</v>
      </c>
      <c r="L113" s="22"/>
      <c r="M113" s="20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/>
      <c r="B114" s="12"/>
      <c r="C114" s="14"/>
      <c r="D114" s="15"/>
      <c r="E114" s="16"/>
      <c r="F114" s="15"/>
      <c r="G114" s="2"/>
      <c r="H114" s="3"/>
      <c r="I114" s="3"/>
      <c r="J114" s="3"/>
      <c r="K114" s="15"/>
      <c r="L114" s="22"/>
      <c r="M114" s="20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/>
      <c r="B115" s="12"/>
      <c r="C115" s="14"/>
      <c r="D115" s="15"/>
      <c r="E115" s="16">
        <f t="shared" ref="E115:F115" si="23">SUM(E106:E113)</f>
        <v>32500</v>
      </c>
      <c r="F115" s="16">
        <f t="shared" si="23"/>
        <v>35912.5</v>
      </c>
      <c r="G115" s="2"/>
      <c r="H115" s="3"/>
      <c r="I115" s="3"/>
      <c r="J115" s="3"/>
      <c r="K115" s="15">
        <f>SUM(K106:K113)</f>
        <v>14700</v>
      </c>
      <c r="L115" s="22">
        <f>K115/E115</f>
        <v>0.4523076923</v>
      </c>
      <c r="M115" s="20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/>
      <c r="B116" s="83"/>
      <c r="C116" s="14"/>
      <c r="D116" s="15"/>
      <c r="E116" s="16"/>
      <c r="F116" s="15"/>
      <c r="G116" s="2"/>
      <c r="H116" s="3"/>
      <c r="I116" s="16"/>
      <c r="J116" s="15"/>
      <c r="K116" s="15"/>
      <c r="L116" s="25"/>
      <c r="M116" s="20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 t="s">
        <v>284</v>
      </c>
      <c r="B117" s="83">
        <v>0.04</v>
      </c>
      <c r="C117" s="14"/>
      <c r="D117" s="15"/>
      <c r="E117" s="16">
        <f>E115*0.04</f>
        <v>1300</v>
      </c>
      <c r="F117" s="15"/>
      <c r="G117" s="2"/>
      <c r="H117" s="3"/>
      <c r="I117" s="16"/>
      <c r="J117" s="15"/>
      <c r="K117" s="15"/>
      <c r="L117" s="25"/>
      <c r="M117" s="20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/>
      <c r="B118" s="12"/>
      <c r="C118" s="14"/>
      <c r="D118" s="15"/>
      <c r="E118" s="16"/>
      <c r="F118" s="15"/>
      <c r="G118" s="2"/>
      <c r="H118" s="3"/>
      <c r="I118" s="16"/>
      <c r="J118" s="15"/>
      <c r="K118" s="15"/>
      <c r="L118" s="25"/>
      <c r="M118" s="20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5"/>
      <c r="B119" s="5"/>
      <c r="C119" s="5"/>
      <c r="D119" s="6"/>
      <c r="E119" s="25"/>
      <c r="F119" s="7"/>
      <c r="G119" s="3"/>
      <c r="H119" s="3"/>
      <c r="I119" s="8"/>
      <c r="J119" s="8"/>
      <c r="K119" s="8"/>
      <c r="L119" s="4"/>
      <c r="M119" s="1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5"/>
      <c r="B120" s="5"/>
      <c r="C120" s="5"/>
      <c r="D120" s="6"/>
      <c r="E120" s="25"/>
      <c r="F120" s="7"/>
      <c r="G120" s="3"/>
      <c r="H120" s="3"/>
      <c r="I120" s="8"/>
      <c r="J120" s="8"/>
      <c r="K120" s="8"/>
      <c r="L120" s="4"/>
      <c r="M120" s="1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5" t="s">
        <v>285</v>
      </c>
      <c r="B121" s="5"/>
      <c r="C121" s="5"/>
      <c r="D121" s="6"/>
      <c r="E121" s="25" t="s">
        <v>48</v>
      </c>
      <c r="F121" s="7">
        <v>46045.0</v>
      </c>
      <c r="G121" s="3" t="s">
        <v>2</v>
      </c>
      <c r="H121" s="3"/>
      <c r="I121" s="8" t="s">
        <v>3</v>
      </c>
      <c r="L121" s="4"/>
      <c r="M121" s="1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"/>
      <c r="B122" s="3"/>
      <c r="C122" s="9"/>
      <c r="D122" s="3"/>
      <c r="E122" s="3"/>
      <c r="F122" s="3"/>
      <c r="G122" s="3"/>
      <c r="H122" s="3"/>
      <c r="I122" s="3"/>
      <c r="J122" s="3"/>
      <c r="K122" s="3"/>
      <c r="L122" s="4"/>
      <c r="M122" s="1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5" t="s">
        <v>4</v>
      </c>
      <c r="B123" s="10" t="s">
        <v>5</v>
      </c>
      <c r="C123" s="11" t="s">
        <v>6</v>
      </c>
      <c r="D123" s="10" t="s">
        <v>7</v>
      </c>
      <c r="E123" s="10" t="s">
        <v>8</v>
      </c>
      <c r="F123" s="10" t="s">
        <v>2</v>
      </c>
      <c r="G123" s="3"/>
      <c r="H123" s="3"/>
      <c r="I123" s="10" t="s">
        <v>7</v>
      </c>
      <c r="J123" s="10" t="s">
        <v>8</v>
      </c>
      <c r="K123" s="10" t="s">
        <v>10</v>
      </c>
      <c r="L123" s="4"/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78">
        <v>1.5</v>
      </c>
      <c r="B124" s="10" t="s">
        <v>17</v>
      </c>
      <c r="C124" s="11" t="s">
        <v>168</v>
      </c>
      <c r="D124" s="15">
        <v>3500.0</v>
      </c>
      <c r="E124" s="15">
        <f t="shared" ref="E124:E135" si="24">A124*D124</f>
        <v>5250</v>
      </c>
      <c r="F124" s="15"/>
      <c r="G124" s="3"/>
      <c r="H124" s="6" t="s">
        <v>276</v>
      </c>
      <c r="I124" s="15">
        <v>0.0</v>
      </c>
      <c r="J124" s="15">
        <f t="shared" ref="J124:J135" si="25">I124*A124</f>
        <v>0</v>
      </c>
      <c r="K124" s="15">
        <f t="shared" ref="K124:K135" si="26">E124-J124</f>
        <v>5250</v>
      </c>
      <c r="L124" s="4"/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78">
        <v>0.5</v>
      </c>
      <c r="B125" s="10" t="s">
        <v>17</v>
      </c>
      <c r="C125" s="11" t="s">
        <v>196</v>
      </c>
      <c r="D125" s="15">
        <v>3500.0</v>
      </c>
      <c r="E125" s="15">
        <f t="shared" si="24"/>
        <v>1750</v>
      </c>
      <c r="F125" s="15"/>
      <c r="G125" s="3"/>
      <c r="H125" s="6" t="s">
        <v>276</v>
      </c>
      <c r="I125" s="15">
        <v>0.0</v>
      </c>
      <c r="J125" s="15">
        <f t="shared" si="25"/>
        <v>0</v>
      </c>
      <c r="K125" s="15">
        <f t="shared" si="26"/>
        <v>1750</v>
      </c>
      <c r="L125" s="4"/>
      <c r="M125" s="1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78">
        <v>2.0</v>
      </c>
      <c r="B126" s="10" t="s">
        <v>28</v>
      </c>
      <c r="C126" s="11" t="s">
        <v>147</v>
      </c>
      <c r="D126" s="15">
        <v>450.0</v>
      </c>
      <c r="E126" s="15">
        <f t="shared" si="24"/>
        <v>900</v>
      </c>
      <c r="F126" s="15"/>
      <c r="G126" s="3"/>
      <c r="H126" s="6" t="s">
        <v>276</v>
      </c>
      <c r="I126" s="15">
        <v>0.0</v>
      </c>
      <c r="J126" s="15">
        <f t="shared" si="25"/>
        <v>0</v>
      </c>
      <c r="K126" s="15">
        <f t="shared" si="26"/>
        <v>900</v>
      </c>
      <c r="L126" s="4"/>
      <c r="M126" s="1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78">
        <v>2.0</v>
      </c>
      <c r="B127" s="10" t="s">
        <v>32</v>
      </c>
      <c r="C127" s="11" t="s">
        <v>20</v>
      </c>
      <c r="D127" s="15">
        <v>15000.0</v>
      </c>
      <c r="E127" s="15">
        <f t="shared" si="24"/>
        <v>30000</v>
      </c>
      <c r="F127" s="15"/>
      <c r="G127" s="3"/>
      <c r="H127" s="3" t="s">
        <v>2</v>
      </c>
      <c r="I127" s="15">
        <v>10000.0</v>
      </c>
      <c r="J127" s="15">
        <f t="shared" si="25"/>
        <v>20000</v>
      </c>
      <c r="K127" s="15">
        <f t="shared" si="26"/>
        <v>10000</v>
      </c>
      <c r="L127" s="4"/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78">
        <v>1.0</v>
      </c>
      <c r="B128" s="10" t="s">
        <v>28</v>
      </c>
      <c r="C128" s="11" t="s">
        <v>74</v>
      </c>
      <c r="D128" s="15">
        <v>1000.0</v>
      </c>
      <c r="E128" s="15">
        <f t="shared" si="24"/>
        <v>1000</v>
      </c>
      <c r="F128" s="15"/>
      <c r="G128" s="3"/>
      <c r="H128" s="3" t="s">
        <v>2</v>
      </c>
      <c r="I128" s="15">
        <f>2500/6</f>
        <v>416.6666667</v>
      </c>
      <c r="J128" s="15">
        <f t="shared" si="25"/>
        <v>416.6666667</v>
      </c>
      <c r="K128" s="15">
        <f t="shared" si="26"/>
        <v>583.3333333</v>
      </c>
      <c r="L128" s="4"/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78">
        <v>1.0</v>
      </c>
      <c r="B129" s="10" t="s">
        <v>28</v>
      </c>
      <c r="C129" s="11" t="s">
        <v>143</v>
      </c>
      <c r="D129" s="15">
        <v>3000.0</v>
      </c>
      <c r="E129" s="15">
        <f t="shared" si="24"/>
        <v>3000</v>
      </c>
      <c r="F129" s="15"/>
      <c r="G129" s="3"/>
      <c r="H129" s="3"/>
      <c r="I129" s="15">
        <v>2000.0</v>
      </c>
      <c r="J129" s="15">
        <f t="shared" si="25"/>
        <v>2000</v>
      </c>
      <c r="K129" s="15">
        <f t="shared" si="26"/>
        <v>1000</v>
      </c>
      <c r="L129" s="4"/>
      <c r="M129" s="1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78">
        <v>1.5</v>
      </c>
      <c r="B130" s="10" t="s">
        <v>17</v>
      </c>
      <c r="C130" s="11" t="s">
        <v>192</v>
      </c>
      <c r="D130" s="15">
        <v>3500.0</v>
      </c>
      <c r="E130" s="15">
        <f t="shared" si="24"/>
        <v>5250</v>
      </c>
      <c r="F130" s="15"/>
      <c r="G130" s="3"/>
      <c r="H130" s="3"/>
      <c r="I130" s="15">
        <f>20000/8</f>
        <v>2500</v>
      </c>
      <c r="J130" s="15">
        <f t="shared" si="25"/>
        <v>3750</v>
      </c>
      <c r="K130" s="15">
        <f t="shared" si="26"/>
        <v>1500</v>
      </c>
      <c r="L130" s="4"/>
      <c r="M130" s="1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78">
        <v>1.0</v>
      </c>
      <c r="B131" s="10" t="s">
        <v>17</v>
      </c>
      <c r="C131" s="11" t="s">
        <v>35</v>
      </c>
      <c r="D131" s="15">
        <v>3200.0</v>
      </c>
      <c r="E131" s="15">
        <f t="shared" si="24"/>
        <v>3200</v>
      </c>
      <c r="F131" s="15"/>
      <c r="G131" s="3"/>
      <c r="H131" s="3" t="s">
        <v>2</v>
      </c>
      <c r="I131" s="15">
        <v>1000.0</v>
      </c>
      <c r="J131" s="15">
        <f t="shared" si="25"/>
        <v>1000</v>
      </c>
      <c r="K131" s="15">
        <f t="shared" si="26"/>
        <v>2200</v>
      </c>
      <c r="L131" s="4"/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78">
        <v>12.0</v>
      </c>
      <c r="B132" s="10" t="s">
        <v>5</v>
      </c>
      <c r="C132" s="11" t="s">
        <v>38</v>
      </c>
      <c r="D132" s="15">
        <v>1000.0</v>
      </c>
      <c r="E132" s="15">
        <f t="shared" si="24"/>
        <v>12000</v>
      </c>
      <c r="F132" s="15"/>
      <c r="G132" s="3"/>
      <c r="H132" s="3" t="s">
        <v>2</v>
      </c>
      <c r="I132" s="15">
        <f>53000/80</f>
        <v>662.5</v>
      </c>
      <c r="J132" s="15">
        <f t="shared" si="25"/>
        <v>7950</v>
      </c>
      <c r="K132" s="15">
        <f t="shared" si="26"/>
        <v>4050</v>
      </c>
      <c r="L132" s="4"/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78">
        <v>1.0</v>
      </c>
      <c r="B133" s="10" t="s">
        <v>17</v>
      </c>
      <c r="C133" s="11" t="s">
        <v>165</v>
      </c>
      <c r="D133" s="15">
        <v>11500.0</v>
      </c>
      <c r="E133" s="15">
        <f t="shared" si="24"/>
        <v>11500</v>
      </c>
      <c r="F133" s="15"/>
      <c r="G133" s="3"/>
      <c r="H133" s="3" t="s">
        <v>2</v>
      </c>
      <c r="I133" s="15">
        <f>65000/7</f>
        <v>9285.714286</v>
      </c>
      <c r="J133" s="15">
        <f t="shared" si="25"/>
        <v>9285.714286</v>
      </c>
      <c r="K133" s="15">
        <f t="shared" si="26"/>
        <v>2214.285714</v>
      </c>
      <c r="L133" s="4"/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78">
        <v>1.0</v>
      </c>
      <c r="B134" s="10" t="s">
        <v>17</v>
      </c>
      <c r="C134" s="11" t="s">
        <v>19</v>
      </c>
      <c r="D134" s="15">
        <v>2600.0</v>
      </c>
      <c r="E134" s="15">
        <f t="shared" si="24"/>
        <v>2600</v>
      </c>
      <c r="F134" s="15"/>
      <c r="G134" s="3"/>
      <c r="H134" s="3" t="s">
        <v>2</v>
      </c>
      <c r="I134" s="15">
        <v>2000.0</v>
      </c>
      <c r="J134" s="15">
        <f t="shared" si="25"/>
        <v>2000</v>
      </c>
      <c r="K134" s="15">
        <f t="shared" si="26"/>
        <v>600</v>
      </c>
      <c r="L134" s="4"/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78">
        <v>2.0</v>
      </c>
      <c r="B135" s="10" t="s">
        <v>17</v>
      </c>
      <c r="C135" s="11" t="s">
        <v>164</v>
      </c>
      <c r="D135" s="15">
        <v>6000.0</v>
      </c>
      <c r="E135" s="15">
        <f t="shared" si="24"/>
        <v>12000</v>
      </c>
      <c r="F135" s="15"/>
      <c r="G135" s="3"/>
      <c r="H135" s="3" t="s">
        <v>2</v>
      </c>
      <c r="I135" s="15">
        <v>5000.0</v>
      </c>
      <c r="J135" s="15">
        <f t="shared" si="25"/>
        <v>10000</v>
      </c>
      <c r="K135" s="15">
        <f t="shared" si="26"/>
        <v>2000</v>
      </c>
      <c r="L135" s="4"/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"/>
      <c r="B136" s="3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"/>
      <c r="B137" s="3"/>
      <c r="C137" s="2"/>
      <c r="D137" s="3"/>
      <c r="E137" s="15">
        <f>SUM(E124:E135)</f>
        <v>88450</v>
      </c>
      <c r="F137" s="15"/>
      <c r="G137" s="3"/>
      <c r="H137" s="3"/>
      <c r="I137" s="3"/>
      <c r="J137" s="3"/>
      <c r="K137" s="15">
        <f>SUM(K124:K135)</f>
        <v>32047.61905</v>
      </c>
      <c r="L137" s="22">
        <f>K137/E137</f>
        <v>0.3623246925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/>
      <c r="B138" s="12"/>
      <c r="C138" s="14"/>
      <c r="D138" s="15"/>
      <c r="E138" s="3"/>
      <c r="F138" s="3"/>
      <c r="G138" s="2"/>
      <c r="H138" s="2"/>
      <c r="I138" s="2"/>
      <c r="J138" s="2"/>
      <c r="K138" s="3"/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 t="s">
        <v>284</v>
      </c>
      <c r="B139" s="83">
        <v>0.04</v>
      </c>
      <c r="C139" s="14"/>
      <c r="D139" s="15"/>
      <c r="E139" s="16">
        <f>E137*0.04</f>
        <v>3538</v>
      </c>
      <c r="F139" s="15"/>
      <c r="G139" s="2"/>
      <c r="H139" s="3"/>
      <c r="I139" s="16"/>
      <c r="J139" s="15"/>
      <c r="K139" s="15"/>
      <c r="L139" s="25"/>
      <c r="M139" s="20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/>
      <c r="B140" s="12"/>
      <c r="C140" s="14"/>
      <c r="D140" s="15"/>
      <c r="E140" s="3"/>
      <c r="F140" s="3"/>
      <c r="G140" s="2"/>
      <c r="H140" s="2"/>
      <c r="I140" s="2"/>
      <c r="J140" s="2"/>
      <c r="K140" s="3"/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13"/>
      <c r="B141" s="12"/>
      <c r="C141" s="14"/>
      <c r="D141" s="15"/>
      <c r="E141" s="3"/>
      <c r="F141" s="3"/>
      <c r="G141" s="2"/>
      <c r="H141" s="2"/>
      <c r="I141" s="2"/>
      <c r="J141" s="2"/>
      <c r="K141" s="3"/>
      <c r="L141" s="4"/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3"/>
      <c r="B142" s="12"/>
      <c r="C142" s="14"/>
      <c r="D142" s="15"/>
      <c r="E142" s="3"/>
      <c r="F142" s="3"/>
      <c r="G142" s="2"/>
      <c r="H142" s="2"/>
      <c r="I142" s="2"/>
      <c r="J142" s="2"/>
      <c r="K142" s="3"/>
      <c r="L142" s="4"/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33" t="s">
        <v>88</v>
      </c>
      <c r="B143" s="34">
        <f>E137+F115+E101+E81+E70+E47+E36+E13</f>
        <v>974112.5</v>
      </c>
      <c r="C143" s="2"/>
      <c r="D143" s="3"/>
      <c r="E143" s="3"/>
      <c r="F143" s="3"/>
      <c r="G143" s="2"/>
      <c r="H143" s="2"/>
      <c r="I143" s="2"/>
      <c r="J143" s="2"/>
      <c r="K143" s="3"/>
      <c r="L143" s="4"/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1"/>
      <c r="B144" s="2"/>
      <c r="C144" s="2"/>
      <c r="D144" s="3"/>
      <c r="E144" s="3"/>
      <c r="F144" s="3"/>
      <c r="G144" s="2"/>
      <c r="H144" s="2"/>
      <c r="I144" s="2"/>
      <c r="J144" s="2"/>
      <c r="K144" s="3"/>
      <c r="L144" s="4"/>
      <c r="M144" s="2"/>
      <c r="N144" s="2"/>
      <c r="O144" s="2"/>
      <c r="P144" s="2"/>
      <c r="Q144" s="3"/>
      <c r="R144" s="9"/>
      <c r="S144" s="3"/>
      <c r="T144" s="3"/>
      <c r="U144" s="1"/>
      <c r="V144" s="3"/>
      <c r="W144" s="3"/>
      <c r="X144" s="3"/>
      <c r="Y144" s="3"/>
      <c r="Z144" s="3"/>
    </row>
    <row r="145">
      <c r="A145" s="33" t="s">
        <v>89</v>
      </c>
      <c r="B145" s="34">
        <f>K137+K115+K101+K81+K70+K47+K36+K13</f>
        <v>303560.8333</v>
      </c>
      <c r="C145" s="2"/>
      <c r="D145" s="3"/>
      <c r="E145" s="3"/>
      <c r="F145" s="3"/>
      <c r="G145" s="2"/>
      <c r="H145" s="2"/>
      <c r="I145" s="2"/>
      <c r="J145" s="2"/>
      <c r="K145" s="3"/>
      <c r="L145" s="4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"/>
      <c r="B146" s="2"/>
      <c r="C146" s="2"/>
      <c r="D146" s="3"/>
      <c r="E146" s="3"/>
      <c r="F146" s="3"/>
      <c r="G146" s="2"/>
      <c r="H146" s="2"/>
      <c r="I146" s="2"/>
      <c r="J146" s="2"/>
      <c r="K146" s="3"/>
      <c r="L146" s="4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33" t="s">
        <v>90</v>
      </c>
      <c r="B147" s="35">
        <f>B145/B143</f>
        <v>0.3116281059</v>
      </c>
      <c r="C147" s="2"/>
      <c r="D147" s="3"/>
      <c r="E147" s="3"/>
      <c r="F147" s="3"/>
      <c r="G147" s="2"/>
      <c r="H147" s="2"/>
      <c r="I147" s="2"/>
      <c r="J147" s="2"/>
      <c r="K147" s="3"/>
      <c r="L147" s="4"/>
      <c r="M147" s="2"/>
      <c r="N147" s="2"/>
      <c r="O147" s="2"/>
      <c r="P147" s="2"/>
      <c r="Q147" s="2"/>
      <c r="R147" s="2"/>
      <c r="S147" s="3"/>
      <c r="T147" s="3"/>
      <c r="U147" s="1"/>
      <c r="V147" s="3"/>
      <c r="W147" s="3"/>
      <c r="X147" s="2"/>
      <c r="Y147" s="2"/>
      <c r="Z147" s="2"/>
    </row>
    <row r="148">
      <c r="A148" s="1"/>
      <c r="B148" s="2"/>
      <c r="C148" s="2"/>
      <c r="D148" s="3"/>
      <c r="E148" s="3"/>
      <c r="F148" s="3"/>
      <c r="G148" s="2"/>
      <c r="H148" s="2"/>
      <c r="I148" s="2"/>
      <c r="J148" s="2"/>
      <c r="K148" s="3"/>
      <c r="L148" s="4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36" t="s">
        <v>91</v>
      </c>
      <c r="C149" s="37"/>
      <c r="D149" s="6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9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1"/>
      <c r="B151" s="2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1"/>
      <c r="B152" s="1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X153" s="3"/>
      <c r="Y153" s="3"/>
      <c r="Z153" s="3"/>
    </row>
    <row r="154" ht="15.75" customHeight="1">
      <c r="A154" s="39"/>
      <c r="B154" s="40" t="s">
        <v>92</v>
      </c>
      <c r="C154" s="41" t="s">
        <v>93</v>
      </c>
      <c r="D154" s="42" t="s">
        <v>94</v>
      </c>
      <c r="E154" s="42" t="s">
        <v>95</v>
      </c>
      <c r="F154" s="42" t="s">
        <v>96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9"/>
      <c r="X154" s="3"/>
      <c r="Y154" s="3"/>
      <c r="Z154" s="3"/>
    </row>
    <row r="155" ht="15.75" customHeight="1">
      <c r="A155" s="43"/>
      <c r="B155" s="44">
        <f>'22-01-2026 '!B126</f>
        <v>213537.25</v>
      </c>
      <c r="C155" s="44">
        <f>'22-01-2026 '!C126</f>
        <v>1338479.728</v>
      </c>
      <c r="D155" s="44">
        <f>'22-01-2026 '!D126</f>
        <v>2388443.928</v>
      </c>
      <c r="E155" s="44">
        <f>'22-01-2026 '!E126</f>
        <v>0</v>
      </c>
      <c r="F155" s="44">
        <f>'22-01-2026 '!F126</f>
        <v>637428.4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1"/>
      <c r="B156" s="46"/>
      <c r="C156" s="46"/>
      <c r="D156" s="46"/>
      <c r="E156" s="4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40" t="s">
        <v>97</v>
      </c>
      <c r="B157" s="47"/>
      <c r="C157" s="47"/>
      <c r="D157" s="47"/>
      <c r="E157" s="47"/>
      <c r="F157" s="4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98</v>
      </c>
      <c r="B158" s="49">
        <v>0.0</v>
      </c>
      <c r="C158" s="49">
        <v>0.0</v>
      </c>
      <c r="D158" s="49">
        <v>0.0</v>
      </c>
      <c r="E158" s="49">
        <v>0.0</v>
      </c>
      <c r="F158" s="49">
        <v>964956.69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3" t="s">
        <v>99</v>
      </c>
      <c r="B159" s="49">
        <v>0.0</v>
      </c>
      <c r="C159" s="49">
        <v>1008.47</v>
      </c>
      <c r="D159" s="49">
        <v>0.0</v>
      </c>
      <c r="E159" s="49">
        <v>0.0</v>
      </c>
      <c r="F159" s="49">
        <v>0.0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3" t="s">
        <v>100</v>
      </c>
      <c r="B160" s="49">
        <v>0.0</v>
      </c>
      <c r="C160" s="49">
        <v>0.0</v>
      </c>
      <c r="D160" s="49">
        <v>0.0</v>
      </c>
      <c r="E160" s="49">
        <v>0.0</v>
      </c>
      <c r="F160" s="49">
        <v>0.0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13" t="s">
        <v>101</v>
      </c>
      <c r="B161" s="49">
        <v>0.0</v>
      </c>
      <c r="C161" s="49">
        <v>0.0</v>
      </c>
      <c r="D161" s="49">
        <v>0.0</v>
      </c>
      <c r="E161" s="49">
        <v>0.0</v>
      </c>
      <c r="F161" s="49">
        <v>0.0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13" t="s">
        <v>102</v>
      </c>
      <c r="B162" s="49">
        <v>0.0</v>
      </c>
      <c r="C162" s="49">
        <v>0.0</v>
      </c>
      <c r="D162" s="49">
        <v>0.0</v>
      </c>
      <c r="E162" s="49">
        <v>0.0</v>
      </c>
      <c r="F162" s="49">
        <v>0.0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3" t="s">
        <v>202</v>
      </c>
      <c r="B163" s="49">
        <v>0.0</v>
      </c>
      <c r="C163" s="49">
        <v>0.0</v>
      </c>
      <c r="D163" s="49">
        <v>0.0</v>
      </c>
      <c r="E163" s="49">
        <v>0.0</v>
      </c>
      <c r="F163" s="49">
        <v>0.0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13" t="s">
        <v>203</v>
      </c>
      <c r="B164" s="49">
        <v>0.0</v>
      </c>
      <c r="C164" s="50">
        <f>C158*2%</f>
        <v>0</v>
      </c>
      <c r="D164" s="49">
        <f>SUM(D158:D159)*2%</f>
        <v>0</v>
      </c>
      <c r="E164" s="49">
        <v>0.0</v>
      </c>
      <c r="F164" s="49">
        <v>0.0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13" t="s">
        <v>103</v>
      </c>
      <c r="B165" s="49">
        <v>0.0</v>
      </c>
      <c r="C165" s="50">
        <f>C158*0.6%+C161*0.6%</f>
        <v>0</v>
      </c>
      <c r="D165" s="49">
        <f>SUM(D158:D160)*0.6%</f>
        <v>0</v>
      </c>
      <c r="E165" s="49">
        <v>0.0</v>
      </c>
      <c r="F165" s="49">
        <v>0.0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1"/>
      <c r="B166" s="46"/>
      <c r="C166" s="46"/>
      <c r="D166" s="46"/>
      <c r="E166" s="4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51" t="s">
        <v>8</v>
      </c>
      <c r="B167" s="52">
        <f>SUM(B155:B165)</f>
        <v>213537.25</v>
      </c>
      <c r="C167" s="52">
        <f>C155+C158+C161+C162-C165+C159-C164</f>
        <v>1339488.198</v>
      </c>
      <c r="D167" s="53">
        <f>D155+D158+D161+D162-D165+D160-D164-D163</f>
        <v>2388443.928</v>
      </c>
      <c r="E167" s="52">
        <f>E155+E158+E161+E162-E165</f>
        <v>0</v>
      </c>
      <c r="F167" s="54">
        <f>F155+F158+F161+F162-F165-D160</f>
        <v>1602385.09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1"/>
      <c r="B168" s="1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40" t="s">
        <v>104</v>
      </c>
      <c r="B169" s="47"/>
      <c r="C169" s="47"/>
      <c r="D169" s="47"/>
      <c r="E169" s="47"/>
      <c r="F169" s="4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105</v>
      </c>
      <c r="B170" s="55">
        <v>1000.0</v>
      </c>
      <c r="C170" s="55">
        <v>0.0</v>
      </c>
      <c r="D170" s="55">
        <v>0.0</v>
      </c>
      <c r="E170" s="55">
        <v>0.0</v>
      </c>
      <c r="F170" s="2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106</v>
      </c>
      <c r="B171" s="49">
        <v>0.0</v>
      </c>
      <c r="C171" s="49">
        <v>0.0</v>
      </c>
      <c r="D171" s="49">
        <v>0.0</v>
      </c>
      <c r="E171" s="49">
        <v>0.0</v>
      </c>
      <c r="F171" s="2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107</v>
      </c>
      <c r="B172" s="55">
        <v>0.0</v>
      </c>
      <c r="C172" s="55">
        <v>0.0</v>
      </c>
      <c r="D172" s="49">
        <v>900000.0</v>
      </c>
      <c r="E172" s="55">
        <v>0.0</v>
      </c>
      <c r="F172" s="2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108</v>
      </c>
      <c r="B173" s="55">
        <v>2800.0</v>
      </c>
      <c r="C173" s="55">
        <v>0.0</v>
      </c>
      <c r="D173" s="55">
        <v>0.0</v>
      </c>
      <c r="E173" s="55">
        <v>0.0</v>
      </c>
      <c r="F173" s="2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3" t="s">
        <v>109</v>
      </c>
      <c r="B174" s="55">
        <v>0.0</v>
      </c>
      <c r="C174" s="55">
        <v>235800.0</v>
      </c>
      <c r="D174" s="55">
        <v>0.0</v>
      </c>
      <c r="E174" s="55">
        <v>0.0</v>
      </c>
      <c r="F174" s="2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3" t="s">
        <v>110</v>
      </c>
      <c r="B175" s="55">
        <v>0.0</v>
      </c>
      <c r="C175" s="55">
        <v>65000.0</v>
      </c>
      <c r="D175" s="55">
        <v>0.0</v>
      </c>
      <c r="E175" s="55">
        <v>0.0</v>
      </c>
      <c r="F175" s="26"/>
      <c r="G175" s="2"/>
      <c r="H175" s="56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 t="s">
        <v>111</v>
      </c>
      <c r="B176" s="49">
        <v>0.0</v>
      </c>
      <c r="C176" s="49">
        <v>0.0</v>
      </c>
      <c r="D176" s="49">
        <v>0.0</v>
      </c>
      <c r="E176" s="49">
        <v>0.0</v>
      </c>
      <c r="F176" s="2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3" t="s">
        <v>112</v>
      </c>
      <c r="B177" s="49">
        <v>0.0</v>
      </c>
      <c r="C177" s="49">
        <v>0.0</v>
      </c>
      <c r="D177" s="49">
        <v>0.0</v>
      </c>
      <c r="E177" s="49">
        <v>0.0</v>
      </c>
      <c r="F177" s="26"/>
      <c r="G177" s="2"/>
      <c r="H177" s="56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113</v>
      </c>
      <c r="B178" s="49">
        <v>0.0</v>
      </c>
      <c r="C178" s="49">
        <v>0.0</v>
      </c>
      <c r="D178" s="49">
        <v>0.0</v>
      </c>
      <c r="E178" s="49">
        <v>0.0</v>
      </c>
      <c r="F178" s="26"/>
      <c r="G178" s="2"/>
      <c r="H178" s="56"/>
      <c r="I178" s="2"/>
      <c r="J178" s="2"/>
      <c r="K178" s="2"/>
      <c r="L178" s="2"/>
      <c r="M178" s="2"/>
      <c r="N178" s="2"/>
      <c r="O178" s="2"/>
      <c r="P178" s="2"/>
      <c r="Q178" s="3"/>
      <c r="R178" s="9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114</v>
      </c>
      <c r="B179" s="55">
        <v>0.0</v>
      </c>
      <c r="C179" s="55">
        <v>0.0</v>
      </c>
      <c r="D179" s="55">
        <v>0.0</v>
      </c>
      <c r="E179" s="55">
        <v>0.0</v>
      </c>
      <c r="F179" s="26"/>
      <c r="G179" s="2"/>
      <c r="H179" s="56"/>
      <c r="I179" s="2"/>
      <c r="J179" s="2"/>
      <c r="K179" s="2"/>
      <c r="L179" s="2"/>
      <c r="M179" s="2"/>
      <c r="N179" s="2"/>
      <c r="O179" s="2"/>
      <c r="P179" s="2"/>
      <c r="Q179" s="3"/>
      <c r="R179" s="9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115</v>
      </c>
      <c r="B180" s="55">
        <v>0.0</v>
      </c>
      <c r="C180" s="55">
        <v>0.0</v>
      </c>
      <c r="D180" s="55">
        <v>0.0</v>
      </c>
      <c r="E180" s="55">
        <v>0.0</v>
      </c>
      <c r="F180" s="26"/>
      <c r="G180" s="2"/>
      <c r="H180" s="56"/>
      <c r="I180" s="2"/>
      <c r="J180" s="2"/>
      <c r="K180" s="2"/>
      <c r="L180" s="2"/>
      <c r="M180" s="2"/>
      <c r="N180" s="2"/>
      <c r="O180" s="2"/>
      <c r="P180" s="2"/>
      <c r="Q180" s="3"/>
      <c r="R180" s="9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116</v>
      </c>
      <c r="B181" s="50">
        <v>0.0</v>
      </c>
      <c r="C181" s="50">
        <v>0.0</v>
      </c>
      <c r="D181" s="49">
        <v>0.0</v>
      </c>
      <c r="E181" s="49">
        <v>0.0</v>
      </c>
      <c r="F181" s="2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117</v>
      </c>
      <c r="B182" s="50">
        <v>0.0</v>
      </c>
      <c r="C182" s="50">
        <v>0.0</v>
      </c>
      <c r="D182" s="49">
        <v>0.0</v>
      </c>
      <c r="E182" s="49">
        <v>0.0</v>
      </c>
      <c r="F182" s="26"/>
      <c r="G182" s="2"/>
      <c r="H182" s="56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3" t="s">
        <v>118</v>
      </c>
      <c r="B183" s="50">
        <v>0.0</v>
      </c>
      <c r="C183" s="50">
        <v>0.0</v>
      </c>
      <c r="D183" s="49">
        <v>0.0</v>
      </c>
      <c r="E183" s="49">
        <v>0.0</v>
      </c>
      <c r="F183" s="2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13" t="s">
        <v>119</v>
      </c>
      <c r="B184" s="50">
        <v>0.0</v>
      </c>
      <c r="C184" s="50">
        <v>0.0</v>
      </c>
      <c r="D184" s="49">
        <v>0.0</v>
      </c>
      <c r="E184" s="49">
        <v>0.0</v>
      </c>
      <c r="F184" s="2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9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3" t="s">
        <v>120</v>
      </c>
      <c r="B185" s="50">
        <v>0.0</v>
      </c>
      <c r="C185" s="50">
        <v>0.0</v>
      </c>
      <c r="D185" s="49">
        <v>0.0</v>
      </c>
      <c r="E185" s="49">
        <v>0.0</v>
      </c>
      <c r="F185" s="2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9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13" t="s">
        <v>121</v>
      </c>
      <c r="B186" s="50">
        <v>0.0</v>
      </c>
      <c r="C186" s="50">
        <v>0.0</v>
      </c>
      <c r="D186" s="49">
        <v>0.0</v>
      </c>
      <c r="E186" s="49">
        <v>0.0</v>
      </c>
      <c r="F186" s="2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122</v>
      </c>
      <c r="B187" s="49">
        <v>0.0</v>
      </c>
      <c r="C187" s="49">
        <v>0.0</v>
      </c>
      <c r="D187" s="49">
        <v>0.0</v>
      </c>
      <c r="E187" s="49">
        <v>0.0</v>
      </c>
      <c r="F187" s="2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123</v>
      </c>
      <c r="B188" s="49">
        <v>0.0</v>
      </c>
      <c r="C188" s="49">
        <v>0.0</v>
      </c>
      <c r="D188" s="49">
        <v>0.0</v>
      </c>
      <c r="E188" s="49">
        <v>0.0</v>
      </c>
      <c r="F188" s="2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286</v>
      </c>
      <c r="B189" s="49">
        <v>0.0</v>
      </c>
      <c r="C189" s="49">
        <v>0.0</v>
      </c>
      <c r="D189" s="49">
        <v>114359.0</v>
      </c>
      <c r="E189" s="49">
        <v>0.0</v>
      </c>
      <c r="F189" s="2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13" t="s">
        <v>124</v>
      </c>
      <c r="B190" s="49">
        <v>0.0</v>
      </c>
      <c r="C190" s="49">
        <v>0.0</v>
      </c>
      <c r="D190" s="49">
        <v>0.0</v>
      </c>
      <c r="E190" s="49">
        <v>0.0</v>
      </c>
      <c r="F190" s="2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125</v>
      </c>
      <c r="B191" s="50">
        <v>0.0</v>
      </c>
      <c r="C191" s="50">
        <v>0.0</v>
      </c>
      <c r="D191" s="49">
        <v>0.0</v>
      </c>
      <c r="E191" s="49">
        <v>0.0</v>
      </c>
      <c r="F191" s="2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126</v>
      </c>
      <c r="B192" s="49">
        <v>0.0</v>
      </c>
      <c r="C192" s="49">
        <v>0.0</v>
      </c>
      <c r="D192" s="49">
        <v>0.0</v>
      </c>
      <c r="E192" s="49">
        <v>0.0</v>
      </c>
      <c r="F192" s="2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13" t="s">
        <v>127</v>
      </c>
      <c r="B193" s="49">
        <v>0.0</v>
      </c>
      <c r="C193" s="49">
        <v>0.0</v>
      </c>
      <c r="D193" s="49">
        <v>0.0</v>
      </c>
      <c r="E193" s="49">
        <v>0.0</v>
      </c>
      <c r="F193" s="2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13" t="s">
        <v>128</v>
      </c>
      <c r="B194" s="49">
        <v>0.0</v>
      </c>
      <c r="C194" s="49">
        <v>0.0</v>
      </c>
      <c r="D194" s="49">
        <v>0.0</v>
      </c>
      <c r="E194" s="49">
        <v>0.0</v>
      </c>
      <c r="F194" s="2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13" t="s">
        <v>129</v>
      </c>
      <c r="B195" s="49">
        <v>0.0</v>
      </c>
      <c r="C195" s="49">
        <v>0.0</v>
      </c>
      <c r="D195" s="49">
        <v>0.0</v>
      </c>
      <c r="E195" s="49">
        <v>0.0</v>
      </c>
      <c r="F195" s="2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57"/>
      <c r="B196" s="49"/>
      <c r="C196" s="49"/>
      <c r="D196" s="49"/>
      <c r="E196" s="49"/>
      <c r="F196" s="2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13" t="s">
        <v>130</v>
      </c>
      <c r="B197" s="50">
        <v>0.0</v>
      </c>
      <c r="C197" s="50">
        <f>SUM(C170:C194)*0.6%</f>
        <v>1804.8</v>
      </c>
      <c r="D197" s="50">
        <f>SUM(D170:D195)*0.6%</f>
        <v>6086.154</v>
      </c>
      <c r="E197" s="50">
        <f>(E174*0.6%)+(E175*0.6%)+(E176*0.6%)+(E179*0.6%)+(E180*0.6%)</f>
        <v>0</v>
      </c>
      <c r="F197" s="2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13" t="s">
        <v>131</v>
      </c>
      <c r="B198" s="50">
        <v>0.0</v>
      </c>
      <c r="C198" s="50">
        <v>0.0</v>
      </c>
      <c r="D198" s="50">
        <v>0.0</v>
      </c>
      <c r="E198" s="50">
        <f>SUM(E171:E196)*0.6%+(E199*0.6%)</f>
        <v>0</v>
      </c>
      <c r="F198" s="5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57"/>
      <c r="B199" s="57"/>
      <c r="C199" s="26"/>
      <c r="D199" s="2"/>
      <c r="E199" s="26"/>
      <c r="F199" s="2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59" t="s">
        <v>132</v>
      </c>
      <c r="B200" s="60">
        <f>SUM(B170:B199)</f>
        <v>3800</v>
      </c>
      <c r="C200" s="60">
        <f>SUM(C170:C197)</f>
        <v>302604.8</v>
      </c>
      <c r="D200" s="60">
        <f>SUM(D170:D198)</f>
        <v>1020445.154</v>
      </c>
      <c r="E200" s="60">
        <f>E181+E185+E197-E198</f>
        <v>0</v>
      </c>
      <c r="F200" s="61" t="str">
        <f>F174</f>
        <v/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57"/>
      <c r="B201" s="57"/>
      <c r="C201" s="26"/>
      <c r="D201" s="26"/>
      <c r="E201" s="26"/>
      <c r="F201" s="2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59" t="s">
        <v>133</v>
      </c>
      <c r="B202" s="62">
        <f>B167-B200</f>
        <v>209737.25</v>
      </c>
      <c r="C202" s="63">
        <f>C167-C200+C198</f>
        <v>1036883.398</v>
      </c>
      <c r="D202" s="63">
        <f>D167-D200-29.2</f>
        <v>1367969.574</v>
      </c>
      <c r="E202" s="64">
        <f t="shared" ref="E202:F202" si="27">E167-E200</f>
        <v>0</v>
      </c>
      <c r="F202" s="64">
        <f t="shared" si="27"/>
        <v>1602385.09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65" t="s">
        <v>134</v>
      </c>
      <c r="B204" s="66">
        <f>75177.25-B170-B173</f>
        <v>71377.25</v>
      </c>
      <c r="C204" s="46"/>
      <c r="D204" s="46"/>
      <c r="E204" s="46"/>
      <c r="F204" s="4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65" t="s">
        <v>135</v>
      </c>
      <c r="B205" s="66">
        <v>138360.0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46" t="s">
        <v>2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46">
        <f>SUM(B204:B205)</f>
        <v>209737.25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9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9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9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9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9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9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9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9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9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9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9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9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9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9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3"/>
      <c r="T281" s="3"/>
      <c r="U281" s="9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9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9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9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9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9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9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9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9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9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3"/>
      <c r="T323" s="3"/>
      <c r="U323" s="9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9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9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9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46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46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46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46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46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46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46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46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46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46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46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46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46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46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46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46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46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46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46"/>
      <c r="R368" s="46"/>
      <c r="S368" s="3"/>
      <c r="T368" s="3"/>
      <c r="U368" s="9"/>
      <c r="V368" s="3"/>
      <c r="W368" s="3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9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9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46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46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46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46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46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46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46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9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9"/>
      <c r="T414" s="3"/>
      <c r="U414" s="2"/>
      <c r="V414" s="3"/>
      <c r="W414" s="3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9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9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9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9"/>
      <c r="T431" s="3"/>
      <c r="U431" s="2"/>
      <c r="V431" s="3"/>
      <c r="W431" s="3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9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9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9"/>
      <c r="T442" s="3"/>
      <c r="U442" s="2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9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9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3"/>
      <c r="T458" s="3"/>
      <c r="U458" s="9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9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9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3"/>
      <c r="T472" s="9"/>
      <c r="U472" s="2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9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9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9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9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3"/>
      <c r="T484" s="9"/>
      <c r="U484" s="2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9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2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2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9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67"/>
      <c r="R499" s="2"/>
      <c r="S499" s="2"/>
      <c r="T499" s="3"/>
      <c r="U499" s="2"/>
      <c r="V499" s="2"/>
      <c r="W499" s="2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3"/>
      <c r="T500" s="3"/>
      <c r="U500" s="3"/>
      <c r="V500" s="2"/>
      <c r="W500" s="2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8"/>
      <c r="R502" s="38"/>
      <c r="S502" s="38"/>
      <c r="T502" s="38"/>
      <c r="U502" s="38"/>
      <c r="V502" s="38"/>
      <c r="W502" s="38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3"/>
      <c r="T503" s="3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"/>
      <c r="R504" s="2"/>
      <c r="S504" s="3"/>
      <c r="T504" s="3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8"/>
      <c r="R506" s="69"/>
      <c r="S506" s="70"/>
      <c r="T506" s="70"/>
      <c r="U506" s="70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1"/>
      <c r="R507" s="71"/>
      <c r="S507" s="71"/>
      <c r="T507" s="71"/>
      <c r="U507" s="71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46"/>
      <c r="R508" s="46"/>
      <c r="S508" s="46"/>
      <c r="T508" s="46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6"/>
      <c r="R510" s="46"/>
      <c r="S510" s="46"/>
      <c r="T510" s="46"/>
      <c r="U510" s="46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46"/>
      <c r="R511" s="46"/>
      <c r="S511" s="46"/>
      <c r="T511" s="46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46"/>
      <c r="R512" s="46"/>
      <c r="S512" s="46"/>
      <c r="T512" s="46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46"/>
      <c r="R513" s="46"/>
      <c r="S513" s="46"/>
      <c r="T513" s="46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46"/>
      <c r="R514" s="46"/>
      <c r="S514" s="46"/>
      <c r="T514" s="46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2"/>
      <c r="R515" s="72"/>
      <c r="S515" s="72"/>
      <c r="T515" s="72"/>
      <c r="U515" s="73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"/>
      <c r="R516" s="2"/>
      <c r="S516" s="3"/>
      <c r="T516" s="3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6"/>
      <c r="R518" s="56"/>
      <c r="S518" s="56"/>
      <c r="T518" s="56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6"/>
      <c r="R519" s="56"/>
      <c r="S519" s="56"/>
      <c r="T519" s="56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6"/>
      <c r="R520" s="56"/>
      <c r="S520" s="56"/>
      <c r="T520" s="56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6"/>
      <c r="R521" s="56"/>
      <c r="S521" s="56"/>
      <c r="T521" s="56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6"/>
      <c r="R522" s="56"/>
      <c r="S522" s="56"/>
      <c r="T522" s="56"/>
      <c r="U522" s="2"/>
      <c r="V522" s="2"/>
      <c r="W522" s="56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56"/>
      <c r="R523" s="56"/>
      <c r="S523" s="56"/>
      <c r="T523" s="56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6"/>
      <c r="R524" s="56"/>
      <c r="S524" s="56"/>
      <c r="T524" s="56"/>
      <c r="U524" s="2"/>
      <c r="V524" s="2"/>
      <c r="W524" s="56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56"/>
      <c r="R525" s="56"/>
      <c r="S525" s="56"/>
      <c r="T525" s="56"/>
      <c r="U525" s="2"/>
      <c r="V525" s="2"/>
      <c r="W525" s="56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6"/>
      <c r="R526" s="46"/>
      <c r="S526" s="46"/>
      <c r="T526" s="46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6"/>
      <c r="R527" s="46"/>
      <c r="S527" s="46"/>
      <c r="T527" s="46"/>
      <c r="U527" s="2"/>
      <c r="V527" s="2"/>
      <c r="W527" s="56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6"/>
      <c r="R528" s="46"/>
      <c r="S528" s="46"/>
      <c r="T528" s="46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46"/>
      <c r="R529" s="46"/>
      <c r="S529" s="46"/>
      <c r="T529" s="46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46"/>
      <c r="R530" s="46"/>
      <c r="S530" s="46"/>
      <c r="T530" s="46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46"/>
      <c r="R531" s="46"/>
      <c r="S531" s="46"/>
      <c r="T531" s="46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46"/>
      <c r="R532" s="46"/>
      <c r="S532" s="46"/>
      <c r="T532" s="46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46"/>
      <c r="R533" s="46"/>
      <c r="S533" s="46"/>
      <c r="T533" s="46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46"/>
      <c r="R534" s="46"/>
      <c r="S534" s="46"/>
      <c r="T534" s="46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"/>
      <c r="R535" s="46"/>
      <c r="S535" s="46"/>
      <c r="T535" s="46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2"/>
      <c r="R537" s="72"/>
      <c r="S537" s="72"/>
      <c r="T537" s="72"/>
      <c r="U537" s="73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1"/>
      <c r="R539" s="72"/>
      <c r="S539" s="72"/>
      <c r="T539" s="74"/>
      <c r="U539" s="74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46"/>
      <c r="R541" s="46"/>
      <c r="S541" s="46"/>
      <c r="T541" s="46"/>
      <c r="U541" s="46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46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</sheetData>
  <mergeCells count="10">
    <mergeCell ref="U153:W153"/>
    <mergeCell ref="U210:W210"/>
    <mergeCell ref="U245:W245"/>
    <mergeCell ref="I3:K3"/>
    <mergeCell ref="I103:K103"/>
    <mergeCell ref="I121:K121"/>
    <mergeCell ref="A149:B149"/>
    <mergeCell ref="A154:A155"/>
    <mergeCell ref="A157:F157"/>
    <mergeCell ref="A169:F169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23"/>
      <c r="B2" s="23"/>
      <c r="C2" s="23"/>
      <c r="D2" s="7"/>
      <c r="E2" s="24"/>
      <c r="F2" s="7"/>
      <c r="G2" s="6"/>
      <c r="H2" s="3"/>
      <c r="I2" s="8"/>
      <c r="J2" s="8"/>
      <c r="K2" s="8"/>
      <c r="L2" s="4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23" t="s">
        <v>47</v>
      </c>
      <c r="B3" s="23"/>
      <c r="C3" s="23"/>
      <c r="D3" s="25" t="s">
        <v>247</v>
      </c>
      <c r="E3" s="7">
        <v>46048.0</v>
      </c>
      <c r="F3" s="7"/>
      <c r="G3" s="6"/>
      <c r="H3" s="3"/>
      <c r="I3" s="8" t="s">
        <v>3</v>
      </c>
      <c r="L3" s="4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B4" s="24"/>
      <c r="C4" s="26"/>
      <c r="D4" s="7"/>
      <c r="E4" s="24"/>
      <c r="F4" s="3"/>
      <c r="G4" s="3"/>
      <c r="H4" s="3"/>
      <c r="I4" s="3"/>
      <c r="J4" s="3"/>
      <c r="K4" s="3"/>
      <c r="L4" s="4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/>
      <c r="G5" s="3"/>
      <c r="H5" s="3"/>
      <c r="I5" s="27" t="s">
        <v>7</v>
      </c>
      <c r="J5" s="10" t="s">
        <v>8</v>
      </c>
      <c r="K5" s="10" t="s">
        <v>10</v>
      </c>
      <c r="L5" s="4"/>
      <c r="M5" s="19"/>
      <c r="N5" s="18"/>
      <c r="O5" s="19"/>
      <c r="P5" s="18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4.0</v>
      </c>
      <c r="B6" s="12" t="s">
        <v>5</v>
      </c>
      <c r="C6" s="14" t="s">
        <v>55</v>
      </c>
      <c r="D6" s="15">
        <v>2500.0</v>
      </c>
      <c r="E6" s="16">
        <f t="shared" ref="E6:E18" si="1">A6*D6</f>
        <v>10000</v>
      </c>
      <c r="F6" s="15"/>
      <c r="G6" s="65"/>
      <c r="H6" s="6"/>
      <c r="I6" s="15">
        <f>15000/12</f>
        <v>1250</v>
      </c>
      <c r="J6" s="15">
        <f t="shared" ref="J6:J18" si="2">I6*A6</f>
        <v>5000</v>
      </c>
      <c r="K6" s="15">
        <f t="shared" ref="K6:K18" si="3">E6-J6</f>
        <v>5000</v>
      </c>
      <c r="L6" s="22"/>
      <c r="N6" s="21"/>
      <c r="P6" s="21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1.0</v>
      </c>
      <c r="B7" s="12" t="s">
        <v>28</v>
      </c>
      <c r="C7" s="14" t="s">
        <v>172</v>
      </c>
      <c r="D7" s="15">
        <v>6500.0</v>
      </c>
      <c r="E7" s="16">
        <f t="shared" si="1"/>
        <v>6500</v>
      </c>
      <c r="F7" s="15"/>
      <c r="G7" s="2"/>
      <c r="H7" s="3"/>
      <c r="I7" s="15">
        <v>5500.0</v>
      </c>
      <c r="J7" s="15">
        <f t="shared" si="2"/>
        <v>5500</v>
      </c>
      <c r="K7" s="15">
        <f t="shared" si="3"/>
        <v>1000</v>
      </c>
      <c r="L7" s="22"/>
      <c r="N7" s="21"/>
      <c r="P7" s="21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39</v>
      </c>
      <c r="C8" s="14" t="s">
        <v>192</v>
      </c>
      <c r="D8" s="15">
        <v>17500.0</v>
      </c>
      <c r="E8" s="16">
        <f t="shared" si="1"/>
        <v>17500</v>
      </c>
      <c r="F8" s="15"/>
      <c r="G8" s="2"/>
      <c r="H8" s="3"/>
      <c r="I8" s="15">
        <f>2500*5</f>
        <v>12500</v>
      </c>
      <c r="J8" s="15">
        <f t="shared" si="2"/>
        <v>12500</v>
      </c>
      <c r="K8" s="15">
        <f t="shared" si="3"/>
        <v>5000</v>
      </c>
      <c r="L8" s="22"/>
      <c r="N8" s="21"/>
      <c r="P8" s="21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32</v>
      </c>
      <c r="C9" s="14" t="s">
        <v>35</v>
      </c>
      <c r="D9" s="15">
        <v>22000.0</v>
      </c>
      <c r="E9" s="16">
        <f t="shared" si="1"/>
        <v>22000</v>
      </c>
      <c r="F9" s="15"/>
      <c r="G9" s="2"/>
      <c r="H9" s="3"/>
      <c r="I9" s="15">
        <v>11000.0</v>
      </c>
      <c r="J9" s="15">
        <f t="shared" si="2"/>
        <v>11000</v>
      </c>
      <c r="K9" s="15">
        <f t="shared" si="3"/>
        <v>11000</v>
      </c>
      <c r="L9" s="22"/>
      <c r="N9" s="21"/>
      <c r="P9" s="21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2.0</v>
      </c>
      <c r="B10" s="12" t="s">
        <v>28</v>
      </c>
      <c r="C10" s="14" t="s">
        <v>197</v>
      </c>
      <c r="D10" s="15">
        <v>3000.0</v>
      </c>
      <c r="E10" s="16">
        <f t="shared" si="1"/>
        <v>6000</v>
      </c>
      <c r="F10" s="15"/>
      <c r="G10" s="2"/>
      <c r="H10" s="3"/>
      <c r="I10" s="15">
        <v>2000.0</v>
      </c>
      <c r="J10" s="15">
        <f t="shared" si="2"/>
        <v>4000</v>
      </c>
      <c r="K10" s="15">
        <f t="shared" si="3"/>
        <v>2000</v>
      </c>
      <c r="L10" s="22"/>
      <c r="N10" s="21"/>
      <c r="P10" s="21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0.5</v>
      </c>
      <c r="B11" s="12" t="s">
        <v>17</v>
      </c>
      <c r="C11" s="14" t="s">
        <v>37</v>
      </c>
      <c r="D11" s="15">
        <v>6500.0</v>
      </c>
      <c r="E11" s="16">
        <f t="shared" si="1"/>
        <v>3250</v>
      </c>
      <c r="F11" s="15"/>
      <c r="G11" s="2"/>
      <c r="H11" s="3"/>
      <c r="I11" s="15">
        <v>6000.0</v>
      </c>
      <c r="J11" s="15">
        <f t="shared" si="2"/>
        <v>3000</v>
      </c>
      <c r="K11" s="15">
        <f t="shared" si="3"/>
        <v>250</v>
      </c>
      <c r="L11" s="22"/>
      <c r="N11" s="21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6.0</v>
      </c>
      <c r="B12" s="12" t="s">
        <v>17</v>
      </c>
      <c r="C12" s="14" t="s">
        <v>144</v>
      </c>
      <c r="D12" s="15">
        <v>3500.0</v>
      </c>
      <c r="E12" s="16">
        <f t="shared" si="1"/>
        <v>21000</v>
      </c>
      <c r="F12" s="15"/>
      <c r="G12" s="2"/>
      <c r="H12" s="3"/>
      <c r="I12" s="15">
        <v>3000.0</v>
      </c>
      <c r="J12" s="15">
        <f t="shared" si="2"/>
        <v>18000</v>
      </c>
      <c r="K12" s="15">
        <f t="shared" si="3"/>
        <v>3000</v>
      </c>
      <c r="L12" s="22"/>
      <c r="N12" s="21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1.0</v>
      </c>
      <c r="B13" s="12" t="s">
        <v>13</v>
      </c>
      <c r="C13" s="14" t="s">
        <v>45</v>
      </c>
      <c r="D13" s="15">
        <v>35000.0</v>
      </c>
      <c r="E13" s="16">
        <f t="shared" si="1"/>
        <v>35000</v>
      </c>
      <c r="F13" s="15"/>
      <c r="G13" s="2"/>
      <c r="H13" s="3"/>
      <c r="I13" s="15">
        <v>28000.0</v>
      </c>
      <c r="J13" s="15">
        <f t="shared" si="2"/>
        <v>28000</v>
      </c>
      <c r="K13" s="15">
        <f t="shared" si="3"/>
        <v>7000</v>
      </c>
      <c r="L13" s="22"/>
      <c r="N13" s="21"/>
      <c r="P13" s="21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2.0</v>
      </c>
      <c r="B14" s="12" t="s">
        <v>28</v>
      </c>
      <c r="C14" s="14" t="s">
        <v>143</v>
      </c>
      <c r="D14" s="15">
        <v>3000.0</v>
      </c>
      <c r="E14" s="16">
        <f t="shared" si="1"/>
        <v>6000</v>
      </c>
      <c r="F14" s="15"/>
      <c r="G14" s="2"/>
      <c r="H14" s="3"/>
      <c r="I14" s="15">
        <v>2000.0</v>
      </c>
      <c r="J14" s="15">
        <f t="shared" si="2"/>
        <v>4000</v>
      </c>
      <c r="K14" s="15">
        <f t="shared" si="3"/>
        <v>2000</v>
      </c>
      <c r="L14" s="22"/>
      <c r="N14" s="21"/>
      <c r="P14" s="21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4.0</v>
      </c>
      <c r="B15" s="12" t="s">
        <v>28</v>
      </c>
      <c r="C15" s="14" t="s">
        <v>53</v>
      </c>
      <c r="D15" s="15">
        <v>3000.0</v>
      </c>
      <c r="E15" s="16">
        <f t="shared" si="1"/>
        <v>12000</v>
      </c>
      <c r="F15" s="15"/>
      <c r="G15" s="2"/>
      <c r="H15" s="3"/>
      <c r="I15" s="15">
        <v>2000.0</v>
      </c>
      <c r="J15" s="15">
        <f t="shared" si="2"/>
        <v>8000</v>
      </c>
      <c r="K15" s="15">
        <f t="shared" si="3"/>
        <v>4000</v>
      </c>
      <c r="L15" s="22"/>
      <c r="N15" s="21"/>
      <c r="P15" s="21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2.0</v>
      </c>
      <c r="B16" s="12" t="s">
        <v>28</v>
      </c>
      <c r="C16" s="14" t="s">
        <v>78</v>
      </c>
      <c r="D16" s="15">
        <v>5000.0</v>
      </c>
      <c r="E16" s="16">
        <f t="shared" si="1"/>
        <v>10000</v>
      </c>
      <c r="F16" s="15"/>
      <c r="G16" s="2"/>
      <c r="H16" s="3"/>
      <c r="I16" s="15">
        <v>4000.0</v>
      </c>
      <c r="J16" s="15">
        <f t="shared" si="2"/>
        <v>8000</v>
      </c>
      <c r="K16" s="15">
        <f t="shared" si="3"/>
        <v>2000</v>
      </c>
      <c r="L16" s="22"/>
      <c r="N16" s="21"/>
      <c r="P16" s="21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42</v>
      </c>
      <c r="C17" s="14" t="s">
        <v>159</v>
      </c>
      <c r="D17" s="15">
        <v>28500.0</v>
      </c>
      <c r="E17" s="16">
        <f t="shared" si="1"/>
        <v>28500</v>
      </c>
      <c r="F17" s="15"/>
      <c r="G17" s="2"/>
      <c r="H17" s="3"/>
      <c r="I17" s="15">
        <v>25000.0</v>
      </c>
      <c r="J17" s="15">
        <f t="shared" si="2"/>
        <v>25000</v>
      </c>
      <c r="K17" s="15">
        <f t="shared" si="3"/>
        <v>3500</v>
      </c>
      <c r="L17" s="22"/>
      <c r="N17" s="21"/>
      <c r="P17" s="21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42</v>
      </c>
      <c r="C18" s="14" t="s">
        <v>76</v>
      </c>
      <c r="D18" s="15">
        <v>17000.0</v>
      </c>
      <c r="E18" s="16">
        <f t="shared" si="1"/>
        <v>17000</v>
      </c>
      <c r="F18" s="15"/>
      <c r="G18" s="2"/>
      <c r="H18" s="3"/>
      <c r="I18" s="15">
        <v>14000.0</v>
      </c>
      <c r="J18" s="15">
        <f t="shared" si="2"/>
        <v>14000</v>
      </c>
      <c r="K18" s="15">
        <f t="shared" si="3"/>
        <v>3000</v>
      </c>
      <c r="L18" s="22"/>
      <c r="N18" s="21"/>
      <c r="P18" s="21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/>
      <c r="B19" s="12"/>
      <c r="C19" s="14"/>
      <c r="D19" s="15"/>
      <c r="E19" s="16"/>
      <c r="F19" s="10"/>
      <c r="G19" s="3"/>
      <c r="H19" s="3"/>
      <c r="I19" s="3"/>
      <c r="J19" s="3"/>
      <c r="K19" s="3"/>
      <c r="L19" s="4"/>
      <c r="M19" s="17"/>
      <c r="N19" s="18"/>
      <c r="O19" s="19"/>
      <c r="P19" s="18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/>
      <c r="B20" s="12"/>
      <c r="C20" s="14"/>
      <c r="D20" s="15"/>
      <c r="E20" s="16">
        <f>SUM(E6:E18)</f>
        <v>194750</v>
      </c>
      <c r="F20" s="15"/>
      <c r="G20" s="2"/>
      <c r="H20" s="3"/>
      <c r="I20" s="3"/>
      <c r="J20" s="3"/>
      <c r="K20" s="15">
        <f>SUM(K6:K18)</f>
        <v>48750</v>
      </c>
      <c r="L20" s="22">
        <f>K20/E20</f>
        <v>0.2503209243</v>
      </c>
      <c r="M20" s="20"/>
      <c r="N20" s="21"/>
      <c r="P20" s="21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/>
      <c r="B21" s="12"/>
      <c r="C21" s="14"/>
      <c r="D21" s="15"/>
      <c r="E21" s="16"/>
      <c r="F21" s="15"/>
      <c r="G21" s="2"/>
      <c r="H21" s="3"/>
      <c r="I21" s="16"/>
      <c r="J21" s="15"/>
      <c r="K21" s="15"/>
      <c r="L21" s="25"/>
      <c r="M21" s="20"/>
      <c r="N21" s="21"/>
      <c r="P21" s="21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"/>
      <c r="B22" s="2"/>
      <c r="C22" s="2"/>
      <c r="D22" s="3"/>
      <c r="E22" s="3"/>
      <c r="F22" s="3"/>
      <c r="G22" s="2"/>
      <c r="H22" s="2"/>
      <c r="I22" s="2"/>
      <c r="J22" s="2"/>
      <c r="K22" s="3"/>
      <c r="L22" s="4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23" t="s">
        <v>57</v>
      </c>
      <c r="B23" s="23"/>
      <c r="C23" s="23"/>
      <c r="D23" s="25" t="s">
        <v>287</v>
      </c>
      <c r="E23" s="7">
        <v>46048.0</v>
      </c>
      <c r="F23" s="28"/>
      <c r="G23" s="24"/>
      <c r="H23" s="24"/>
      <c r="I23" s="16"/>
      <c r="J23" s="16"/>
      <c r="K23" s="16"/>
      <c r="L23" s="29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B24" s="24"/>
      <c r="C24" s="26"/>
      <c r="D24" s="24"/>
      <c r="E24" s="24"/>
      <c r="F24" s="24"/>
      <c r="G24" s="24"/>
      <c r="H24" s="24"/>
      <c r="I24" s="16"/>
      <c r="J24" s="16"/>
      <c r="K24" s="16"/>
      <c r="L24" s="29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5" t="s">
        <v>4</v>
      </c>
      <c r="B25" s="10" t="s">
        <v>5</v>
      </c>
      <c r="C25" s="11" t="s">
        <v>6</v>
      </c>
      <c r="D25" s="12" t="s">
        <v>7</v>
      </c>
      <c r="E25" s="10" t="s">
        <v>8</v>
      </c>
      <c r="F25" s="12"/>
      <c r="G25" s="24"/>
      <c r="H25" s="24"/>
      <c r="I25" s="12" t="s">
        <v>7</v>
      </c>
      <c r="J25" s="12" t="s">
        <v>8</v>
      </c>
      <c r="K25" s="12" t="s">
        <v>10</v>
      </c>
      <c r="L25" s="29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1.0</v>
      </c>
      <c r="B26" s="12" t="s">
        <v>42</v>
      </c>
      <c r="C26" s="14" t="s">
        <v>68</v>
      </c>
      <c r="D26" s="15">
        <v>12000.0</v>
      </c>
      <c r="E26" s="15">
        <f t="shared" ref="E26:E51" si="4">A26*D26</f>
        <v>12000</v>
      </c>
      <c r="F26" s="16"/>
      <c r="G26" s="24"/>
      <c r="H26" s="24"/>
      <c r="I26" s="16">
        <v>9000.0</v>
      </c>
      <c r="J26" s="16">
        <f t="shared" ref="J26:J51" si="5">I26*A26</f>
        <v>9000</v>
      </c>
      <c r="K26" s="16">
        <f t="shared" ref="K26:K51" si="6">E26-J26</f>
        <v>3000</v>
      </c>
      <c r="L26" s="30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32</v>
      </c>
      <c r="C27" s="14" t="s">
        <v>67</v>
      </c>
      <c r="D27" s="15">
        <v>16000.0</v>
      </c>
      <c r="E27" s="15">
        <f t="shared" si="4"/>
        <v>16000</v>
      </c>
      <c r="F27" s="16"/>
      <c r="G27" s="24"/>
      <c r="H27" s="24"/>
      <c r="I27" s="16">
        <v>12000.0</v>
      </c>
      <c r="J27" s="16">
        <f t="shared" si="5"/>
        <v>12000</v>
      </c>
      <c r="K27" s="16">
        <f t="shared" si="6"/>
        <v>4000</v>
      </c>
      <c r="L27" s="30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0.5</v>
      </c>
      <c r="B28" s="12" t="s">
        <v>32</v>
      </c>
      <c r="C28" s="14" t="s">
        <v>152</v>
      </c>
      <c r="D28" s="15">
        <v>50000.0</v>
      </c>
      <c r="E28" s="15">
        <f t="shared" si="4"/>
        <v>25000</v>
      </c>
      <c r="F28" s="16"/>
      <c r="G28" s="24"/>
      <c r="H28" s="24"/>
      <c r="I28" s="16">
        <v>40000.0</v>
      </c>
      <c r="J28" s="16">
        <f t="shared" si="5"/>
        <v>20000</v>
      </c>
      <c r="K28" s="16">
        <f t="shared" si="6"/>
        <v>5000</v>
      </c>
      <c r="L28" s="30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17</v>
      </c>
      <c r="C29" s="14" t="s">
        <v>186</v>
      </c>
      <c r="D29" s="15">
        <v>20000.0</v>
      </c>
      <c r="E29" s="15">
        <f t="shared" si="4"/>
        <v>20000</v>
      </c>
      <c r="F29" s="16"/>
      <c r="G29" s="24"/>
      <c r="H29" s="24"/>
      <c r="I29" s="16">
        <v>17000.0</v>
      </c>
      <c r="J29" s="16">
        <f t="shared" si="5"/>
        <v>17000</v>
      </c>
      <c r="K29" s="16">
        <f t="shared" si="6"/>
        <v>3000</v>
      </c>
      <c r="L29" s="30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17</v>
      </c>
      <c r="C30" s="14" t="s">
        <v>211</v>
      </c>
      <c r="D30" s="15">
        <v>22000.0</v>
      </c>
      <c r="E30" s="15">
        <f t="shared" si="4"/>
        <v>22000</v>
      </c>
      <c r="F30" s="16"/>
      <c r="G30" s="24"/>
      <c r="H30" s="24"/>
      <c r="I30" s="16">
        <v>19000.0</v>
      </c>
      <c r="J30" s="16">
        <f t="shared" si="5"/>
        <v>19000</v>
      </c>
      <c r="K30" s="16">
        <f t="shared" si="6"/>
        <v>3000</v>
      </c>
      <c r="L30" s="30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1.0</v>
      </c>
      <c r="B31" s="12" t="s">
        <v>5</v>
      </c>
      <c r="C31" s="14" t="s">
        <v>49</v>
      </c>
      <c r="D31" s="15">
        <v>1500.0</v>
      </c>
      <c r="E31" s="15">
        <f t="shared" si="4"/>
        <v>1500</v>
      </c>
      <c r="F31" s="16"/>
      <c r="G31" s="24"/>
      <c r="H31" s="24"/>
      <c r="I31" s="16">
        <v>1000.0</v>
      </c>
      <c r="J31" s="16">
        <f t="shared" si="5"/>
        <v>1000</v>
      </c>
      <c r="K31" s="16">
        <f t="shared" si="6"/>
        <v>500</v>
      </c>
      <c r="L31" s="30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4.0</v>
      </c>
      <c r="B32" s="12" t="s">
        <v>17</v>
      </c>
      <c r="C32" s="14" t="s">
        <v>226</v>
      </c>
      <c r="D32" s="15">
        <v>1600.0</v>
      </c>
      <c r="E32" s="15">
        <f t="shared" si="4"/>
        <v>6400</v>
      </c>
      <c r="F32" s="16"/>
      <c r="G32" s="24"/>
      <c r="H32" s="24"/>
      <c r="I32" s="16">
        <v>1000.0</v>
      </c>
      <c r="J32" s="16">
        <f t="shared" si="5"/>
        <v>4000</v>
      </c>
      <c r="K32" s="16">
        <f t="shared" si="6"/>
        <v>2400</v>
      </c>
      <c r="L32" s="30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32</v>
      </c>
      <c r="C33" s="14" t="s">
        <v>178</v>
      </c>
      <c r="D33" s="15">
        <v>25000.0</v>
      </c>
      <c r="E33" s="15">
        <f t="shared" si="4"/>
        <v>25000</v>
      </c>
      <c r="F33" s="16"/>
      <c r="G33" s="24"/>
      <c r="H33" s="24"/>
      <c r="I33" s="16">
        <v>15000.0</v>
      </c>
      <c r="J33" s="16">
        <f t="shared" si="5"/>
        <v>15000</v>
      </c>
      <c r="K33" s="16">
        <f t="shared" si="6"/>
        <v>10000</v>
      </c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42</v>
      </c>
      <c r="C34" s="14" t="s">
        <v>66</v>
      </c>
      <c r="D34" s="15">
        <v>13000.0</v>
      </c>
      <c r="E34" s="15">
        <f t="shared" si="4"/>
        <v>13000</v>
      </c>
      <c r="F34" s="16"/>
      <c r="G34" s="24"/>
      <c r="H34" s="24"/>
      <c r="I34" s="16">
        <v>10000.0</v>
      </c>
      <c r="J34" s="16">
        <f t="shared" si="5"/>
        <v>10000</v>
      </c>
      <c r="K34" s="16">
        <f t="shared" si="6"/>
        <v>3000</v>
      </c>
      <c r="L34" s="30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3.0</v>
      </c>
      <c r="B35" s="12" t="s">
        <v>17</v>
      </c>
      <c r="C35" s="14" t="s">
        <v>194</v>
      </c>
      <c r="D35" s="15">
        <v>2800.0</v>
      </c>
      <c r="E35" s="15">
        <f t="shared" si="4"/>
        <v>8400</v>
      </c>
      <c r="F35" s="16"/>
      <c r="G35" s="24"/>
      <c r="H35" s="24"/>
      <c r="I35" s="16">
        <f>15000/8</f>
        <v>1875</v>
      </c>
      <c r="J35" s="16">
        <f t="shared" si="5"/>
        <v>5625</v>
      </c>
      <c r="K35" s="16">
        <f t="shared" si="6"/>
        <v>2775</v>
      </c>
      <c r="L35" s="30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1.0</v>
      </c>
      <c r="B36" s="12" t="s">
        <v>17</v>
      </c>
      <c r="C36" s="14" t="s">
        <v>195</v>
      </c>
      <c r="D36" s="15">
        <v>3200.0</v>
      </c>
      <c r="E36" s="15">
        <f t="shared" si="4"/>
        <v>3200</v>
      </c>
      <c r="F36" s="16"/>
      <c r="G36" s="24"/>
      <c r="H36" s="24"/>
      <c r="I36" s="16">
        <v>3000.0</v>
      </c>
      <c r="J36" s="16">
        <f t="shared" si="5"/>
        <v>3000</v>
      </c>
      <c r="K36" s="16">
        <f t="shared" si="6"/>
        <v>200</v>
      </c>
      <c r="L36" s="30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1.0</v>
      </c>
      <c r="B37" s="12" t="s">
        <v>17</v>
      </c>
      <c r="C37" s="14" t="s">
        <v>288</v>
      </c>
      <c r="D37" s="15">
        <v>3200.0</v>
      </c>
      <c r="E37" s="15">
        <f t="shared" si="4"/>
        <v>3200</v>
      </c>
      <c r="F37" s="16"/>
      <c r="G37" s="24"/>
      <c r="H37" s="24"/>
      <c r="I37" s="16">
        <v>2000.0</v>
      </c>
      <c r="J37" s="16">
        <f t="shared" si="5"/>
        <v>2000</v>
      </c>
      <c r="K37" s="16">
        <f t="shared" si="6"/>
        <v>1200</v>
      </c>
      <c r="L37" s="30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1.0</v>
      </c>
      <c r="B38" s="12" t="s">
        <v>17</v>
      </c>
      <c r="C38" s="14" t="s">
        <v>198</v>
      </c>
      <c r="D38" s="15">
        <v>2100.0</v>
      </c>
      <c r="E38" s="15">
        <f t="shared" si="4"/>
        <v>2100</v>
      </c>
      <c r="F38" s="16"/>
      <c r="G38" s="24"/>
      <c r="H38" s="24"/>
      <c r="I38" s="16">
        <v>1500.0</v>
      </c>
      <c r="J38" s="16">
        <f t="shared" si="5"/>
        <v>1500</v>
      </c>
      <c r="K38" s="16">
        <f t="shared" si="6"/>
        <v>600</v>
      </c>
      <c r="L38" s="30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1.0</v>
      </c>
      <c r="B39" s="12" t="s">
        <v>17</v>
      </c>
      <c r="C39" s="14" t="s">
        <v>62</v>
      </c>
      <c r="D39" s="15">
        <v>1800.0</v>
      </c>
      <c r="E39" s="15">
        <f t="shared" si="4"/>
        <v>1800</v>
      </c>
      <c r="F39" s="16"/>
      <c r="G39" s="24"/>
      <c r="H39" s="24"/>
      <c r="I39" s="16">
        <f>9000/8</f>
        <v>1125</v>
      </c>
      <c r="J39" s="16">
        <f t="shared" si="5"/>
        <v>1125</v>
      </c>
      <c r="K39" s="16">
        <f t="shared" si="6"/>
        <v>675</v>
      </c>
      <c r="L39" s="30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1.0</v>
      </c>
      <c r="B40" s="12" t="s">
        <v>17</v>
      </c>
      <c r="C40" s="14" t="s">
        <v>144</v>
      </c>
      <c r="D40" s="15">
        <v>4000.0</v>
      </c>
      <c r="E40" s="15">
        <f t="shared" si="4"/>
        <v>4000</v>
      </c>
      <c r="F40" s="16"/>
      <c r="G40" s="24"/>
      <c r="H40" s="24"/>
      <c r="I40" s="16">
        <v>3000.0</v>
      </c>
      <c r="J40" s="16">
        <f t="shared" si="5"/>
        <v>3000</v>
      </c>
      <c r="K40" s="16">
        <f t="shared" si="6"/>
        <v>1000</v>
      </c>
      <c r="L40" s="30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2.0</v>
      </c>
      <c r="B41" s="12" t="s">
        <v>28</v>
      </c>
      <c r="C41" s="14" t="s">
        <v>74</v>
      </c>
      <c r="D41" s="15">
        <v>1000.0</v>
      </c>
      <c r="E41" s="15">
        <f t="shared" si="4"/>
        <v>2000</v>
      </c>
      <c r="F41" s="16"/>
      <c r="G41" s="24"/>
      <c r="H41" s="24"/>
      <c r="I41" s="16">
        <f>3000/6</f>
        <v>500</v>
      </c>
      <c r="J41" s="16">
        <f t="shared" si="5"/>
        <v>1000</v>
      </c>
      <c r="K41" s="16">
        <f t="shared" si="6"/>
        <v>1000</v>
      </c>
      <c r="L41" s="30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12.0</v>
      </c>
      <c r="B42" s="12" t="s">
        <v>5</v>
      </c>
      <c r="C42" s="14" t="s">
        <v>38</v>
      </c>
      <c r="D42" s="15">
        <v>1300.0</v>
      </c>
      <c r="E42" s="15">
        <f t="shared" si="4"/>
        <v>15600</v>
      </c>
      <c r="F42" s="16"/>
      <c r="G42" s="24"/>
      <c r="H42" s="24"/>
      <c r="I42" s="16">
        <v>791.0</v>
      </c>
      <c r="J42" s="16">
        <f t="shared" si="5"/>
        <v>9492</v>
      </c>
      <c r="K42" s="16">
        <f t="shared" si="6"/>
        <v>6108</v>
      </c>
      <c r="L42" s="30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1.0</v>
      </c>
      <c r="B43" s="12" t="s">
        <v>28</v>
      </c>
      <c r="C43" s="14" t="s">
        <v>63</v>
      </c>
      <c r="D43" s="15">
        <v>3000.0</v>
      </c>
      <c r="E43" s="15">
        <f t="shared" si="4"/>
        <v>3000</v>
      </c>
      <c r="F43" s="16"/>
      <c r="G43" s="24"/>
      <c r="H43" s="32"/>
      <c r="I43" s="16">
        <v>2000.0</v>
      </c>
      <c r="J43" s="16">
        <f t="shared" si="5"/>
        <v>2000</v>
      </c>
      <c r="K43" s="16">
        <f t="shared" si="6"/>
        <v>1000</v>
      </c>
      <c r="L43" s="30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1.0</v>
      </c>
      <c r="B44" s="12" t="s">
        <v>28</v>
      </c>
      <c r="C44" s="14" t="s">
        <v>197</v>
      </c>
      <c r="D44" s="15">
        <v>3000.0</v>
      </c>
      <c r="E44" s="15">
        <f t="shared" si="4"/>
        <v>3000</v>
      </c>
      <c r="F44" s="16"/>
      <c r="G44" s="24"/>
      <c r="H44" s="24"/>
      <c r="I44" s="16">
        <v>2000.0</v>
      </c>
      <c r="J44" s="16">
        <f t="shared" si="5"/>
        <v>2000</v>
      </c>
      <c r="K44" s="16">
        <f t="shared" si="6"/>
        <v>1000</v>
      </c>
      <c r="L44" s="30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1.0</v>
      </c>
      <c r="B45" s="12" t="s">
        <v>32</v>
      </c>
      <c r="C45" s="14" t="s">
        <v>147</v>
      </c>
      <c r="D45" s="15">
        <v>9000.0</v>
      </c>
      <c r="E45" s="15">
        <f t="shared" si="4"/>
        <v>9000</v>
      </c>
      <c r="F45" s="16"/>
      <c r="G45" s="24"/>
      <c r="H45" s="24"/>
      <c r="I45" s="16">
        <v>5000.0</v>
      </c>
      <c r="J45" s="16">
        <f t="shared" si="5"/>
        <v>5000</v>
      </c>
      <c r="K45" s="16">
        <f t="shared" si="6"/>
        <v>4000</v>
      </c>
      <c r="L45" s="30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0.35</v>
      </c>
      <c r="B46" s="12" t="s">
        <v>17</v>
      </c>
      <c r="C46" s="14" t="s">
        <v>31</v>
      </c>
      <c r="D46" s="15">
        <v>2500.0</v>
      </c>
      <c r="E46" s="15">
        <f t="shared" si="4"/>
        <v>875</v>
      </c>
      <c r="F46" s="16"/>
      <c r="G46" s="24"/>
      <c r="H46" s="24"/>
      <c r="I46" s="16">
        <v>1500.0</v>
      </c>
      <c r="J46" s="16">
        <f t="shared" si="5"/>
        <v>525</v>
      </c>
      <c r="K46" s="16">
        <f t="shared" si="6"/>
        <v>350</v>
      </c>
      <c r="L46" s="30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1.0</v>
      </c>
      <c r="B47" s="12" t="s">
        <v>28</v>
      </c>
      <c r="C47" s="14" t="s">
        <v>193</v>
      </c>
      <c r="D47" s="15">
        <v>3000.0</v>
      </c>
      <c r="E47" s="15">
        <f t="shared" si="4"/>
        <v>3000</v>
      </c>
      <c r="F47" s="16"/>
      <c r="G47" s="24"/>
      <c r="H47" s="24"/>
      <c r="I47" s="16">
        <v>2000.0</v>
      </c>
      <c r="J47" s="16">
        <f t="shared" si="5"/>
        <v>2000</v>
      </c>
      <c r="K47" s="16">
        <f t="shared" si="6"/>
        <v>1000</v>
      </c>
      <c r="L47" s="30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4.0</v>
      </c>
      <c r="B48" s="12" t="s">
        <v>5</v>
      </c>
      <c r="C48" s="14" t="s">
        <v>55</v>
      </c>
      <c r="D48" s="15">
        <v>2500.0</v>
      </c>
      <c r="E48" s="15">
        <f t="shared" si="4"/>
        <v>10000</v>
      </c>
      <c r="F48" s="16"/>
      <c r="G48" s="24"/>
      <c r="H48" s="24"/>
      <c r="I48" s="16">
        <v>1250.0</v>
      </c>
      <c r="J48" s="16">
        <f t="shared" si="5"/>
        <v>5000</v>
      </c>
      <c r="K48" s="16">
        <f t="shared" si="6"/>
        <v>5000</v>
      </c>
      <c r="L48" s="30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0.5</v>
      </c>
      <c r="B49" s="12" t="s">
        <v>13</v>
      </c>
      <c r="C49" s="14" t="s">
        <v>45</v>
      </c>
      <c r="D49" s="15">
        <v>35000.0</v>
      </c>
      <c r="E49" s="15">
        <f t="shared" si="4"/>
        <v>17500</v>
      </c>
      <c r="F49" s="16"/>
      <c r="G49" s="24"/>
      <c r="H49" s="24"/>
      <c r="I49" s="16">
        <v>28000.0</v>
      </c>
      <c r="J49" s="16">
        <f t="shared" si="5"/>
        <v>14000</v>
      </c>
      <c r="K49" s="16">
        <f t="shared" si="6"/>
        <v>3500</v>
      </c>
      <c r="L49" s="30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0.5</v>
      </c>
      <c r="B50" s="12" t="s">
        <v>32</v>
      </c>
      <c r="C50" s="14" t="s">
        <v>20</v>
      </c>
      <c r="D50" s="15">
        <v>19000.0</v>
      </c>
      <c r="E50" s="15">
        <f t="shared" si="4"/>
        <v>9500</v>
      </c>
      <c r="F50" s="16"/>
      <c r="G50" s="24"/>
      <c r="H50" s="24"/>
      <c r="I50" s="16">
        <v>15000.0</v>
      </c>
      <c r="J50" s="16">
        <f t="shared" si="5"/>
        <v>7500</v>
      </c>
      <c r="K50" s="16">
        <f t="shared" si="6"/>
        <v>2000</v>
      </c>
      <c r="L50" s="30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0.5</v>
      </c>
      <c r="B51" s="12" t="s">
        <v>32</v>
      </c>
      <c r="C51" s="14" t="s">
        <v>182</v>
      </c>
      <c r="D51" s="15">
        <v>32000.0</v>
      </c>
      <c r="E51" s="15">
        <f t="shared" si="4"/>
        <v>16000</v>
      </c>
      <c r="F51" s="16"/>
      <c r="G51" s="24"/>
      <c r="H51" s="24"/>
      <c r="I51" s="16">
        <v>25000.0</v>
      </c>
      <c r="J51" s="16">
        <f t="shared" si="5"/>
        <v>12500</v>
      </c>
      <c r="K51" s="16">
        <f t="shared" si="6"/>
        <v>3500</v>
      </c>
      <c r="L51" s="30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/>
      <c r="B52" s="12"/>
      <c r="C52" s="14"/>
      <c r="D52" s="15"/>
      <c r="E52" s="16"/>
      <c r="F52" s="16"/>
      <c r="G52" s="24"/>
      <c r="H52" s="24"/>
      <c r="I52" s="16"/>
      <c r="J52" s="16"/>
      <c r="K52" s="16"/>
      <c r="L52" s="30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/>
      <c r="B53" s="12"/>
      <c r="C53" s="14"/>
      <c r="D53" s="15"/>
      <c r="E53" s="16">
        <f>SUM(E26:E51)</f>
        <v>253075</v>
      </c>
      <c r="F53" s="16"/>
      <c r="G53" s="24"/>
      <c r="H53" s="24"/>
      <c r="I53" s="16"/>
      <c r="J53" s="16"/>
      <c r="K53" s="16">
        <f>SUM(K26:K51)</f>
        <v>68808</v>
      </c>
      <c r="L53" s="30">
        <f>K53/E53</f>
        <v>0.2718877803</v>
      </c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/>
      <c r="B54" s="12"/>
      <c r="C54" s="14"/>
      <c r="D54" s="15"/>
      <c r="E54" s="3"/>
      <c r="F54" s="3"/>
      <c r="G54" s="2"/>
      <c r="H54" s="2"/>
      <c r="I54" s="2"/>
      <c r="J54" s="2"/>
      <c r="K54" s="3"/>
      <c r="L54" s="4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33"/>
      <c r="B55" s="34"/>
      <c r="C55" s="2"/>
      <c r="D55" s="3"/>
      <c r="E55" s="3"/>
      <c r="F55" s="3"/>
      <c r="G55" s="2"/>
      <c r="H55" s="2"/>
      <c r="I55" s="2"/>
      <c r="J55" s="2"/>
      <c r="K55" s="3"/>
      <c r="L55" s="4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33"/>
      <c r="B56" s="34"/>
      <c r="C56" s="2"/>
      <c r="E56" s="3"/>
      <c r="F56" s="3"/>
      <c r="G56" s="2"/>
      <c r="H56" s="2"/>
      <c r="I56" s="2"/>
      <c r="J56" s="2"/>
      <c r="K56" s="3"/>
      <c r="L56" s="4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23" t="s">
        <v>183</v>
      </c>
      <c r="B57" s="23"/>
      <c r="C57" s="23"/>
      <c r="D57" s="25" t="s">
        <v>233</v>
      </c>
      <c r="E57" s="7">
        <v>46048.0</v>
      </c>
      <c r="G57" s="24"/>
      <c r="H57" s="24"/>
      <c r="I57" s="16"/>
      <c r="J57" s="16"/>
      <c r="K57" s="16"/>
      <c r="L57" s="29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B58" s="24"/>
      <c r="C58" s="26"/>
      <c r="D58" s="24"/>
      <c r="E58" s="24"/>
      <c r="F58" s="24"/>
      <c r="G58" s="24"/>
      <c r="H58" s="24"/>
      <c r="I58" s="16"/>
      <c r="J58" s="16"/>
      <c r="K58" s="16"/>
      <c r="L58" s="29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5" t="s">
        <v>4</v>
      </c>
      <c r="B59" s="10" t="s">
        <v>5</v>
      </c>
      <c r="C59" s="11" t="s">
        <v>6</v>
      </c>
      <c r="D59" s="12" t="s">
        <v>7</v>
      </c>
      <c r="E59" s="10" t="s">
        <v>8</v>
      </c>
      <c r="F59" s="12"/>
      <c r="G59" s="24"/>
      <c r="H59" s="24"/>
      <c r="I59" s="12" t="s">
        <v>7</v>
      </c>
      <c r="J59" s="12" t="s">
        <v>8</v>
      </c>
      <c r="K59" s="12" t="s">
        <v>10</v>
      </c>
      <c r="L59" s="29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4.0</v>
      </c>
      <c r="B60" s="12" t="s">
        <v>5</v>
      </c>
      <c r="C60" s="14" t="s">
        <v>69</v>
      </c>
      <c r="D60" s="15">
        <v>1200.0</v>
      </c>
      <c r="E60" s="15">
        <f t="shared" ref="E60:E78" si="7">A60*D60</f>
        <v>4800</v>
      </c>
      <c r="F60" s="16"/>
      <c r="G60" s="24"/>
      <c r="H60" s="24"/>
      <c r="I60" s="15">
        <v>560.0</v>
      </c>
      <c r="J60" s="16">
        <f t="shared" ref="J60:J78" si="8">I60*A60</f>
        <v>2240</v>
      </c>
      <c r="K60" s="16">
        <f t="shared" ref="K60:K78" si="9">E60-J60</f>
        <v>2560</v>
      </c>
      <c r="L60" s="31" t="s">
        <v>2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1.0</v>
      </c>
      <c r="B61" s="12" t="s">
        <v>17</v>
      </c>
      <c r="C61" s="14" t="s">
        <v>19</v>
      </c>
      <c r="D61" s="15">
        <v>2400.0</v>
      </c>
      <c r="E61" s="15">
        <f t="shared" si="7"/>
        <v>2400</v>
      </c>
      <c r="F61" s="16"/>
      <c r="G61" s="24"/>
      <c r="H61" s="24"/>
      <c r="I61" s="15">
        <f>30000/18</f>
        <v>1666.666667</v>
      </c>
      <c r="J61" s="16">
        <f t="shared" si="8"/>
        <v>1666.666667</v>
      </c>
      <c r="K61" s="16">
        <f t="shared" si="9"/>
        <v>733.3333333</v>
      </c>
      <c r="L61" s="31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1.0</v>
      </c>
      <c r="B62" s="12" t="s">
        <v>17</v>
      </c>
      <c r="C62" s="14" t="s">
        <v>62</v>
      </c>
      <c r="D62" s="15">
        <v>1800.0</v>
      </c>
      <c r="E62" s="15">
        <f t="shared" si="7"/>
        <v>1800</v>
      </c>
      <c r="F62" s="16"/>
      <c r="G62" s="24"/>
      <c r="H62" s="24"/>
      <c r="I62" s="15">
        <f>9000/8</f>
        <v>1125</v>
      </c>
      <c r="J62" s="16">
        <f t="shared" si="8"/>
        <v>1125</v>
      </c>
      <c r="K62" s="16">
        <f t="shared" si="9"/>
        <v>675</v>
      </c>
      <c r="L62" s="31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1.0</v>
      </c>
      <c r="B63" s="12" t="s">
        <v>17</v>
      </c>
      <c r="C63" s="14" t="s">
        <v>186</v>
      </c>
      <c r="D63" s="15">
        <v>20000.0</v>
      </c>
      <c r="E63" s="15">
        <f t="shared" si="7"/>
        <v>20000</v>
      </c>
      <c r="F63" s="16"/>
      <c r="G63" s="24"/>
      <c r="H63" s="24"/>
      <c r="I63" s="15">
        <v>17000.0</v>
      </c>
      <c r="J63" s="16">
        <f t="shared" si="8"/>
        <v>17000</v>
      </c>
      <c r="K63" s="16">
        <f t="shared" si="9"/>
        <v>3000</v>
      </c>
      <c r="L63" s="30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1.0</v>
      </c>
      <c r="B64" s="12" t="s">
        <v>32</v>
      </c>
      <c r="C64" s="14" t="s">
        <v>67</v>
      </c>
      <c r="D64" s="15">
        <v>16000.0</v>
      </c>
      <c r="E64" s="15">
        <f t="shared" si="7"/>
        <v>16000</v>
      </c>
      <c r="F64" s="16"/>
      <c r="G64" s="24"/>
      <c r="H64" s="24"/>
      <c r="I64" s="15">
        <v>12000.0</v>
      </c>
      <c r="J64" s="16">
        <f t="shared" si="8"/>
        <v>12000</v>
      </c>
      <c r="K64" s="16">
        <f t="shared" si="9"/>
        <v>4000</v>
      </c>
      <c r="L64" s="30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1.0</v>
      </c>
      <c r="B65" s="12" t="s">
        <v>13</v>
      </c>
      <c r="C65" s="14" t="s">
        <v>164</v>
      </c>
      <c r="D65" s="15">
        <v>38000.0</v>
      </c>
      <c r="E65" s="15">
        <f t="shared" si="7"/>
        <v>38000</v>
      </c>
      <c r="F65" s="16"/>
      <c r="G65" s="24"/>
      <c r="H65" s="24"/>
      <c r="I65" s="15">
        <v>34000.0</v>
      </c>
      <c r="J65" s="16">
        <f t="shared" si="8"/>
        <v>34000</v>
      </c>
      <c r="K65" s="16">
        <f t="shared" si="9"/>
        <v>4000</v>
      </c>
      <c r="L65" s="30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1.0</v>
      </c>
      <c r="B66" s="12" t="s">
        <v>17</v>
      </c>
      <c r="C66" s="14" t="s">
        <v>165</v>
      </c>
      <c r="D66" s="15">
        <v>12000.0</v>
      </c>
      <c r="E66" s="15">
        <f t="shared" si="7"/>
        <v>12000</v>
      </c>
      <c r="F66" s="16"/>
      <c r="G66" s="24"/>
      <c r="H66" s="24"/>
      <c r="I66" s="15">
        <f>65000/7</f>
        <v>9285.714286</v>
      </c>
      <c r="J66" s="16">
        <f t="shared" si="8"/>
        <v>9285.714286</v>
      </c>
      <c r="K66" s="16">
        <f t="shared" si="9"/>
        <v>2714.285714</v>
      </c>
      <c r="L66" s="30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2.0</v>
      </c>
      <c r="B67" s="12" t="s">
        <v>17</v>
      </c>
      <c r="C67" s="14" t="s">
        <v>144</v>
      </c>
      <c r="D67" s="15">
        <v>4000.0</v>
      </c>
      <c r="E67" s="15">
        <f t="shared" si="7"/>
        <v>8000</v>
      </c>
      <c r="F67" s="16"/>
      <c r="G67" s="24"/>
      <c r="H67" s="24"/>
      <c r="I67" s="15">
        <v>3000.0</v>
      </c>
      <c r="J67" s="16">
        <f t="shared" si="8"/>
        <v>6000</v>
      </c>
      <c r="K67" s="16">
        <f t="shared" si="9"/>
        <v>2000</v>
      </c>
      <c r="L67" s="30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1.0</v>
      </c>
      <c r="B68" s="12" t="s">
        <v>13</v>
      </c>
      <c r="C68" s="14" t="s">
        <v>45</v>
      </c>
      <c r="D68" s="15">
        <v>35000.0</v>
      </c>
      <c r="E68" s="15">
        <f t="shared" si="7"/>
        <v>35000</v>
      </c>
      <c r="F68" s="16"/>
      <c r="G68" s="24"/>
      <c r="H68" s="24"/>
      <c r="I68" s="15">
        <v>28000.0</v>
      </c>
      <c r="J68" s="16">
        <f t="shared" si="8"/>
        <v>28000</v>
      </c>
      <c r="K68" s="16">
        <f t="shared" si="9"/>
        <v>7000</v>
      </c>
      <c r="L68" s="30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1.0</v>
      </c>
      <c r="B69" s="12" t="s">
        <v>17</v>
      </c>
      <c r="C69" s="14" t="s">
        <v>194</v>
      </c>
      <c r="D69" s="15">
        <v>3200.0</v>
      </c>
      <c r="E69" s="15">
        <f t="shared" si="7"/>
        <v>3200</v>
      </c>
      <c r="F69" s="16"/>
      <c r="G69" s="24"/>
      <c r="H69" s="24"/>
      <c r="I69" s="15">
        <f>15000/8</f>
        <v>1875</v>
      </c>
      <c r="J69" s="16">
        <f t="shared" si="8"/>
        <v>1875</v>
      </c>
      <c r="K69" s="16">
        <f t="shared" si="9"/>
        <v>1325</v>
      </c>
      <c r="L69" s="30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1.0</v>
      </c>
      <c r="B70" s="12" t="s">
        <v>17</v>
      </c>
      <c r="C70" s="14" t="s">
        <v>195</v>
      </c>
      <c r="D70" s="15">
        <v>3200.0</v>
      </c>
      <c r="E70" s="15">
        <f t="shared" si="7"/>
        <v>3200</v>
      </c>
      <c r="F70" s="16"/>
      <c r="G70" s="24"/>
      <c r="H70" s="24"/>
      <c r="I70" s="15">
        <v>3000.0</v>
      </c>
      <c r="J70" s="16">
        <f t="shared" si="8"/>
        <v>3000</v>
      </c>
      <c r="K70" s="16">
        <f t="shared" si="9"/>
        <v>200</v>
      </c>
      <c r="L70" s="30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1.0</v>
      </c>
      <c r="B71" s="12" t="s">
        <v>32</v>
      </c>
      <c r="C71" s="14" t="s">
        <v>20</v>
      </c>
      <c r="D71" s="15">
        <v>18000.0</v>
      </c>
      <c r="E71" s="15">
        <f t="shared" si="7"/>
        <v>18000</v>
      </c>
      <c r="F71" s="16"/>
      <c r="G71" s="24"/>
      <c r="H71" s="24"/>
      <c r="I71" s="15">
        <v>15000.0</v>
      </c>
      <c r="J71" s="16">
        <f t="shared" si="8"/>
        <v>15000</v>
      </c>
      <c r="K71" s="16">
        <f t="shared" si="9"/>
        <v>3000</v>
      </c>
      <c r="L71" s="30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10.0</v>
      </c>
      <c r="B72" s="12" t="s">
        <v>5</v>
      </c>
      <c r="C72" s="14" t="s">
        <v>38</v>
      </c>
      <c r="D72" s="15">
        <v>1300.0</v>
      </c>
      <c r="E72" s="15">
        <f t="shared" si="7"/>
        <v>13000</v>
      </c>
      <c r="F72" s="16"/>
      <c r="G72" s="24"/>
      <c r="H72" s="24"/>
      <c r="I72" s="15">
        <v>791.0</v>
      </c>
      <c r="J72" s="16">
        <f t="shared" si="8"/>
        <v>7910</v>
      </c>
      <c r="K72" s="16">
        <f t="shared" si="9"/>
        <v>5090</v>
      </c>
      <c r="L72" s="30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>
        <v>0.7</v>
      </c>
      <c r="B73" s="12" t="s">
        <v>17</v>
      </c>
      <c r="C73" s="14" t="s">
        <v>31</v>
      </c>
      <c r="D73" s="15">
        <v>2200.0</v>
      </c>
      <c r="E73" s="15">
        <f t="shared" si="7"/>
        <v>1540</v>
      </c>
      <c r="F73" s="16"/>
      <c r="G73" s="24"/>
      <c r="H73" s="24"/>
      <c r="I73" s="15">
        <v>1500.0</v>
      </c>
      <c r="J73" s="16">
        <f t="shared" si="8"/>
        <v>1050</v>
      </c>
      <c r="K73" s="16">
        <f t="shared" si="9"/>
        <v>490</v>
      </c>
      <c r="L73" s="30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1.0</v>
      </c>
      <c r="B74" s="12" t="s">
        <v>17</v>
      </c>
      <c r="C74" s="14" t="s">
        <v>192</v>
      </c>
      <c r="D74" s="15">
        <v>3500.0</v>
      </c>
      <c r="E74" s="15">
        <f t="shared" si="7"/>
        <v>3500</v>
      </c>
      <c r="F74" s="16"/>
      <c r="G74" s="24"/>
      <c r="H74" s="24"/>
      <c r="I74" s="15">
        <f>20000/8</f>
        <v>2500</v>
      </c>
      <c r="J74" s="16">
        <f t="shared" si="8"/>
        <v>2500</v>
      </c>
      <c r="K74" s="16">
        <f t="shared" si="9"/>
        <v>1000</v>
      </c>
      <c r="L74" s="30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5.0</v>
      </c>
      <c r="B75" s="12" t="s">
        <v>17</v>
      </c>
      <c r="C75" s="14" t="s">
        <v>265</v>
      </c>
      <c r="D75" s="15">
        <v>2000.0</v>
      </c>
      <c r="E75" s="15">
        <f t="shared" si="7"/>
        <v>10000</v>
      </c>
      <c r="F75" s="16"/>
      <c r="G75" s="24"/>
      <c r="H75" s="24"/>
      <c r="I75" s="15">
        <f>11000/15</f>
        <v>733.3333333</v>
      </c>
      <c r="J75" s="16">
        <f t="shared" si="8"/>
        <v>3666.666667</v>
      </c>
      <c r="K75" s="16">
        <f t="shared" si="9"/>
        <v>6333.333333</v>
      </c>
      <c r="L75" s="30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1.0</v>
      </c>
      <c r="B76" s="12" t="s">
        <v>17</v>
      </c>
      <c r="C76" s="14" t="s">
        <v>76</v>
      </c>
      <c r="D76" s="15">
        <v>1800.0</v>
      </c>
      <c r="E76" s="15">
        <f t="shared" si="7"/>
        <v>1800</v>
      </c>
      <c r="F76" s="16"/>
      <c r="G76" s="24"/>
      <c r="H76" s="24"/>
      <c r="I76" s="15">
        <f>14000/15</f>
        <v>933.3333333</v>
      </c>
      <c r="J76" s="16">
        <f t="shared" si="8"/>
        <v>933.3333333</v>
      </c>
      <c r="K76" s="16">
        <f t="shared" si="9"/>
        <v>866.6666667</v>
      </c>
      <c r="L76" s="30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1.2</v>
      </c>
      <c r="B77" s="12" t="s">
        <v>17</v>
      </c>
      <c r="C77" s="14" t="s">
        <v>198</v>
      </c>
      <c r="D77" s="15">
        <v>2100.0</v>
      </c>
      <c r="E77" s="15">
        <f t="shared" si="7"/>
        <v>2520</v>
      </c>
      <c r="F77" s="16"/>
      <c r="G77" s="24"/>
      <c r="H77" s="24"/>
      <c r="I77" s="15">
        <v>1500.0</v>
      </c>
      <c r="J77" s="16">
        <f t="shared" si="8"/>
        <v>1800</v>
      </c>
      <c r="K77" s="16">
        <f t="shared" si="9"/>
        <v>720</v>
      </c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3.0</v>
      </c>
      <c r="B78" s="12" t="s">
        <v>32</v>
      </c>
      <c r="C78" s="14" t="s">
        <v>152</v>
      </c>
      <c r="D78" s="15">
        <v>50000.0</v>
      </c>
      <c r="E78" s="15">
        <f t="shared" si="7"/>
        <v>150000</v>
      </c>
      <c r="F78" s="16"/>
      <c r="G78" s="24"/>
      <c r="H78" s="24"/>
      <c r="I78" s="15">
        <v>40000.0</v>
      </c>
      <c r="J78" s="16">
        <f t="shared" si="8"/>
        <v>120000</v>
      </c>
      <c r="K78" s="16">
        <f t="shared" si="9"/>
        <v>30000</v>
      </c>
      <c r="L78" s="30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/>
      <c r="B79" s="12"/>
      <c r="C79" s="14"/>
      <c r="D79" s="15"/>
      <c r="E79" s="16"/>
      <c r="F79" s="16"/>
      <c r="G79" s="24"/>
      <c r="H79" s="24"/>
      <c r="I79" s="16"/>
      <c r="J79" s="16"/>
      <c r="K79" s="16"/>
      <c r="L79" s="30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/>
      <c r="B80" s="12"/>
      <c r="C80" s="14"/>
      <c r="D80" s="15"/>
      <c r="E80" s="16">
        <f>SUM(E60:E78)</f>
        <v>344760</v>
      </c>
      <c r="F80" s="16"/>
      <c r="G80" s="24"/>
      <c r="H80" s="24"/>
      <c r="I80" s="16"/>
      <c r="J80" s="16"/>
      <c r="K80" s="16">
        <f>SUM(K60:K78)</f>
        <v>75707.61905</v>
      </c>
      <c r="L80" s="30">
        <f>K80/E80</f>
        <v>0.2195951359</v>
      </c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33"/>
      <c r="B81" s="34"/>
      <c r="C81" s="2"/>
      <c r="D81" s="3"/>
      <c r="E81" s="3"/>
      <c r="F81" s="3"/>
      <c r="G81" s="2"/>
      <c r="H81" s="2"/>
      <c r="I81" s="2"/>
      <c r="J81" s="2"/>
      <c r="K81" s="3"/>
      <c r="L81" s="4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33"/>
      <c r="B82" s="34"/>
      <c r="C82" s="2"/>
      <c r="D82" s="3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33"/>
      <c r="B83" s="34"/>
      <c r="C83" s="2"/>
      <c r="E83" s="3"/>
      <c r="F83" s="3"/>
      <c r="G83" s="2"/>
      <c r="H83" s="2"/>
      <c r="I83" s="2"/>
      <c r="J83" s="2"/>
      <c r="K83" s="3"/>
      <c r="L83" s="4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23" t="s">
        <v>84</v>
      </c>
      <c r="B84" s="23"/>
      <c r="C84" s="23"/>
      <c r="D84" s="25" t="s">
        <v>233</v>
      </c>
      <c r="E84" s="7">
        <v>46048.0</v>
      </c>
      <c r="G84" s="24"/>
      <c r="H84" s="24"/>
      <c r="I84" s="16"/>
      <c r="J84" s="16"/>
      <c r="K84" s="16"/>
      <c r="L84" s="29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B85" s="24"/>
      <c r="C85" s="26"/>
      <c r="D85" s="24"/>
      <c r="E85" s="24"/>
      <c r="F85" s="24"/>
      <c r="G85" s="24"/>
      <c r="H85" s="24"/>
      <c r="I85" s="16"/>
      <c r="J85" s="16"/>
      <c r="K85" s="16"/>
      <c r="L85" s="29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5" t="s">
        <v>4</v>
      </c>
      <c r="B86" s="10" t="s">
        <v>5</v>
      </c>
      <c r="C86" s="11" t="s">
        <v>6</v>
      </c>
      <c r="D86" s="12" t="s">
        <v>7</v>
      </c>
      <c r="E86" s="10" t="s">
        <v>8</v>
      </c>
      <c r="F86" s="12"/>
      <c r="G86" s="24"/>
      <c r="H86" s="24"/>
      <c r="I86" s="12" t="s">
        <v>7</v>
      </c>
      <c r="J86" s="12" t="s">
        <v>8</v>
      </c>
      <c r="K86" s="12" t="s">
        <v>10</v>
      </c>
      <c r="L86" s="29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>
        <v>1.0</v>
      </c>
      <c r="B87" s="12" t="s">
        <v>42</v>
      </c>
      <c r="C87" s="14" t="s">
        <v>66</v>
      </c>
      <c r="D87" s="15">
        <v>13000.0</v>
      </c>
      <c r="E87" s="15">
        <f t="shared" ref="E87:E103" si="10">A87*D87</f>
        <v>13000</v>
      </c>
      <c r="F87" s="16"/>
      <c r="G87" s="24"/>
      <c r="H87" s="24"/>
      <c r="I87" s="15">
        <v>10000.0</v>
      </c>
      <c r="J87" s="16">
        <f t="shared" ref="J87:J103" si="11">I87*A87</f>
        <v>10000</v>
      </c>
      <c r="K87" s="16">
        <f t="shared" ref="K87:K103" si="12">E87-J87</f>
        <v>3000</v>
      </c>
      <c r="L87" s="30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2.0</v>
      </c>
      <c r="B88" s="12" t="s">
        <v>42</v>
      </c>
      <c r="C88" s="14" t="s">
        <v>70</v>
      </c>
      <c r="D88" s="15">
        <v>21000.0</v>
      </c>
      <c r="E88" s="15">
        <f t="shared" si="10"/>
        <v>42000</v>
      </c>
      <c r="F88" s="16"/>
      <c r="G88" s="24"/>
      <c r="H88" s="24"/>
      <c r="I88" s="15">
        <v>17000.0</v>
      </c>
      <c r="J88" s="16">
        <f t="shared" si="11"/>
        <v>34000</v>
      </c>
      <c r="K88" s="16">
        <f t="shared" si="12"/>
        <v>8000</v>
      </c>
      <c r="L88" s="30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1.0</v>
      </c>
      <c r="B89" s="12" t="s">
        <v>42</v>
      </c>
      <c r="C89" s="14" t="s">
        <v>76</v>
      </c>
      <c r="D89" s="15">
        <v>18000.0</v>
      </c>
      <c r="E89" s="15">
        <f t="shared" si="10"/>
        <v>18000</v>
      </c>
      <c r="F89" s="16"/>
      <c r="G89" s="24"/>
      <c r="H89" s="24"/>
      <c r="I89" s="15">
        <v>14000.0</v>
      </c>
      <c r="J89" s="16">
        <f t="shared" si="11"/>
        <v>14000</v>
      </c>
      <c r="K89" s="16">
        <f t="shared" si="12"/>
        <v>4000</v>
      </c>
      <c r="L89" s="30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1.0</v>
      </c>
      <c r="B90" s="12" t="s">
        <v>42</v>
      </c>
      <c r="C90" s="14" t="s">
        <v>68</v>
      </c>
      <c r="D90" s="15">
        <v>12000.0</v>
      </c>
      <c r="E90" s="15">
        <f t="shared" si="10"/>
        <v>12000</v>
      </c>
      <c r="F90" s="16"/>
      <c r="G90" s="24"/>
      <c r="H90" s="24"/>
      <c r="I90" s="15">
        <v>9000.0</v>
      </c>
      <c r="J90" s="16">
        <f t="shared" si="11"/>
        <v>9000</v>
      </c>
      <c r="K90" s="16">
        <f t="shared" si="12"/>
        <v>3000</v>
      </c>
      <c r="L90" s="30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2.0</v>
      </c>
      <c r="B91" s="12" t="s">
        <v>17</v>
      </c>
      <c r="C91" s="14" t="s">
        <v>62</v>
      </c>
      <c r="D91" s="15">
        <v>1800.0</v>
      </c>
      <c r="E91" s="15">
        <f t="shared" si="10"/>
        <v>3600</v>
      </c>
      <c r="F91" s="16"/>
      <c r="G91" s="24"/>
      <c r="H91" s="24"/>
      <c r="I91" s="15">
        <f>9000/8</f>
        <v>1125</v>
      </c>
      <c r="J91" s="16">
        <f t="shared" si="11"/>
        <v>2250</v>
      </c>
      <c r="K91" s="16">
        <f t="shared" si="12"/>
        <v>1350</v>
      </c>
      <c r="L91" s="30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5.0</v>
      </c>
      <c r="B92" s="12" t="s">
        <v>17</v>
      </c>
      <c r="C92" s="14" t="s">
        <v>162</v>
      </c>
      <c r="D92" s="15">
        <v>2400.0</v>
      </c>
      <c r="E92" s="15">
        <f t="shared" si="10"/>
        <v>12000</v>
      </c>
      <c r="F92" s="16"/>
      <c r="G92" s="24"/>
      <c r="H92" s="24"/>
      <c r="I92" s="15">
        <f>11000/15</f>
        <v>733.3333333</v>
      </c>
      <c r="J92" s="16">
        <f t="shared" si="11"/>
        <v>3666.666667</v>
      </c>
      <c r="K92" s="16">
        <f t="shared" si="12"/>
        <v>8333.333333</v>
      </c>
      <c r="L92" s="30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1.2</v>
      </c>
      <c r="B93" s="12" t="s">
        <v>17</v>
      </c>
      <c r="C93" s="14" t="s">
        <v>214</v>
      </c>
      <c r="D93" s="15">
        <v>4000.0</v>
      </c>
      <c r="E93" s="15">
        <f t="shared" si="10"/>
        <v>4800</v>
      </c>
      <c r="F93" s="16"/>
      <c r="G93" s="24"/>
      <c r="H93" s="24"/>
      <c r="I93" s="15">
        <v>3000.0</v>
      </c>
      <c r="J93" s="16">
        <f t="shared" si="11"/>
        <v>3600</v>
      </c>
      <c r="K93" s="16">
        <f t="shared" si="12"/>
        <v>1200</v>
      </c>
      <c r="L93" s="30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3.0</v>
      </c>
      <c r="B94" s="12" t="s">
        <v>17</v>
      </c>
      <c r="C94" s="14" t="s">
        <v>45</v>
      </c>
      <c r="D94" s="15">
        <v>2400.0</v>
      </c>
      <c r="E94" s="15">
        <f t="shared" si="10"/>
        <v>7200</v>
      </c>
      <c r="F94" s="16"/>
      <c r="G94" s="24"/>
      <c r="H94" s="24"/>
      <c r="I94" s="15">
        <f>28000/15</f>
        <v>1866.666667</v>
      </c>
      <c r="J94" s="16">
        <f t="shared" si="11"/>
        <v>5600</v>
      </c>
      <c r="K94" s="16">
        <f t="shared" si="12"/>
        <v>1600</v>
      </c>
      <c r="L94" s="30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1.0</v>
      </c>
      <c r="B95" s="12" t="s">
        <v>5</v>
      </c>
      <c r="C95" s="14" t="s">
        <v>188</v>
      </c>
      <c r="D95" s="15">
        <v>2000.0</v>
      </c>
      <c r="E95" s="15">
        <f t="shared" si="10"/>
        <v>2000</v>
      </c>
      <c r="F95" s="16"/>
      <c r="G95" s="24"/>
      <c r="H95" s="24"/>
      <c r="I95" s="15">
        <v>1500.0</v>
      </c>
      <c r="J95" s="16">
        <f t="shared" si="11"/>
        <v>1500</v>
      </c>
      <c r="K95" s="16">
        <f t="shared" si="12"/>
        <v>500</v>
      </c>
      <c r="L95" s="30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1.0</v>
      </c>
      <c r="B96" s="12" t="s">
        <v>5</v>
      </c>
      <c r="C96" s="14" t="s">
        <v>187</v>
      </c>
      <c r="D96" s="15">
        <v>2000.0</v>
      </c>
      <c r="E96" s="15">
        <f t="shared" si="10"/>
        <v>2000</v>
      </c>
      <c r="F96" s="16"/>
      <c r="G96" s="24"/>
      <c r="H96" s="24"/>
      <c r="I96" s="15">
        <v>1500.0</v>
      </c>
      <c r="J96" s="16">
        <f t="shared" si="11"/>
        <v>1500</v>
      </c>
      <c r="K96" s="16">
        <f t="shared" si="12"/>
        <v>500</v>
      </c>
      <c r="L96" s="30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3.0</v>
      </c>
      <c r="B97" s="12" t="s">
        <v>28</v>
      </c>
      <c r="C97" s="14" t="s">
        <v>147</v>
      </c>
      <c r="D97" s="15">
        <v>500.0</v>
      </c>
      <c r="E97" s="15">
        <f t="shared" si="10"/>
        <v>1500</v>
      </c>
      <c r="F97" s="16"/>
      <c r="G97" s="24"/>
      <c r="H97" s="24"/>
      <c r="I97" s="15">
        <v>0.0</v>
      </c>
      <c r="J97" s="16">
        <f t="shared" si="11"/>
        <v>0</v>
      </c>
      <c r="K97" s="16">
        <f t="shared" si="12"/>
        <v>1500</v>
      </c>
      <c r="L97" s="30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2.0</v>
      </c>
      <c r="B98" s="12" t="s">
        <v>17</v>
      </c>
      <c r="C98" s="14" t="s">
        <v>25</v>
      </c>
      <c r="D98" s="15">
        <v>2100.0</v>
      </c>
      <c r="E98" s="15">
        <f t="shared" si="10"/>
        <v>4200</v>
      </c>
      <c r="F98" s="16"/>
      <c r="G98" s="24"/>
      <c r="H98" s="24"/>
      <c r="I98" s="15">
        <v>1500.0</v>
      </c>
      <c r="J98" s="16">
        <f t="shared" si="11"/>
        <v>3000</v>
      </c>
      <c r="K98" s="16">
        <f t="shared" si="12"/>
        <v>1200</v>
      </c>
      <c r="L98" s="30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>
        <v>4.0</v>
      </c>
      <c r="B99" s="12" t="s">
        <v>5</v>
      </c>
      <c r="C99" s="14" t="s">
        <v>38</v>
      </c>
      <c r="D99" s="15">
        <v>1300.0</v>
      </c>
      <c r="E99" s="15">
        <f t="shared" si="10"/>
        <v>5200</v>
      </c>
      <c r="F99" s="16"/>
      <c r="G99" s="24"/>
      <c r="H99" s="24"/>
      <c r="I99" s="15">
        <v>791.0</v>
      </c>
      <c r="J99" s="16">
        <f t="shared" si="11"/>
        <v>3164</v>
      </c>
      <c r="K99" s="16">
        <f t="shared" si="12"/>
        <v>2036</v>
      </c>
      <c r="L99" s="30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>
        <v>0.5</v>
      </c>
      <c r="B100" s="12" t="s">
        <v>17</v>
      </c>
      <c r="C100" s="14" t="s">
        <v>196</v>
      </c>
      <c r="D100" s="15">
        <v>4000.0</v>
      </c>
      <c r="E100" s="15">
        <f t="shared" si="10"/>
        <v>2000</v>
      </c>
      <c r="F100" s="16"/>
      <c r="G100" s="24"/>
      <c r="H100" s="24"/>
      <c r="I100" s="15">
        <f>7000/3</f>
        <v>2333.333333</v>
      </c>
      <c r="J100" s="16">
        <f t="shared" si="11"/>
        <v>1166.666667</v>
      </c>
      <c r="K100" s="16">
        <f t="shared" si="12"/>
        <v>833.3333333</v>
      </c>
      <c r="L100" s="31" t="s">
        <v>2</v>
      </c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>
        <v>2.0</v>
      </c>
      <c r="B101" s="12" t="s">
        <v>17</v>
      </c>
      <c r="C101" s="14" t="s">
        <v>194</v>
      </c>
      <c r="D101" s="15">
        <v>2400.0</v>
      </c>
      <c r="E101" s="15">
        <f t="shared" si="10"/>
        <v>4800</v>
      </c>
      <c r="F101" s="16"/>
      <c r="G101" s="24"/>
      <c r="H101" s="24"/>
      <c r="I101" s="15">
        <f>15000/8</f>
        <v>1875</v>
      </c>
      <c r="J101" s="16">
        <f t="shared" si="11"/>
        <v>3750</v>
      </c>
      <c r="K101" s="16">
        <f t="shared" si="12"/>
        <v>1050</v>
      </c>
      <c r="L101" s="30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>
        <v>0.5</v>
      </c>
      <c r="B102" s="12" t="s">
        <v>17</v>
      </c>
      <c r="C102" s="14" t="s">
        <v>192</v>
      </c>
      <c r="D102" s="15">
        <v>3500.0</v>
      </c>
      <c r="E102" s="15">
        <f t="shared" si="10"/>
        <v>1750</v>
      </c>
      <c r="F102" s="16"/>
      <c r="G102" s="24"/>
      <c r="H102" s="24"/>
      <c r="I102" s="15">
        <f>20000/8</f>
        <v>2500</v>
      </c>
      <c r="J102" s="16">
        <f t="shared" si="11"/>
        <v>1250</v>
      </c>
      <c r="K102" s="16">
        <f t="shared" si="12"/>
        <v>500</v>
      </c>
      <c r="L102" s="30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>
        <v>1.2</v>
      </c>
      <c r="B103" s="12" t="s">
        <v>17</v>
      </c>
      <c r="C103" s="14" t="s">
        <v>19</v>
      </c>
      <c r="D103" s="15">
        <v>2400.0</v>
      </c>
      <c r="E103" s="15">
        <f t="shared" si="10"/>
        <v>2880</v>
      </c>
      <c r="F103" s="16"/>
      <c r="G103" s="24"/>
      <c r="H103" s="24"/>
      <c r="I103" s="15">
        <f>30000/18</f>
        <v>1666.666667</v>
      </c>
      <c r="J103" s="16">
        <f t="shared" si="11"/>
        <v>2000</v>
      </c>
      <c r="K103" s="16">
        <f t="shared" si="12"/>
        <v>880</v>
      </c>
      <c r="L103" s="30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/>
      <c r="B104" s="12"/>
      <c r="C104" s="14"/>
      <c r="D104" s="15"/>
      <c r="E104" s="16"/>
      <c r="F104" s="16"/>
      <c r="G104" s="24"/>
      <c r="H104" s="24"/>
      <c r="I104" s="16"/>
      <c r="J104" s="16"/>
      <c r="K104" s="16"/>
      <c r="L104" s="30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3"/>
      <c r="B105" s="12"/>
      <c r="C105" s="14"/>
      <c r="D105" s="15"/>
      <c r="E105" s="16">
        <f>SUM(E87:E103)</f>
        <v>138930</v>
      </c>
      <c r="F105" s="16"/>
      <c r="G105" s="24"/>
      <c r="H105" s="24"/>
      <c r="I105" s="16"/>
      <c r="J105" s="16"/>
      <c r="K105" s="16">
        <f>SUM(K87:K103)</f>
        <v>39482.66667</v>
      </c>
      <c r="L105" s="30">
        <f>K105/E105</f>
        <v>0.2841910794</v>
      </c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33"/>
      <c r="B106" s="34"/>
      <c r="C106" s="2"/>
      <c r="D106" s="3"/>
      <c r="E106" s="3"/>
      <c r="F106" s="3"/>
      <c r="G106" s="2"/>
      <c r="H106" s="2"/>
      <c r="I106" s="2"/>
      <c r="J106" s="2"/>
      <c r="K106" s="3"/>
      <c r="L106" s="4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1"/>
      <c r="P107" s="21"/>
      <c r="Q107" s="21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33"/>
      <c r="B108" s="34"/>
      <c r="C108" s="2"/>
      <c r="D108" s="3"/>
      <c r="E108" s="3"/>
      <c r="F108" s="3"/>
      <c r="G108" s="2"/>
      <c r="H108" s="2"/>
      <c r="I108" s="2"/>
      <c r="J108" s="2"/>
      <c r="K108" s="3"/>
      <c r="L108" s="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23" t="s">
        <v>83</v>
      </c>
      <c r="B109" s="23"/>
      <c r="C109" s="23"/>
      <c r="D109" s="25" t="s">
        <v>247</v>
      </c>
      <c r="E109" s="7">
        <v>46048.0</v>
      </c>
      <c r="F109" s="28"/>
      <c r="G109" s="24"/>
      <c r="H109" s="24"/>
      <c r="I109" s="16"/>
      <c r="J109" s="16"/>
      <c r="K109" s="16"/>
      <c r="L109" s="29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B110" s="24"/>
      <c r="C110" s="26"/>
      <c r="D110" s="24"/>
      <c r="E110" s="24"/>
      <c r="F110" s="24"/>
      <c r="G110" s="24"/>
      <c r="H110" s="24"/>
      <c r="I110" s="16"/>
      <c r="J110" s="16"/>
      <c r="K110" s="16"/>
      <c r="L110" s="29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5" t="s">
        <v>4</v>
      </c>
      <c r="B111" s="10" t="s">
        <v>5</v>
      </c>
      <c r="C111" s="11" t="s">
        <v>6</v>
      </c>
      <c r="D111" s="12" t="s">
        <v>7</v>
      </c>
      <c r="E111" s="10" t="s">
        <v>8</v>
      </c>
      <c r="F111" s="12"/>
      <c r="G111" s="24"/>
      <c r="H111" s="24"/>
      <c r="I111" s="12" t="s">
        <v>7</v>
      </c>
      <c r="J111" s="12" t="s">
        <v>8</v>
      </c>
      <c r="K111" s="12" t="s">
        <v>10</v>
      </c>
      <c r="L111" s="29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1.0</v>
      </c>
      <c r="B112" s="12" t="s">
        <v>42</v>
      </c>
      <c r="C112" s="14" t="s">
        <v>70</v>
      </c>
      <c r="D112" s="15">
        <v>22000.0</v>
      </c>
      <c r="E112" s="15">
        <f t="shared" ref="E112:E122" si="13">A112*D112</f>
        <v>22000</v>
      </c>
      <c r="F112" s="16"/>
      <c r="G112" s="24"/>
      <c r="H112" s="24"/>
      <c r="I112" s="16">
        <v>19000.0</v>
      </c>
      <c r="J112" s="16">
        <f t="shared" ref="J112:J122" si="14">I112*A112</f>
        <v>19000</v>
      </c>
      <c r="K112" s="16">
        <f t="shared" ref="K112:K122" si="15">E112-J112</f>
        <v>3000</v>
      </c>
      <c r="L112" s="30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0.5</v>
      </c>
      <c r="B113" s="12" t="s">
        <v>32</v>
      </c>
      <c r="C113" s="14" t="s">
        <v>147</v>
      </c>
      <c r="D113" s="15">
        <v>9000.0</v>
      </c>
      <c r="E113" s="15">
        <f t="shared" si="13"/>
        <v>4500</v>
      </c>
      <c r="F113" s="16"/>
      <c r="G113" s="24"/>
      <c r="H113" s="24"/>
      <c r="I113" s="16">
        <v>5000.0</v>
      </c>
      <c r="J113" s="16">
        <f t="shared" si="14"/>
        <v>2500</v>
      </c>
      <c r="K113" s="16">
        <f t="shared" si="15"/>
        <v>2000</v>
      </c>
      <c r="L113" s="30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0.5</v>
      </c>
      <c r="B114" s="12" t="s">
        <v>32</v>
      </c>
      <c r="C114" s="14" t="s">
        <v>196</v>
      </c>
      <c r="D114" s="15">
        <v>11000.0</v>
      </c>
      <c r="E114" s="15">
        <f t="shared" si="13"/>
        <v>5500</v>
      </c>
      <c r="F114" s="16"/>
      <c r="G114" s="24"/>
      <c r="H114" s="24"/>
      <c r="I114" s="16">
        <v>7000.0</v>
      </c>
      <c r="J114" s="16">
        <f t="shared" si="14"/>
        <v>3500</v>
      </c>
      <c r="K114" s="16">
        <f t="shared" si="15"/>
        <v>2000</v>
      </c>
      <c r="L114" s="30"/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0.5</v>
      </c>
      <c r="B115" s="12" t="s">
        <v>32</v>
      </c>
      <c r="C115" s="14" t="s">
        <v>278</v>
      </c>
      <c r="D115" s="15">
        <v>14000.0</v>
      </c>
      <c r="E115" s="15">
        <f t="shared" si="13"/>
        <v>7000</v>
      </c>
      <c r="F115" s="16"/>
      <c r="G115" s="24"/>
      <c r="H115" s="24"/>
      <c r="I115" s="16">
        <v>10000.0</v>
      </c>
      <c r="J115" s="16">
        <f t="shared" si="14"/>
        <v>5000</v>
      </c>
      <c r="K115" s="16">
        <f t="shared" si="15"/>
        <v>2000</v>
      </c>
      <c r="L115" s="30"/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1.0</v>
      </c>
      <c r="B116" s="12" t="s">
        <v>28</v>
      </c>
      <c r="C116" s="14" t="s">
        <v>74</v>
      </c>
      <c r="D116" s="15">
        <v>1000.0</v>
      </c>
      <c r="E116" s="15">
        <f t="shared" si="13"/>
        <v>1000</v>
      </c>
      <c r="F116" s="16"/>
      <c r="G116" s="24"/>
      <c r="H116" s="24"/>
      <c r="I116" s="16">
        <v>500.0</v>
      </c>
      <c r="J116" s="16">
        <f t="shared" si="14"/>
        <v>500</v>
      </c>
      <c r="K116" s="16">
        <f t="shared" si="15"/>
        <v>500</v>
      </c>
      <c r="L116" s="30"/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>
        <v>3.0</v>
      </c>
      <c r="B117" s="12" t="s">
        <v>17</v>
      </c>
      <c r="C117" s="14" t="s">
        <v>162</v>
      </c>
      <c r="D117" s="15">
        <v>1800.0</v>
      </c>
      <c r="E117" s="15">
        <f t="shared" si="13"/>
        <v>5400</v>
      </c>
      <c r="F117" s="16"/>
      <c r="G117" s="24"/>
      <c r="H117" s="24"/>
      <c r="I117" s="16">
        <f>11000/15</f>
        <v>733.3333333</v>
      </c>
      <c r="J117" s="16">
        <f t="shared" si="14"/>
        <v>2200</v>
      </c>
      <c r="K117" s="16">
        <f t="shared" si="15"/>
        <v>3200</v>
      </c>
      <c r="L117" s="30"/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>
        <v>1.0</v>
      </c>
      <c r="B118" s="12" t="s">
        <v>28</v>
      </c>
      <c r="C118" s="14" t="s">
        <v>197</v>
      </c>
      <c r="D118" s="15">
        <v>3000.0</v>
      </c>
      <c r="E118" s="15">
        <f t="shared" si="13"/>
        <v>3000</v>
      </c>
      <c r="F118" s="16"/>
      <c r="G118" s="24"/>
      <c r="H118" s="24"/>
      <c r="I118" s="16">
        <v>2000.0</v>
      </c>
      <c r="J118" s="16">
        <f t="shared" si="14"/>
        <v>2000</v>
      </c>
      <c r="K118" s="16">
        <f t="shared" si="15"/>
        <v>1000</v>
      </c>
      <c r="L118" s="30"/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3">
        <v>3.0</v>
      </c>
      <c r="B119" s="12" t="s">
        <v>5</v>
      </c>
      <c r="C119" s="14" t="s">
        <v>69</v>
      </c>
      <c r="D119" s="15">
        <v>1200.0</v>
      </c>
      <c r="E119" s="15">
        <f t="shared" si="13"/>
        <v>3600</v>
      </c>
      <c r="F119" s="16"/>
      <c r="G119" s="24"/>
      <c r="H119" s="24"/>
      <c r="I119" s="16">
        <v>560.0</v>
      </c>
      <c r="J119" s="16">
        <f t="shared" si="14"/>
        <v>1680</v>
      </c>
      <c r="K119" s="16">
        <f t="shared" si="15"/>
        <v>1920</v>
      </c>
      <c r="L119" s="30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>
        <v>2.0</v>
      </c>
      <c r="B120" s="12" t="s">
        <v>17</v>
      </c>
      <c r="C120" s="14" t="s">
        <v>62</v>
      </c>
      <c r="D120" s="15">
        <v>1800.0</v>
      </c>
      <c r="E120" s="15">
        <f t="shared" si="13"/>
        <v>3600</v>
      </c>
      <c r="F120" s="16"/>
      <c r="G120" s="24"/>
      <c r="H120" s="24"/>
      <c r="I120" s="16">
        <f>9000/8</f>
        <v>1125</v>
      </c>
      <c r="J120" s="16">
        <f t="shared" si="14"/>
        <v>2250</v>
      </c>
      <c r="K120" s="16">
        <f t="shared" si="15"/>
        <v>1350</v>
      </c>
      <c r="L120" s="30"/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>
        <v>2.0</v>
      </c>
      <c r="B121" s="12" t="s">
        <v>17</v>
      </c>
      <c r="C121" s="14" t="s">
        <v>198</v>
      </c>
      <c r="D121" s="15">
        <v>2100.0</v>
      </c>
      <c r="E121" s="15">
        <f t="shared" si="13"/>
        <v>4200</v>
      </c>
      <c r="F121" s="16"/>
      <c r="G121" s="24"/>
      <c r="H121" s="24"/>
      <c r="I121" s="16">
        <v>1500.0</v>
      </c>
      <c r="J121" s="16">
        <f t="shared" si="14"/>
        <v>3000</v>
      </c>
      <c r="K121" s="16">
        <f t="shared" si="15"/>
        <v>1200</v>
      </c>
      <c r="L121" s="30"/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3">
        <v>2.0</v>
      </c>
      <c r="B122" s="12" t="s">
        <v>17</v>
      </c>
      <c r="C122" s="14" t="s">
        <v>68</v>
      </c>
      <c r="D122" s="15">
        <v>1600.0</v>
      </c>
      <c r="E122" s="15">
        <f t="shared" si="13"/>
        <v>3200</v>
      </c>
      <c r="F122" s="16"/>
      <c r="G122" s="24"/>
      <c r="H122" s="24"/>
      <c r="I122" s="16">
        <f>9000/8</f>
        <v>1125</v>
      </c>
      <c r="J122" s="16">
        <f t="shared" si="14"/>
        <v>2250</v>
      </c>
      <c r="K122" s="16">
        <f t="shared" si="15"/>
        <v>950</v>
      </c>
      <c r="L122" s="30"/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/>
      <c r="B123" s="12"/>
      <c r="C123" s="14"/>
      <c r="D123" s="15"/>
      <c r="E123" s="16"/>
      <c r="F123" s="16"/>
      <c r="H123" s="24"/>
      <c r="I123" s="16"/>
      <c r="J123" s="16"/>
      <c r="K123" s="16"/>
      <c r="L123" s="30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/>
      <c r="B124" s="12"/>
      <c r="C124" s="14"/>
      <c r="D124" s="15"/>
      <c r="E124" s="16">
        <f>SUM(E112:E123)</f>
        <v>63000</v>
      </c>
      <c r="F124" s="16"/>
      <c r="G124" s="24"/>
      <c r="H124" s="24"/>
      <c r="I124" s="16"/>
      <c r="J124" s="16"/>
      <c r="K124" s="16">
        <f>SUM(K112:K122)</f>
        <v>19120</v>
      </c>
      <c r="L124" s="30">
        <f>K124/E124</f>
        <v>0.3034920635</v>
      </c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/>
      <c r="B125" s="12"/>
      <c r="C125" s="14"/>
      <c r="D125" s="15"/>
      <c r="E125" s="3"/>
      <c r="F125" s="3"/>
      <c r="G125" s="2"/>
      <c r="H125" s="2"/>
      <c r="I125" s="2"/>
      <c r="J125" s="2"/>
      <c r="K125" s="3"/>
      <c r="L125" s="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3"/>
      <c r="B126" s="12"/>
      <c r="C126" s="14"/>
      <c r="D126" s="15"/>
      <c r="E126" s="3"/>
      <c r="F126" s="3"/>
      <c r="G126" s="2"/>
      <c r="H126" s="2"/>
      <c r="I126" s="2"/>
      <c r="J126" s="2"/>
      <c r="K126" s="3"/>
      <c r="L126" s="4"/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13"/>
      <c r="B127" s="12"/>
      <c r="C127" s="14"/>
      <c r="D127" s="15"/>
      <c r="E127" s="3"/>
      <c r="F127" s="3"/>
      <c r="G127" s="2"/>
      <c r="H127" s="2"/>
      <c r="I127" s="2"/>
      <c r="J127" s="2"/>
      <c r="K127" s="3"/>
      <c r="L127" s="4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23" t="s">
        <v>80</v>
      </c>
      <c r="B128" s="23"/>
      <c r="C128" s="23"/>
      <c r="D128" s="25" t="s">
        <v>289</v>
      </c>
      <c r="E128" s="7">
        <v>46048.0</v>
      </c>
      <c r="F128" s="28"/>
      <c r="G128" s="24"/>
      <c r="H128" s="24"/>
      <c r="I128" s="16"/>
      <c r="J128" s="16"/>
      <c r="K128" s="16"/>
      <c r="L128" s="29"/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B129" s="24"/>
      <c r="C129" s="26"/>
      <c r="D129" s="24"/>
      <c r="E129" s="24"/>
      <c r="F129" s="24"/>
      <c r="G129" s="24"/>
      <c r="H129" s="24"/>
      <c r="I129" s="16"/>
      <c r="J129" s="16"/>
      <c r="K129" s="16"/>
      <c r="L129" s="29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5" t="s">
        <v>4</v>
      </c>
      <c r="B130" s="10" t="s">
        <v>5</v>
      </c>
      <c r="C130" s="11" t="s">
        <v>6</v>
      </c>
      <c r="D130" s="12" t="s">
        <v>7</v>
      </c>
      <c r="E130" s="10" t="s">
        <v>8</v>
      </c>
      <c r="F130" s="12"/>
      <c r="G130" s="24"/>
      <c r="H130" s="24"/>
      <c r="I130" s="12" t="s">
        <v>7</v>
      </c>
      <c r="J130" s="12" t="s">
        <v>8</v>
      </c>
      <c r="K130" s="12" t="s">
        <v>10</v>
      </c>
      <c r="L130" s="29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3">
        <v>3.0</v>
      </c>
      <c r="B131" s="12" t="s">
        <v>17</v>
      </c>
      <c r="C131" s="14" t="s">
        <v>256</v>
      </c>
      <c r="D131" s="15">
        <v>2200.0</v>
      </c>
      <c r="E131" s="15">
        <f t="shared" ref="E131:E135" si="16">A131*D131</f>
        <v>6600</v>
      </c>
      <c r="F131" s="16"/>
      <c r="G131" s="24"/>
      <c r="H131" s="24"/>
      <c r="I131" s="16">
        <v>733.0</v>
      </c>
      <c r="J131" s="16">
        <f t="shared" ref="J131:J135" si="17">I131*A131</f>
        <v>2199</v>
      </c>
      <c r="K131" s="16">
        <f t="shared" ref="K131:K135" si="18">E131-J131</f>
        <v>4401</v>
      </c>
      <c r="L131" s="30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13">
        <v>1.0</v>
      </c>
      <c r="B132" s="12" t="s">
        <v>17</v>
      </c>
      <c r="C132" s="14" t="s">
        <v>168</v>
      </c>
      <c r="D132" s="15">
        <v>4000.0</v>
      </c>
      <c r="E132" s="15">
        <f t="shared" si="16"/>
        <v>4000</v>
      </c>
      <c r="F132" s="16"/>
      <c r="G132" s="24"/>
      <c r="H132" s="24"/>
      <c r="I132" s="16">
        <v>0.0</v>
      </c>
      <c r="J132" s="16">
        <f t="shared" si="17"/>
        <v>0</v>
      </c>
      <c r="K132" s="16">
        <f t="shared" si="18"/>
        <v>4000</v>
      </c>
      <c r="L132" s="30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3">
        <v>0.7</v>
      </c>
      <c r="B133" s="12" t="s">
        <v>17</v>
      </c>
      <c r="C133" s="14" t="s">
        <v>68</v>
      </c>
      <c r="D133" s="15">
        <v>1600.0</v>
      </c>
      <c r="E133" s="15">
        <f t="shared" si="16"/>
        <v>1120</v>
      </c>
      <c r="F133" s="16"/>
      <c r="G133" s="24"/>
      <c r="H133" s="24"/>
      <c r="I133" s="16">
        <v>1125.0</v>
      </c>
      <c r="J133" s="16">
        <f t="shared" si="17"/>
        <v>787.5</v>
      </c>
      <c r="K133" s="16">
        <f t="shared" si="18"/>
        <v>332.5</v>
      </c>
      <c r="L133" s="30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3">
        <v>4.0</v>
      </c>
      <c r="B134" s="12" t="s">
        <v>5</v>
      </c>
      <c r="C134" s="14" t="s">
        <v>38</v>
      </c>
      <c r="D134" s="15">
        <v>1400.0</v>
      </c>
      <c r="E134" s="15">
        <f t="shared" si="16"/>
        <v>5600</v>
      </c>
      <c r="F134" s="16"/>
      <c r="G134" s="24"/>
      <c r="H134" s="24"/>
      <c r="I134" s="16">
        <v>791.0</v>
      </c>
      <c r="J134" s="16">
        <f t="shared" si="17"/>
        <v>3164</v>
      </c>
      <c r="K134" s="16">
        <f t="shared" si="18"/>
        <v>2436</v>
      </c>
      <c r="L134" s="30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13">
        <v>4.0</v>
      </c>
      <c r="B135" s="12" t="s">
        <v>17</v>
      </c>
      <c r="C135" s="14" t="s">
        <v>62</v>
      </c>
      <c r="D135" s="15">
        <v>1800.0</v>
      </c>
      <c r="E135" s="15">
        <f t="shared" si="16"/>
        <v>7200</v>
      </c>
      <c r="F135" s="16"/>
      <c r="G135" s="24"/>
      <c r="H135" s="24"/>
      <c r="I135" s="16">
        <v>1125.0</v>
      </c>
      <c r="J135" s="16">
        <f t="shared" si="17"/>
        <v>4500</v>
      </c>
      <c r="K135" s="16">
        <f t="shared" si="18"/>
        <v>2700</v>
      </c>
      <c r="L135" s="30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/>
      <c r="B136" s="12"/>
      <c r="C136" s="14"/>
      <c r="D136" s="15"/>
      <c r="E136" s="16"/>
      <c r="F136" s="16"/>
      <c r="H136" s="24"/>
      <c r="I136" s="16"/>
      <c r="J136" s="16"/>
      <c r="K136" s="16"/>
      <c r="L136" s="30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/>
      <c r="B137" s="12"/>
      <c r="C137" s="14"/>
      <c r="D137" s="15"/>
      <c r="E137" s="16">
        <f>SUM(E131:E136)</f>
        <v>24520</v>
      </c>
      <c r="F137" s="16"/>
      <c r="G137" s="24"/>
      <c r="H137" s="24"/>
      <c r="I137" s="16"/>
      <c r="J137" s="16"/>
      <c r="K137" s="16">
        <f>SUM(K131:K135)</f>
        <v>13869.5</v>
      </c>
      <c r="L137" s="30">
        <f>K137/E137</f>
        <v>0.5656402936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/>
      <c r="B138" s="12"/>
      <c r="C138" s="14"/>
      <c r="D138" s="15"/>
      <c r="E138" s="3"/>
      <c r="F138" s="3"/>
      <c r="G138" s="2"/>
      <c r="H138" s="2"/>
      <c r="I138" s="2"/>
      <c r="J138" s="2"/>
      <c r="K138" s="3"/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/>
      <c r="B139" s="12"/>
      <c r="C139" s="14"/>
      <c r="D139" s="15"/>
      <c r="E139" s="3"/>
      <c r="F139" s="3"/>
      <c r="G139" s="2"/>
      <c r="H139" s="2"/>
      <c r="I139" s="2"/>
      <c r="J139" s="2"/>
      <c r="K139" s="3"/>
      <c r="L139" s="4"/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/>
      <c r="B140" s="12"/>
      <c r="C140" s="14"/>
      <c r="D140" s="15"/>
      <c r="E140" s="3"/>
      <c r="F140" s="3"/>
      <c r="G140" s="2"/>
      <c r="H140" s="2"/>
      <c r="I140" s="2"/>
      <c r="J140" s="2"/>
      <c r="K140" s="3"/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33" t="s">
        <v>88</v>
      </c>
      <c r="B141" s="34">
        <f>E124+E105+E80+E53+E20+E137</f>
        <v>1019035</v>
      </c>
      <c r="C141" s="2"/>
      <c r="D141" s="3"/>
      <c r="E141" s="3"/>
      <c r="F141" s="3"/>
      <c r="G141" s="2"/>
      <c r="H141" s="2"/>
      <c r="I141" s="2"/>
      <c r="J141" s="2"/>
      <c r="K141" s="3"/>
      <c r="L141" s="4"/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"/>
      <c r="B142" s="2"/>
      <c r="C142" s="2"/>
      <c r="D142" s="3"/>
      <c r="E142" s="3"/>
      <c r="F142" s="3"/>
      <c r="G142" s="2"/>
      <c r="H142" s="2"/>
      <c r="I142" s="2"/>
      <c r="J142" s="2"/>
      <c r="K142" s="3"/>
      <c r="L142" s="4"/>
      <c r="M142" s="2"/>
      <c r="N142" s="2"/>
      <c r="O142" s="2"/>
      <c r="P142" s="2"/>
      <c r="Q142" s="3"/>
      <c r="R142" s="9"/>
      <c r="S142" s="3"/>
      <c r="T142" s="3"/>
      <c r="U142" s="1"/>
      <c r="V142" s="3"/>
      <c r="W142" s="3"/>
      <c r="X142" s="3"/>
      <c r="Y142" s="3"/>
      <c r="Z142" s="3"/>
    </row>
    <row r="143">
      <c r="A143" s="33" t="s">
        <v>89</v>
      </c>
      <c r="B143" s="34">
        <f>K124+K105+K80+K53+K20+K137</f>
        <v>265737.7857</v>
      </c>
      <c r="C143" s="2"/>
      <c r="D143" s="3"/>
      <c r="E143" s="3"/>
      <c r="F143" s="3"/>
      <c r="G143" s="2"/>
      <c r="H143" s="2"/>
      <c r="I143" s="2"/>
      <c r="J143" s="2"/>
      <c r="K143" s="3"/>
      <c r="L143" s="4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1"/>
      <c r="B144" s="2"/>
      <c r="C144" s="2"/>
      <c r="D144" s="3"/>
      <c r="E144" s="3"/>
      <c r="F144" s="3"/>
      <c r="G144" s="2"/>
      <c r="H144" s="2"/>
      <c r="I144" s="2"/>
      <c r="J144" s="2"/>
      <c r="K144" s="3"/>
      <c r="L144" s="4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33" t="s">
        <v>90</v>
      </c>
      <c r="B145" s="35">
        <f>B143/B141</f>
        <v>0.2607739535</v>
      </c>
      <c r="C145" s="2"/>
      <c r="D145" s="3"/>
      <c r="E145" s="3"/>
      <c r="F145" s="3"/>
      <c r="G145" s="2"/>
      <c r="H145" s="2"/>
      <c r="I145" s="2"/>
      <c r="J145" s="2"/>
      <c r="K145" s="3"/>
      <c r="L145" s="4"/>
      <c r="M145" s="2"/>
      <c r="N145" s="2"/>
      <c r="O145" s="2"/>
      <c r="P145" s="2"/>
      <c r="Q145" s="2"/>
      <c r="R145" s="2"/>
      <c r="S145" s="3"/>
      <c r="T145" s="3"/>
      <c r="U145" s="1"/>
      <c r="V145" s="3"/>
      <c r="W145" s="3"/>
      <c r="X145" s="2"/>
      <c r="Y145" s="2"/>
      <c r="Z145" s="2"/>
    </row>
    <row r="146">
      <c r="A146" s="1"/>
      <c r="B146" s="2"/>
      <c r="C146" s="2"/>
      <c r="D146" s="3"/>
      <c r="E146" s="3"/>
      <c r="F146" s="3"/>
      <c r="G146" s="2"/>
      <c r="H146" s="2"/>
      <c r="I146" s="2"/>
      <c r="J146" s="2"/>
      <c r="K146" s="3"/>
      <c r="L146" s="4"/>
      <c r="M146" s="2"/>
      <c r="N146" s="2"/>
      <c r="O146" s="2"/>
      <c r="P146" s="2"/>
      <c r="Q146" s="3"/>
      <c r="R146" s="9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36" t="s">
        <v>91</v>
      </c>
      <c r="C147" s="37"/>
      <c r="D147" s="6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9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1"/>
      <c r="B149" s="2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1"/>
      <c r="B150" s="1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X151" s="3"/>
      <c r="Y151" s="3"/>
      <c r="Z151" s="3"/>
    </row>
    <row r="152" ht="15.75" customHeight="1">
      <c r="A152" s="39"/>
      <c r="B152" s="40" t="s">
        <v>92</v>
      </c>
      <c r="C152" s="41" t="s">
        <v>93</v>
      </c>
      <c r="D152" s="42" t="s">
        <v>94</v>
      </c>
      <c r="E152" s="42" t="s">
        <v>95</v>
      </c>
      <c r="F152" s="42" t="s">
        <v>96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9"/>
      <c r="X152" s="3"/>
      <c r="Y152" s="3"/>
      <c r="Z152" s="3"/>
    </row>
    <row r="153" ht="15.75" customHeight="1">
      <c r="A153" s="43"/>
      <c r="B153" s="44">
        <f>'22-01-2026 '!B126</f>
        <v>213537.25</v>
      </c>
      <c r="C153" s="44">
        <f>'22-01-2026 '!C126</f>
        <v>1338479.728</v>
      </c>
      <c r="D153" s="44">
        <f>'22-01-2026 '!D126</f>
        <v>2388443.928</v>
      </c>
      <c r="E153" s="44">
        <f>'22-01-2026 '!E126</f>
        <v>0</v>
      </c>
      <c r="F153" s="44">
        <f>'22-01-2026 '!F126</f>
        <v>637428.4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1"/>
      <c r="B154" s="46"/>
      <c r="C154" s="46"/>
      <c r="D154" s="46"/>
      <c r="E154" s="4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40" t="s">
        <v>97</v>
      </c>
      <c r="B155" s="47"/>
      <c r="C155" s="47"/>
      <c r="D155" s="47"/>
      <c r="E155" s="47"/>
      <c r="F155" s="4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13" t="s">
        <v>98</v>
      </c>
      <c r="B156" s="49">
        <v>0.0</v>
      </c>
      <c r="C156" s="49">
        <v>0.0</v>
      </c>
      <c r="D156" s="49">
        <v>0.0</v>
      </c>
      <c r="E156" s="49">
        <v>0.0</v>
      </c>
      <c r="F156" s="49">
        <v>964956.69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13" t="s">
        <v>99</v>
      </c>
      <c r="B157" s="49">
        <v>0.0</v>
      </c>
      <c r="C157" s="49">
        <v>1008.47</v>
      </c>
      <c r="D157" s="49">
        <v>0.0</v>
      </c>
      <c r="E157" s="49">
        <v>0.0</v>
      </c>
      <c r="F157" s="49">
        <v>0.0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100</v>
      </c>
      <c r="B158" s="49">
        <v>0.0</v>
      </c>
      <c r="C158" s="49">
        <v>0.0</v>
      </c>
      <c r="D158" s="49">
        <v>0.0</v>
      </c>
      <c r="E158" s="49">
        <v>0.0</v>
      </c>
      <c r="F158" s="49">
        <v>0.0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3" t="s">
        <v>101</v>
      </c>
      <c r="B159" s="49">
        <v>0.0</v>
      </c>
      <c r="C159" s="49">
        <v>0.0</v>
      </c>
      <c r="D159" s="49">
        <v>0.0</v>
      </c>
      <c r="E159" s="49">
        <v>0.0</v>
      </c>
      <c r="F159" s="49">
        <v>0.0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3" t="s">
        <v>102</v>
      </c>
      <c r="B160" s="49">
        <v>0.0</v>
      </c>
      <c r="C160" s="49">
        <v>0.0</v>
      </c>
      <c r="D160" s="49">
        <v>0.0</v>
      </c>
      <c r="E160" s="49">
        <v>0.0</v>
      </c>
      <c r="F160" s="49">
        <v>0.0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13" t="s">
        <v>202</v>
      </c>
      <c r="B161" s="49">
        <v>0.0</v>
      </c>
      <c r="C161" s="49">
        <v>0.0</v>
      </c>
      <c r="D161" s="49">
        <v>0.0</v>
      </c>
      <c r="E161" s="49">
        <v>0.0</v>
      </c>
      <c r="F161" s="49">
        <v>0.0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13" t="s">
        <v>203</v>
      </c>
      <c r="B162" s="49">
        <v>0.0</v>
      </c>
      <c r="C162" s="50">
        <f>C156*2%</f>
        <v>0</v>
      </c>
      <c r="D162" s="49">
        <f>SUM(D156:D157)*2%</f>
        <v>0</v>
      </c>
      <c r="E162" s="49">
        <v>0.0</v>
      </c>
      <c r="F162" s="49">
        <v>0.0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3" t="s">
        <v>103</v>
      </c>
      <c r="B163" s="49">
        <v>0.0</v>
      </c>
      <c r="C163" s="50">
        <f>C156*0.6%+C159*0.6%</f>
        <v>0</v>
      </c>
      <c r="D163" s="49">
        <f>SUM(D156:D158)*0.6%</f>
        <v>0</v>
      </c>
      <c r="E163" s="49">
        <v>0.0</v>
      </c>
      <c r="F163" s="49">
        <v>0.0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1"/>
      <c r="B164" s="46"/>
      <c r="C164" s="46"/>
      <c r="D164" s="46"/>
      <c r="E164" s="4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51" t="s">
        <v>8</v>
      </c>
      <c r="B165" s="52">
        <f>SUM(B153:B163)</f>
        <v>213537.25</v>
      </c>
      <c r="C165" s="52">
        <f>C153+C156+C159+C160-C163+C157-C162</f>
        <v>1339488.198</v>
      </c>
      <c r="D165" s="53">
        <f>D153+D156+D159+D160-D163+D158-D162-D161</f>
        <v>2388443.928</v>
      </c>
      <c r="E165" s="52">
        <f>E153+E156+E159+E160-E163</f>
        <v>0</v>
      </c>
      <c r="F165" s="54">
        <f>F153+F156+F159+F160-F163-D158</f>
        <v>1602385.09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1"/>
      <c r="B166" s="1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40" t="s">
        <v>104</v>
      </c>
      <c r="B167" s="47"/>
      <c r="C167" s="47"/>
      <c r="D167" s="47"/>
      <c r="E167" s="47"/>
      <c r="F167" s="4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13" t="s">
        <v>105</v>
      </c>
      <c r="B168" s="55">
        <v>1000.0</v>
      </c>
      <c r="C168" s="55">
        <v>0.0</v>
      </c>
      <c r="D168" s="55">
        <v>0.0</v>
      </c>
      <c r="E168" s="55">
        <v>0.0</v>
      </c>
      <c r="F168" s="2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3" t="s">
        <v>106</v>
      </c>
      <c r="B169" s="49">
        <v>0.0</v>
      </c>
      <c r="C169" s="49">
        <v>0.0</v>
      </c>
      <c r="D169" s="49">
        <v>0.0</v>
      </c>
      <c r="E169" s="49">
        <v>0.0</v>
      </c>
      <c r="F169" s="2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107</v>
      </c>
      <c r="B170" s="55">
        <v>0.0</v>
      </c>
      <c r="C170" s="55">
        <v>0.0</v>
      </c>
      <c r="D170" s="49">
        <v>900000.0</v>
      </c>
      <c r="E170" s="55">
        <v>0.0</v>
      </c>
      <c r="F170" s="2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108</v>
      </c>
      <c r="B171" s="55">
        <v>2800.0</v>
      </c>
      <c r="C171" s="55">
        <v>0.0</v>
      </c>
      <c r="D171" s="55">
        <v>0.0</v>
      </c>
      <c r="E171" s="55">
        <v>0.0</v>
      </c>
      <c r="F171" s="2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109</v>
      </c>
      <c r="B172" s="55">
        <v>0.0</v>
      </c>
      <c r="C172" s="55">
        <v>235800.0</v>
      </c>
      <c r="D172" s="55">
        <v>0.0</v>
      </c>
      <c r="E172" s="55">
        <v>0.0</v>
      </c>
      <c r="F172" s="2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110</v>
      </c>
      <c r="B173" s="55">
        <v>0.0</v>
      </c>
      <c r="C173" s="55">
        <v>65000.0</v>
      </c>
      <c r="D173" s="55">
        <v>0.0</v>
      </c>
      <c r="E173" s="55">
        <v>0.0</v>
      </c>
      <c r="F173" s="26"/>
      <c r="G173" s="2"/>
      <c r="H173" s="56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3" t="s">
        <v>111</v>
      </c>
      <c r="B174" s="49">
        <v>0.0</v>
      </c>
      <c r="C174" s="49">
        <v>0.0</v>
      </c>
      <c r="D174" s="49">
        <v>0.0</v>
      </c>
      <c r="E174" s="49">
        <v>0.0</v>
      </c>
      <c r="F174" s="2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3" t="s">
        <v>112</v>
      </c>
      <c r="B175" s="49">
        <v>0.0</v>
      </c>
      <c r="C175" s="49">
        <v>0.0</v>
      </c>
      <c r="D175" s="49">
        <v>0.0</v>
      </c>
      <c r="E175" s="49">
        <v>0.0</v>
      </c>
      <c r="F175" s="26"/>
      <c r="G175" s="2"/>
      <c r="H175" s="56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 t="s">
        <v>113</v>
      </c>
      <c r="B176" s="49">
        <v>0.0</v>
      </c>
      <c r="C176" s="49">
        <v>0.0</v>
      </c>
      <c r="D176" s="49">
        <v>0.0</v>
      </c>
      <c r="E176" s="49">
        <v>0.0</v>
      </c>
      <c r="F176" s="26"/>
      <c r="G176" s="2"/>
      <c r="H176" s="56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3" t="s">
        <v>114</v>
      </c>
      <c r="B177" s="55">
        <v>0.0</v>
      </c>
      <c r="C177" s="55">
        <v>0.0</v>
      </c>
      <c r="D177" s="55">
        <v>0.0</v>
      </c>
      <c r="E177" s="55">
        <v>0.0</v>
      </c>
      <c r="F177" s="26"/>
      <c r="G177" s="2"/>
      <c r="H177" s="56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115</v>
      </c>
      <c r="B178" s="55">
        <v>0.0</v>
      </c>
      <c r="C178" s="55">
        <v>0.0</v>
      </c>
      <c r="D178" s="55">
        <v>0.0</v>
      </c>
      <c r="E178" s="55">
        <v>0.0</v>
      </c>
      <c r="F178" s="26"/>
      <c r="G178" s="2"/>
      <c r="H178" s="56"/>
      <c r="I178" s="2"/>
      <c r="J178" s="2"/>
      <c r="K178" s="2"/>
      <c r="L178" s="2"/>
      <c r="M178" s="2"/>
      <c r="N178" s="2"/>
      <c r="O178" s="2"/>
      <c r="P178" s="2"/>
      <c r="Q178" s="3"/>
      <c r="R178" s="9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116</v>
      </c>
      <c r="B179" s="50">
        <v>0.0</v>
      </c>
      <c r="C179" s="50">
        <v>0.0</v>
      </c>
      <c r="D179" s="49">
        <v>0.0</v>
      </c>
      <c r="E179" s="49">
        <v>0.0</v>
      </c>
      <c r="F179" s="2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117</v>
      </c>
      <c r="B180" s="50">
        <v>0.0</v>
      </c>
      <c r="C180" s="50">
        <v>0.0</v>
      </c>
      <c r="D180" s="49">
        <v>0.0</v>
      </c>
      <c r="E180" s="49">
        <v>0.0</v>
      </c>
      <c r="F180" s="26"/>
      <c r="G180" s="2"/>
      <c r="H180" s="56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118</v>
      </c>
      <c r="B181" s="50">
        <v>0.0</v>
      </c>
      <c r="C181" s="50">
        <v>0.0</v>
      </c>
      <c r="D181" s="49">
        <v>0.0</v>
      </c>
      <c r="E181" s="49">
        <v>0.0</v>
      </c>
      <c r="F181" s="2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119</v>
      </c>
      <c r="B182" s="50">
        <v>0.0</v>
      </c>
      <c r="C182" s="50">
        <v>0.0</v>
      </c>
      <c r="D182" s="49">
        <v>0.0</v>
      </c>
      <c r="E182" s="49">
        <v>0.0</v>
      </c>
      <c r="F182" s="2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9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3" t="s">
        <v>120</v>
      </c>
      <c r="B183" s="50">
        <v>0.0</v>
      </c>
      <c r="C183" s="50">
        <v>0.0</v>
      </c>
      <c r="D183" s="49">
        <v>0.0</v>
      </c>
      <c r="E183" s="49">
        <v>0.0</v>
      </c>
      <c r="F183" s="2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9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13" t="s">
        <v>121</v>
      </c>
      <c r="B184" s="50">
        <v>0.0</v>
      </c>
      <c r="C184" s="50">
        <v>0.0</v>
      </c>
      <c r="D184" s="49">
        <v>0.0</v>
      </c>
      <c r="E184" s="49">
        <v>0.0</v>
      </c>
      <c r="F184" s="2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3" t="s">
        <v>122</v>
      </c>
      <c r="B185" s="49">
        <v>0.0</v>
      </c>
      <c r="C185" s="49">
        <v>0.0</v>
      </c>
      <c r="D185" s="49">
        <v>0.0</v>
      </c>
      <c r="E185" s="49">
        <v>0.0</v>
      </c>
      <c r="F185" s="2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13" t="s">
        <v>123</v>
      </c>
      <c r="B186" s="49">
        <v>0.0</v>
      </c>
      <c r="C186" s="49">
        <v>0.0</v>
      </c>
      <c r="D186" s="49">
        <v>0.0</v>
      </c>
      <c r="E186" s="49">
        <v>0.0</v>
      </c>
      <c r="F186" s="2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286</v>
      </c>
      <c r="B187" s="49">
        <v>0.0</v>
      </c>
      <c r="C187" s="49">
        <v>0.0</v>
      </c>
      <c r="D187" s="49">
        <v>114359.0</v>
      </c>
      <c r="E187" s="49">
        <v>0.0</v>
      </c>
      <c r="F187" s="2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124</v>
      </c>
      <c r="B188" s="49">
        <v>0.0</v>
      </c>
      <c r="C188" s="49">
        <v>0.0</v>
      </c>
      <c r="D188" s="49">
        <v>0.0</v>
      </c>
      <c r="E188" s="49">
        <v>0.0</v>
      </c>
      <c r="F188" s="2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125</v>
      </c>
      <c r="B189" s="50">
        <v>0.0</v>
      </c>
      <c r="C189" s="50">
        <v>0.0</v>
      </c>
      <c r="D189" s="49">
        <v>0.0</v>
      </c>
      <c r="E189" s="49">
        <v>0.0</v>
      </c>
      <c r="F189" s="2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13" t="s">
        <v>126</v>
      </c>
      <c r="B190" s="49">
        <v>0.0</v>
      </c>
      <c r="C190" s="49">
        <v>0.0</v>
      </c>
      <c r="D190" s="49">
        <v>0.0</v>
      </c>
      <c r="E190" s="49">
        <v>0.0</v>
      </c>
      <c r="F190" s="2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127</v>
      </c>
      <c r="B191" s="49">
        <v>0.0</v>
      </c>
      <c r="C191" s="49">
        <v>0.0</v>
      </c>
      <c r="D191" s="49">
        <v>0.0</v>
      </c>
      <c r="E191" s="49">
        <v>0.0</v>
      </c>
      <c r="F191" s="2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128</v>
      </c>
      <c r="B192" s="49">
        <v>0.0</v>
      </c>
      <c r="C192" s="49">
        <v>0.0</v>
      </c>
      <c r="D192" s="49">
        <v>0.0</v>
      </c>
      <c r="E192" s="49">
        <v>0.0</v>
      </c>
      <c r="F192" s="2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13" t="s">
        <v>129</v>
      </c>
      <c r="B193" s="49">
        <v>0.0</v>
      </c>
      <c r="C193" s="49">
        <v>0.0</v>
      </c>
      <c r="D193" s="49">
        <v>0.0</v>
      </c>
      <c r="E193" s="49">
        <v>0.0</v>
      </c>
      <c r="F193" s="2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57"/>
      <c r="B194" s="49"/>
      <c r="C194" s="49"/>
      <c r="D194" s="49"/>
      <c r="E194" s="49"/>
      <c r="F194" s="2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13" t="s">
        <v>130</v>
      </c>
      <c r="B195" s="50">
        <v>0.0</v>
      </c>
      <c r="C195" s="50">
        <f>SUM(C168:C192)*0.6%</f>
        <v>1804.8</v>
      </c>
      <c r="D195" s="50">
        <f>SUM(D168:D193)*0.6%</f>
        <v>6086.154</v>
      </c>
      <c r="E195" s="50">
        <f>(E172*0.6%)+(E173*0.6%)+(E174*0.6%)+(E177*0.6%)+(E178*0.6%)</f>
        <v>0</v>
      </c>
      <c r="F195" s="2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13" t="s">
        <v>131</v>
      </c>
      <c r="B196" s="50">
        <v>0.0</v>
      </c>
      <c r="C196" s="50">
        <v>0.0</v>
      </c>
      <c r="D196" s="50">
        <v>0.0</v>
      </c>
      <c r="E196" s="50">
        <f>SUM(E169:E194)*0.6%+(E197*0.6%)</f>
        <v>0</v>
      </c>
      <c r="F196" s="5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57"/>
      <c r="B197" s="57"/>
      <c r="C197" s="26"/>
      <c r="D197" s="2"/>
      <c r="E197" s="26"/>
      <c r="F197" s="2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59" t="s">
        <v>132</v>
      </c>
      <c r="B198" s="60">
        <f>SUM(B168:B197)</f>
        <v>3800</v>
      </c>
      <c r="C198" s="60">
        <f>SUM(C168:C195)</f>
        <v>302604.8</v>
      </c>
      <c r="D198" s="60">
        <f>SUM(D168:D196)</f>
        <v>1020445.154</v>
      </c>
      <c r="E198" s="60">
        <f>E179+E183+E195-E196</f>
        <v>0</v>
      </c>
      <c r="F198" s="61" t="str">
        <f>F172</f>
        <v/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57"/>
      <c r="B199" s="57"/>
      <c r="C199" s="26"/>
      <c r="D199" s="26"/>
      <c r="E199" s="26"/>
      <c r="F199" s="2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59" t="s">
        <v>133</v>
      </c>
      <c r="B200" s="62">
        <f>B165-B198</f>
        <v>209737.25</v>
      </c>
      <c r="C200" s="63">
        <f>C165-C198+C196</f>
        <v>1036883.398</v>
      </c>
      <c r="D200" s="63">
        <f>D165-D198-29.2</f>
        <v>1367969.574</v>
      </c>
      <c r="E200" s="64">
        <f t="shared" ref="E200:F200" si="19">E165-E198</f>
        <v>0</v>
      </c>
      <c r="F200" s="64">
        <f t="shared" si="19"/>
        <v>1602385.09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65" t="s">
        <v>134</v>
      </c>
      <c r="B202" s="66">
        <f>75177.25-B168-B171</f>
        <v>71377.25</v>
      </c>
      <c r="C202" s="46"/>
      <c r="D202" s="46"/>
      <c r="E202" s="46"/>
      <c r="F202" s="4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65" t="s">
        <v>135</v>
      </c>
      <c r="B203" s="66">
        <v>138360.0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46" t="s">
        <v>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46">
        <f>SUM(B202:B203)</f>
        <v>209737.25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9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9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9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9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9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9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9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1"/>
      <c r="V244" s="3"/>
      <c r="W244" s="9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9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9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9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9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9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9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3"/>
      <c r="T279" s="3"/>
      <c r="U279" s="9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9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9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9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9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9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9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9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9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3"/>
      <c r="T321" s="3"/>
      <c r="U321" s="9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9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9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9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46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46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46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46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46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46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46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46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46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46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46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46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46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46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46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46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9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46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46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46"/>
      <c r="R366" s="46"/>
      <c r="S366" s="3"/>
      <c r="T366" s="3"/>
      <c r="U366" s="9"/>
      <c r="V366" s="3"/>
      <c r="W366" s="3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9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9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46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46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46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46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46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46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46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9"/>
      <c r="T412" s="3"/>
      <c r="U412" s="2"/>
      <c r="V412" s="3"/>
      <c r="W412" s="3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9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9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9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9"/>
      <c r="T429" s="3"/>
      <c r="U429" s="2"/>
      <c r="V429" s="3"/>
      <c r="W429" s="3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9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9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9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9"/>
      <c r="T440" s="3"/>
      <c r="U440" s="2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9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9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3"/>
      <c r="T456" s="3"/>
      <c r="U456" s="9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9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9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3"/>
      <c r="T470" s="9"/>
      <c r="U470" s="2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9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9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9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9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3"/>
      <c r="T482" s="9"/>
      <c r="U482" s="2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9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9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2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2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67"/>
      <c r="R497" s="2"/>
      <c r="S497" s="2"/>
      <c r="T497" s="3"/>
      <c r="U497" s="2"/>
      <c r="V497" s="2"/>
      <c r="W497" s="2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3"/>
      <c r="T498" s="3"/>
      <c r="U498" s="3"/>
      <c r="V498" s="2"/>
      <c r="W498" s="2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8"/>
      <c r="R500" s="38"/>
      <c r="S500" s="38"/>
      <c r="T500" s="38"/>
      <c r="U500" s="38"/>
      <c r="V500" s="38"/>
      <c r="W500" s="38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3"/>
      <c r="T501" s="3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"/>
      <c r="R502" s="2"/>
      <c r="S502" s="3"/>
      <c r="T502" s="3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68"/>
      <c r="R504" s="69"/>
      <c r="S504" s="70"/>
      <c r="T504" s="70"/>
      <c r="U504" s="70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1"/>
      <c r="R505" s="71"/>
      <c r="S505" s="71"/>
      <c r="T505" s="71"/>
      <c r="U505" s="71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46"/>
      <c r="R506" s="46"/>
      <c r="S506" s="46"/>
      <c r="T506" s="46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46"/>
      <c r="R508" s="46"/>
      <c r="S508" s="46"/>
      <c r="T508" s="46"/>
      <c r="U508" s="46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46"/>
      <c r="R509" s="46"/>
      <c r="S509" s="46"/>
      <c r="T509" s="46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6"/>
      <c r="R510" s="46"/>
      <c r="S510" s="46"/>
      <c r="T510" s="46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46"/>
      <c r="R511" s="46"/>
      <c r="S511" s="46"/>
      <c r="T511" s="46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46"/>
      <c r="R512" s="46"/>
      <c r="S512" s="46"/>
      <c r="T512" s="46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2"/>
      <c r="R513" s="72"/>
      <c r="S513" s="72"/>
      <c r="T513" s="72"/>
      <c r="U513" s="73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"/>
      <c r="R514" s="2"/>
      <c r="S514" s="3"/>
      <c r="T514" s="3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6"/>
      <c r="R516" s="56"/>
      <c r="S516" s="56"/>
      <c r="T516" s="56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6"/>
      <c r="R517" s="56"/>
      <c r="S517" s="56"/>
      <c r="T517" s="56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6"/>
      <c r="R518" s="56"/>
      <c r="S518" s="56"/>
      <c r="T518" s="56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6"/>
      <c r="R519" s="56"/>
      <c r="S519" s="56"/>
      <c r="T519" s="56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6"/>
      <c r="R520" s="56"/>
      <c r="S520" s="56"/>
      <c r="T520" s="56"/>
      <c r="U520" s="2"/>
      <c r="V520" s="2"/>
      <c r="W520" s="56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6"/>
      <c r="R521" s="56"/>
      <c r="S521" s="56"/>
      <c r="T521" s="56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6"/>
      <c r="R522" s="56"/>
      <c r="S522" s="56"/>
      <c r="T522" s="56"/>
      <c r="U522" s="2"/>
      <c r="V522" s="2"/>
      <c r="W522" s="56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56"/>
      <c r="R523" s="56"/>
      <c r="S523" s="56"/>
      <c r="T523" s="56"/>
      <c r="U523" s="2"/>
      <c r="V523" s="2"/>
      <c r="W523" s="56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6"/>
      <c r="R524" s="46"/>
      <c r="S524" s="46"/>
      <c r="T524" s="46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46"/>
      <c r="R525" s="46"/>
      <c r="S525" s="46"/>
      <c r="T525" s="46"/>
      <c r="U525" s="2"/>
      <c r="V525" s="2"/>
      <c r="W525" s="56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6"/>
      <c r="R526" s="46"/>
      <c r="S526" s="46"/>
      <c r="T526" s="46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6"/>
      <c r="R527" s="46"/>
      <c r="S527" s="46"/>
      <c r="T527" s="46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6"/>
      <c r="R528" s="46"/>
      <c r="S528" s="46"/>
      <c r="T528" s="46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46"/>
      <c r="R529" s="46"/>
      <c r="S529" s="46"/>
      <c r="T529" s="46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46"/>
      <c r="R530" s="46"/>
      <c r="S530" s="46"/>
      <c r="T530" s="46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46"/>
      <c r="R531" s="46"/>
      <c r="S531" s="46"/>
      <c r="T531" s="46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46"/>
      <c r="R532" s="46"/>
      <c r="S532" s="46"/>
      <c r="T532" s="46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"/>
      <c r="R533" s="46"/>
      <c r="S533" s="46"/>
      <c r="T533" s="46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2"/>
      <c r="R535" s="72"/>
      <c r="S535" s="72"/>
      <c r="T535" s="72"/>
      <c r="U535" s="73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1"/>
      <c r="R537" s="72"/>
      <c r="S537" s="72"/>
      <c r="T537" s="74"/>
      <c r="U537" s="74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46"/>
      <c r="R539" s="46"/>
      <c r="S539" s="46"/>
      <c r="T539" s="46"/>
      <c r="U539" s="46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46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</sheetData>
  <mergeCells count="8">
    <mergeCell ref="I3:K3"/>
    <mergeCell ref="A147:B147"/>
    <mergeCell ref="U151:W151"/>
    <mergeCell ref="A152:A153"/>
    <mergeCell ref="A155:F155"/>
    <mergeCell ref="A167:F167"/>
    <mergeCell ref="U208:W208"/>
    <mergeCell ref="U243:W243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  <c r="AA1" s="3"/>
    </row>
    <row r="2">
      <c r="A2" s="23"/>
      <c r="B2" s="23"/>
      <c r="C2" s="23"/>
      <c r="D2" s="7"/>
      <c r="E2" s="24"/>
      <c r="F2" s="7"/>
      <c r="G2" s="6"/>
      <c r="H2" s="3"/>
      <c r="I2" s="8"/>
      <c r="J2" s="8"/>
      <c r="K2" s="8"/>
      <c r="L2" s="4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  <c r="AA2" s="3"/>
    </row>
    <row r="3">
      <c r="A3" s="23" t="s">
        <v>47</v>
      </c>
      <c r="B3" s="23"/>
      <c r="C3" s="23"/>
      <c r="D3" s="25" t="s">
        <v>259</v>
      </c>
      <c r="E3" s="7">
        <v>46049.0</v>
      </c>
      <c r="F3" s="7"/>
      <c r="G3" s="6"/>
      <c r="H3" s="3"/>
      <c r="I3" s="8" t="s">
        <v>3</v>
      </c>
      <c r="L3" s="4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  <c r="AA3" s="3"/>
    </row>
    <row r="4">
      <c r="B4" s="24"/>
      <c r="C4" s="26"/>
      <c r="D4" s="7"/>
      <c r="E4" s="24"/>
      <c r="F4" s="3"/>
      <c r="G4" s="3"/>
      <c r="H4" s="3"/>
      <c r="I4" s="3"/>
      <c r="J4" s="3"/>
      <c r="K4" s="3"/>
      <c r="L4" s="4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  <c r="AA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/>
      <c r="G5" s="3"/>
      <c r="H5" s="3"/>
      <c r="I5" s="27" t="s">
        <v>7</v>
      </c>
      <c r="J5" s="10" t="s">
        <v>8</v>
      </c>
      <c r="K5" s="10" t="s">
        <v>10</v>
      </c>
      <c r="L5" s="4"/>
      <c r="M5" s="19"/>
      <c r="N5" s="18"/>
      <c r="O5" s="19"/>
      <c r="P5" s="18"/>
      <c r="Q5" s="3"/>
      <c r="R5" s="2"/>
      <c r="S5" s="3"/>
      <c r="T5" s="3"/>
      <c r="U5" s="1"/>
      <c r="V5" s="3"/>
      <c r="W5" s="3"/>
      <c r="X5" s="3"/>
      <c r="Y5" s="3"/>
      <c r="Z5" s="3"/>
      <c r="AA5" s="3"/>
    </row>
    <row r="6">
      <c r="A6" s="13">
        <v>1.0</v>
      </c>
      <c r="B6" s="12" t="s">
        <v>13</v>
      </c>
      <c r="C6" s="14" t="s">
        <v>38</v>
      </c>
      <c r="D6" s="15">
        <v>65000.0</v>
      </c>
      <c r="E6" s="16">
        <f>A6*D6</f>
        <v>65000</v>
      </c>
      <c r="F6" s="15"/>
      <c r="G6" s="65"/>
      <c r="H6" s="6"/>
      <c r="I6" s="15">
        <v>50000.0</v>
      </c>
      <c r="J6" s="15">
        <f>I6*A6</f>
        <v>50000</v>
      </c>
      <c r="K6" s="15">
        <f>E6-J6</f>
        <v>15000</v>
      </c>
      <c r="L6" s="22"/>
      <c r="N6" s="21"/>
      <c r="P6" s="21"/>
      <c r="Q6" s="3"/>
      <c r="R6" s="2"/>
      <c r="S6" s="3"/>
      <c r="T6" s="3"/>
      <c r="U6" s="1"/>
      <c r="V6" s="3"/>
      <c r="W6" s="3"/>
      <c r="X6" s="3"/>
      <c r="Y6" s="3"/>
      <c r="Z6" s="3"/>
      <c r="AA6" s="3"/>
    </row>
    <row r="7">
      <c r="A7" s="13"/>
      <c r="B7" s="12"/>
      <c r="C7" s="14"/>
      <c r="D7" s="15"/>
      <c r="E7" s="16"/>
      <c r="F7" s="10"/>
      <c r="G7" s="3"/>
      <c r="H7" s="3"/>
      <c r="I7" s="3"/>
      <c r="J7" s="3"/>
      <c r="K7" s="3"/>
      <c r="L7" s="4"/>
      <c r="M7" s="17"/>
      <c r="N7" s="18"/>
      <c r="O7" s="19"/>
      <c r="P7" s="18"/>
      <c r="Q7" s="3"/>
      <c r="R7" s="2"/>
      <c r="S7" s="3"/>
      <c r="T7" s="3"/>
      <c r="U7" s="1"/>
      <c r="V7" s="3"/>
      <c r="W7" s="3"/>
      <c r="X7" s="3"/>
      <c r="Y7" s="3"/>
      <c r="Z7" s="3"/>
      <c r="AA7" s="3"/>
    </row>
    <row r="8">
      <c r="A8" s="13"/>
      <c r="B8" s="12"/>
      <c r="C8" s="14"/>
      <c r="D8" s="15"/>
      <c r="E8" s="16">
        <f>SUM(E6)</f>
        <v>65000</v>
      </c>
      <c r="F8" s="15"/>
      <c r="G8" s="2"/>
      <c r="H8" s="3"/>
      <c r="I8" s="3"/>
      <c r="J8" s="3"/>
      <c r="K8" s="15">
        <f>SUM(K6)</f>
        <v>15000</v>
      </c>
      <c r="L8" s="22">
        <f>K8/E8</f>
        <v>0.2307692308</v>
      </c>
      <c r="M8" s="20"/>
      <c r="N8" s="21"/>
      <c r="P8" s="21"/>
      <c r="Q8" s="3"/>
      <c r="R8" s="2"/>
      <c r="S8" s="3"/>
      <c r="T8" s="3"/>
      <c r="U8" s="1"/>
      <c r="V8" s="3"/>
      <c r="W8" s="3"/>
      <c r="X8" s="3"/>
      <c r="Y8" s="3"/>
      <c r="Z8" s="3"/>
      <c r="AA8" s="3"/>
    </row>
    <row r="9">
      <c r="A9" s="13"/>
      <c r="B9" s="12"/>
      <c r="C9" s="14"/>
      <c r="D9" s="15"/>
      <c r="E9" s="16"/>
      <c r="F9" s="15"/>
      <c r="G9" s="2"/>
      <c r="H9" s="3"/>
      <c r="I9" s="16"/>
      <c r="J9" s="15"/>
      <c r="K9" s="15"/>
      <c r="L9" s="25"/>
      <c r="M9" s="20"/>
      <c r="N9" s="21"/>
      <c r="P9" s="21"/>
      <c r="Q9" s="3"/>
      <c r="R9" s="2"/>
      <c r="S9" s="3"/>
      <c r="T9" s="3"/>
      <c r="U9" s="1"/>
      <c r="V9" s="3"/>
      <c r="W9" s="3"/>
      <c r="X9" s="3"/>
      <c r="Y9" s="3"/>
      <c r="Z9" s="3"/>
      <c r="AA9" s="3"/>
    </row>
    <row r="10">
      <c r="A10" s="1"/>
      <c r="B10" s="2"/>
      <c r="C10" s="2"/>
      <c r="D10" s="3"/>
      <c r="E10" s="3"/>
      <c r="F10" s="3"/>
      <c r="G10" s="2"/>
      <c r="H10" s="2"/>
      <c r="I10" s="2"/>
      <c r="J10" s="2"/>
      <c r="K10" s="3"/>
      <c r="L10" s="4"/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  <c r="AA10" s="3"/>
    </row>
    <row r="11">
      <c r="A11" s="23" t="s">
        <v>290</v>
      </c>
      <c r="B11" s="23"/>
      <c r="C11" s="23"/>
      <c r="D11" s="25" t="s">
        <v>48</v>
      </c>
      <c r="E11" s="7">
        <v>46049.0</v>
      </c>
      <c r="F11" s="28"/>
      <c r="G11" s="24"/>
      <c r="H11" s="24"/>
      <c r="I11" s="16"/>
      <c r="J11" s="16"/>
      <c r="K11" s="16"/>
      <c r="L11" s="29"/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  <c r="AA11" s="3"/>
    </row>
    <row r="12">
      <c r="B12" s="24"/>
      <c r="C12" s="26"/>
      <c r="D12" s="24"/>
      <c r="E12" s="24"/>
      <c r="F12" s="24"/>
      <c r="G12" s="24"/>
      <c r="H12" s="24"/>
      <c r="I12" s="16"/>
      <c r="J12" s="16"/>
      <c r="K12" s="16"/>
      <c r="L12" s="29"/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  <c r="AA12" s="3"/>
    </row>
    <row r="13">
      <c r="A13" s="5" t="s">
        <v>4</v>
      </c>
      <c r="B13" s="10" t="s">
        <v>5</v>
      </c>
      <c r="C13" s="11" t="s">
        <v>6</v>
      </c>
      <c r="D13" s="12" t="s">
        <v>7</v>
      </c>
      <c r="E13" s="10" t="s">
        <v>8</v>
      </c>
      <c r="F13" s="12"/>
      <c r="G13" s="24"/>
      <c r="H13" s="24"/>
      <c r="I13" s="12" t="s">
        <v>7</v>
      </c>
      <c r="J13" s="12" t="s">
        <v>8</v>
      </c>
      <c r="K13" s="12" t="s">
        <v>10</v>
      </c>
      <c r="L13" s="29"/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  <c r="AA13" s="3"/>
    </row>
    <row r="14">
      <c r="A14" s="13">
        <v>5.0</v>
      </c>
      <c r="B14" s="12" t="s">
        <v>42</v>
      </c>
      <c r="C14" s="14" t="s">
        <v>228</v>
      </c>
      <c r="D14" s="15">
        <v>14000.0</v>
      </c>
      <c r="E14" s="15">
        <f t="shared" ref="E14:E20" si="1">A14*D14</f>
        <v>70000</v>
      </c>
      <c r="F14" s="16">
        <f t="shared" ref="F14:F20" si="2">E14*1.105</f>
        <v>77350</v>
      </c>
      <c r="G14" s="24"/>
      <c r="H14" s="24"/>
      <c r="I14" s="16">
        <v>12000.0</v>
      </c>
      <c r="J14" s="16">
        <f t="shared" ref="J14:J20" si="3">I14*A14</f>
        <v>60000</v>
      </c>
      <c r="K14" s="16">
        <f t="shared" ref="K14:K20" si="4">F14-J14</f>
        <v>17350</v>
      </c>
      <c r="L14" s="30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  <c r="AA14" s="3"/>
    </row>
    <row r="15">
      <c r="A15" s="13">
        <v>1.0</v>
      </c>
      <c r="B15" s="12" t="s">
        <v>32</v>
      </c>
      <c r="C15" s="14" t="s">
        <v>291</v>
      </c>
      <c r="D15" s="15">
        <v>33000.0</v>
      </c>
      <c r="E15" s="15">
        <f t="shared" si="1"/>
        <v>33000</v>
      </c>
      <c r="F15" s="16">
        <f t="shared" si="2"/>
        <v>36465</v>
      </c>
      <c r="G15" s="24"/>
      <c r="H15" s="24"/>
      <c r="I15" s="16">
        <v>22000.0</v>
      </c>
      <c r="J15" s="16">
        <f t="shared" si="3"/>
        <v>22000</v>
      </c>
      <c r="K15" s="16">
        <f t="shared" si="4"/>
        <v>14465</v>
      </c>
      <c r="L15" s="30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  <c r="AA15" s="3"/>
    </row>
    <row r="16">
      <c r="A16" s="13">
        <v>3.0</v>
      </c>
      <c r="B16" s="12" t="s">
        <v>32</v>
      </c>
      <c r="C16" s="14" t="s">
        <v>292</v>
      </c>
      <c r="D16" s="15">
        <v>22000.0</v>
      </c>
      <c r="E16" s="15">
        <f t="shared" si="1"/>
        <v>66000</v>
      </c>
      <c r="F16" s="16">
        <f t="shared" si="2"/>
        <v>72930</v>
      </c>
      <c r="G16" s="24"/>
      <c r="H16" s="24"/>
      <c r="I16" s="16">
        <v>12000.0</v>
      </c>
      <c r="J16" s="16">
        <f t="shared" si="3"/>
        <v>36000</v>
      </c>
      <c r="K16" s="16">
        <f t="shared" si="4"/>
        <v>36930</v>
      </c>
      <c r="L16" s="30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  <c r="AA16" s="3"/>
    </row>
    <row r="17">
      <c r="A17" s="13">
        <v>1.0</v>
      </c>
      <c r="B17" s="12" t="s">
        <v>32</v>
      </c>
      <c r="C17" s="14" t="s">
        <v>160</v>
      </c>
      <c r="D17" s="15">
        <v>15000.0</v>
      </c>
      <c r="E17" s="15">
        <f t="shared" si="1"/>
        <v>15000</v>
      </c>
      <c r="F17" s="16">
        <f t="shared" si="2"/>
        <v>16575</v>
      </c>
      <c r="G17" s="24"/>
      <c r="H17" s="24"/>
      <c r="I17" s="16">
        <v>20000.0</v>
      </c>
      <c r="J17" s="16">
        <f t="shared" si="3"/>
        <v>20000</v>
      </c>
      <c r="K17" s="16">
        <f t="shared" si="4"/>
        <v>-3425</v>
      </c>
      <c r="L17" s="30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  <c r="AA17" s="3"/>
    </row>
    <row r="18">
      <c r="A18" s="13">
        <v>2.0</v>
      </c>
      <c r="B18" s="12" t="s">
        <v>42</v>
      </c>
      <c r="C18" s="14" t="s">
        <v>293</v>
      </c>
      <c r="D18" s="15">
        <v>12000.0</v>
      </c>
      <c r="E18" s="15">
        <f t="shared" si="1"/>
        <v>24000</v>
      </c>
      <c r="F18" s="16">
        <f t="shared" si="2"/>
        <v>26520</v>
      </c>
      <c r="G18" s="24"/>
      <c r="H18" s="24"/>
      <c r="I18" s="16">
        <f>19000/2</f>
        <v>9500</v>
      </c>
      <c r="J18" s="16">
        <f t="shared" si="3"/>
        <v>19000</v>
      </c>
      <c r="K18" s="16">
        <f t="shared" si="4"/>
        <v>7520</v>
      </c>
      <c r="L18" s="30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  <c r="AA18" s="3"/>
    </row>
    <row r="19">
      <c r="A19" s="13">
        <v>3.0</v>
      </c>
      <c r="B19" s="12" t="s">
        <v>5</v>
      </c>
      <c r="C19" s="14" t="s">
        <v>142</v>
      </c>
      <c r="D19" s="15">
        <v>1800.0</v>
      </c>
      <c r="E19" s="15">
        <f t="shared" si="1"/>
        <v>5400</v>
      </c>
      <c r="F19" s="16">
        <f t="shared" si="2"/>
        <v>5967</v>
      </c>
      <c r="G19" s="24"/>
      <c r="H19" s="24"/>
      <c r="I19" s="16">
        <v>0.0</v>
      </c>
      <c r="J19" s="16">
        <f t="shared" si="3"/>
        <v>0</v>
      </c>
      <c r="K19" s="16">
        <f t="shared" si="4"/>
        <v>5967</v>
      </c>
      <c r="L19" s="30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  <c r="AA19" s="3"/>
    </row>
    <row r="20">
      <c r="A20" s="13">
        <v>3.0</v>
      </c>
      <c r="B20" s="12" t="s">
        <v>5</v>
      </c>
      <c r="C20" s="14" t="s">
        <v>294</v>
      </c>
      <c r="D20" s="15">
        <v>1800.0</v>
      </c>
      <c r="E20" s="15">
        <f t="shared" si="1"/>
        <v>5400</v>
      </c>
      <c r="F20" s="16">
        <f t="shared" si="2"/>
        <v>5967</v>
      </c>
      <c r="G20" s="24"/>
      <c r="H20" s="24"/>
      <c r="I20" s="16">
        <v>0.0</v>
      </c>
      <c r="J20" s="16">
        <f t="shared" si="3"/>
        <v>0</v>
      </c>
      <c r="K20" s="16">
        <f t="shared" si="4"/>
        <v>5967</v>
      </c>
      <c r="L20" s="30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  <c r="AA20" s="3"/>
    </row>
    <row r="21">
      <c r="A21" s="13"/>
      <c r="B21" s="12"/>
      <c r="C21" s="14"/>
      <c r="D21" s="15"/>
      <c r="E21" s="16"/>
      <c r="F21" s="16"/>
      <c r="G21" s="24"/>
      <c r="H21" s="24"/>
      <c r="I21" s="16"/>
      <c r="J21" s="16"/>
      <c r="K21" s="16"/>
      <c r="L21" s="30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  <c r="AA21" s="3"/>
    </row>
    <row r="22">
      <c r="A22" s="13"/>
      <c r="B22" s="12"/>
      <c r="C22" s="14"/>
      <c r="D22" s="15"/>
      <c r="E22" s="16">
        <f t="shared" ref="E22:F22" si="5">SUM(E14:E20)</f>
        <v>218800</v>
      </c>
      <c r="F22" s="16">
        <f t="shared" si="5"/>
        <v>241774</v>
      </c>
      <c r="G22" s="24"/>
      <c r="H22" s="24"/>
      <c r="I22" s="16"/>
      <c r="J22" s="16"/>
      <c r="K22" s="16">
        <f>SUM(K14:K20)</f>
        <v>84774</v>
      </c>
      <c r="L22" s="30">
        <f>K22/E22</f>
        <v>0.3874497258</v>
      </c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  <c r="AA22" s="3"/>
    </row>
    <row r="23">
      <c r="A23" s="13"/>
      <c r="B23" s="12"/>
      <c r="C23" s="14"/>
      <c r="D23" s="15"/>
      <c r="E23" s="3"/>
      <c r="F23" s="3"/>
      <c r="G23" s="2"/>
      <c r="H23" s="2"/>
      <c r="I23" s="2"/>
      <c r="J23" s="2"/>
      <c r="K23" s="3"/>
      <c r="L23" s="4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  <c r="AA23" s="3"/>
    </row>
    <row r="24">
      <c r="A24" s="13" t="s">
        <v>284</v>
      </c>
      <c r="B24" s="83">
        <v>0.04</v>
      </c>
      <c r="C24" s="14"/>
      <c r="D24" s="15"/>
      <c r="E24" s="16">
        <f>E22*0.04</f>
        <v>8752</v>
      </c>
      <c r="G24" s="15"/>
      <c r="H24" s="2"/>
      <c r="I24" s="3"/>
      <c r="J24" s="16"/>
      <c r="K24" s="15"/>
      <c r="L24" s="15"/>
      <c r="M24" s="25"/>
      <c r="N24" s="20"/>
      <c r="O24" s="3"/>
      <c r="P24" s="2"/>
      <c r="Q24" s="3"/>
      <c r="R24" s="3"/>
      <c r="S24" s="2"/>
      <c r="T24" s="3"/>
      <c r="U24" s="3"/>
      <c r="V24" s="1"/>
      <c r="W24" s="3"/>
      <c r="X24" s="3"/>
      <c r="Y24" s="3"/>
      <c r="Z24" s="3"/>
      <c r="AA24" s="3"/>
    </row>
    <row r="25">
      <c r="A25" s="33"/>
      <c r="B25" s="34"/>
      <c r="C25" s="2"/>
      <c r="D25" s="3"/>
      <c r="E25" s="3"/>
      <c r="F25" s="3"/>
      <c r="G25" s="2"/>
      <c r="H25" s="2"/>
      <c r="I25" s="2"/>
      <c r="J25" s="2"/>
      <c r="K25" s="3"/>
      <c r="L25" s="4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  <c r="AA25" s="3"/>
    </row>
    <row r="26">
      <c r="A26" s="33"/>
      <c r="B26" s="34"/>
      <c r="C26" s="2"/>
      <c r="E26" s="3"/>
      <c r="F26" s="3"/>
      <c r="G26" s="2"/>
      <c r="H26" s="2"/>
      <c r="I26" s="2"/>
      <c r="J26" s="2"/>
      <c r="K26" s="3"/>
      <c r="L26" s="4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  <c r="AA26" s="3"/>
    </row>
    <row r="27">
      <c r="A27" s="23" t="s">
        <v>221</v>
      </c>
      <c r="B27" s="23"/>
      <c r="C27" s="23"/>
      <c r="D27" s="25" t="s">
        <v>295</v>
      </c>
      <c r="E27" s="7">
        <v>46049.0</v>
      </c>
      <c r="G27" s="24"/>
      <c r="H27" s="24"/>
      <c r="I27" s="16"/>
      <c r="J27" s="16"/>
      <c r="K27" s="16"/>
      <c r="L27" s="29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  <c r="AA27" s="3"/>
    </row>
    <row r="28">
      <c r="B28" s="24"/>
      <c r="C28" s="26"/>
      <c r="D28" s="24"/>
      <c r="E28" s="24"/>
      <c r="F28" s="24"/>
      <c r="G28" s="24"/>
      <c r="H28" s="24"/>
      <c r="I28" s="16"/>
      <c r="J28" s="16"/>
      <c r="K28" s="16"/>
      <c r="L28" s="29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  <c r="AA28" s="3"/>
    </row>
    <row r="29">
      <c r="A29" s="5" t="s">
        <v>4</v>
      </c>
      <c r="B29" s="10" t="s">
        <v>5</v>
      </c>
      <c r="C29" s="11" t="s">
        <v>6</v>
      </c>
      <c r="D29" s="12" t="s">
        <v>7</v>
      </c>
      <c r="E29" s="10" t="s">
        <v>8</v>
      </c>
      <c r="F29" s="12"/>
      <c r="G29" s="24"/>
      <c r="H29" s="24"/>
      <c r="I29" s="12" t="s">
        <v>7</v>
      </c>
      <c r="J29" s="12" t="s">
        <v>8</v>
      </c>
      <c r="K29" s="12" t="s">
        <v>10</v>
      </c>
      <c r="L29" s="29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  <c r="AA29" s="3"/>
    </row>
    <row r="30">
      <c r="A30" s="13">
        <v>1.0</v>
      </c>
      <c r="B30" s="12" t="s">
        <v>32</v>
      </c>
      <c r="C30" s="14" t="s">
        <v>164</v>
      </c>
      <c r="D30" s="15">
        <v>32000.0</v>
      </c>
      <c r="E30" s="15">
        <f t="shared" ref="E30:E35" si="6">A30*D30</f>
        <v>32000</v>
      </c>
      <c r="F30" s="16"/>
      <c r="G30" s="24"/>
      <c r="H30" s="24"/>
      <c r="I30" s="15">
        <v>28000.0</v>
      </c>
      <c r="J30" s="16">
        <f t="shared" ref="J30:J35" si="7">I30*A30</f>
        <v>28000</v>
      </c>
      <c r="K30" s="16">
        <f t="shared" ref="K30:K35" si="8">E30-J30</f>
        <v>4000</v>
      </c>
      <c r="L30" s="31" t="s">
        <v>2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  <c r="AA30" s="3"/>
    </row>
    <row r="31">
      <c r="A31" s="13">
        <v>1.0</v>
      </c>
      <c r="B31" s="12" t="s">
        <v>17</v>
      </c>
      <c r="C31" s="14" t="s">
        <v>165</v>
      </c>
      <c r="D31" s="15">
        <v>12000.0</v>
      </c>
      <c r="E31" s="15">
        <f t="shared" si="6"/>
        <v>12000</v>
      </c>
      <c r="F31" s="16"/>
      <c r="G31" s="24"/>
      <c r="H31" s="24"/>
      <c r="I31" s="15">
        <f>65000/7</f>
        <v>9285.714286</v>
      </c>
      <c r="J31" s="16">
        <f t="shared" si="7"/>
        <v>9285.714286</v>
      </c>
      <c r="K31" s="16">
        <f t="shared" si="8"/>
        <v>2714.285714</v>
      </c>
      <c r="L31" s="31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  <c r="AA31" s="3"/>
    </row>
    <row r="32">
      <c r="A32" s="13">
        <v>8.0</v>
      </c>
      <c r="B32" s="12" t="s">
        <v>17</v>
      </c>
      <c r="C32" s="14" t="s">
        <v>35</v>
      </c>
      <c r="D32" s="15">
        <v>1600.0</v>
      </c>
      <c r="E32" s="15">
        <f t="shared" si="6"/>
        <v>12800</v>
      </c>
      <c r="F32" s="16"/>
      <c r="G32" s="24"/>
      <c r="H32" s="24"/>
      <c r="I32" s="15">
        <f>12000/15</f>
        <v>800</v>
      </c>
      <c r="J32" s="16">
        <f t="shared" si="7"/>
        <v>6400</v>
      </c>
      <c r="K32" s="16">
        <f t="shared" si="8"/>
        <v>6400</v>
      </c>
      <c r="L32" s="31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  <c r="AA32" s="3"/>
    </row>
    <row r="33">
      <c r="A33" s="13">
        <v>4.0</v>
      </c>
      <c r="B33" s="12" t="s">
        <v>184</v>
      </c>
      <c r="C33" s="14" t="s">
        <v>185</v>
      </c>
      <c r="D33" s="15">
        <v>2500.0</v>
      </c>
      <c r="E33" s="15">
        <f t="shared" si="6"/>
        <v>10000</v>
      </c>
      <c r="F33" s="16"/>
      <c r="G33" s="24"/>
      <c r="H33" s="24"/>
      <c r="I33" s="15">
        <f>23000/12</f>
        <v>1916.666667</v>
      </c>
      <c r="J33" s="16">
        <f t="shared" si="7"/>
        <v>7666.666667</v>
      </c>
      <c r="K33" s="16">
        <f t="shared" si="8"/>
        <v>2333.333333</v>
      </c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  <c r="AA33" s="3"/>
    </row>
    <row r="34">
      <c r="A34" s="13">
        <v>1.0</v>
      </c>
      <c r="B34" s="12" t="s">
        <v>17</v>
      </c>
      <c r="C34" s="14" t="s">
        <v>192</v>
      </c>
      <c r="D34" s="15">
        <v>3800.0</v>
      </c>
      <c r="E34" s="15">
        <f t="shared" si="6"/>
        <v>3800</v>
      </c>
      <c r="F34" s="16"/>
      <c r="G34" s="24"/>
      <c r="H34" s="24"/>
      <c r="I34" s="15">
        <f>20000/8</f>
        <v>2500</v>
      </c>
      <c r="J34" s="16">
        <f t="shared" si="7"/>
        <v>2500</v>
      </c>
      <c r="K34" s="16">
        <f t="shared" si="8"/>
        <v>1300</v>
      </c>
      <c r="L34" s="30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  <c r="AA34" s="3"/>
    </row>
    <row r="35">
      <c r="A35" s="13">
        <v>1.0</v>
      </c>
      <c r="B35" s="12" t="s">
        <v>17</v>
      </c>
      <c r="C35" s="14" t="s">
        <v>186</v>
      </c>
      <c r="D35" s="15">
        <v>20000.0</v>
      </c>
      <c r="E35" s="15">
        <f t="shared" si="6"/>
        <v>20000</v>
      </c>
      <c r="F35" s="16"/>
      <c r="G35" s="32" t="s">
        <v>2</v>
      </c>
      <c r="H35" s="24"/>
      <c r="I35" s="15">
        <v>18000.0</v>
      </c>
      <c r="J35" s="16">
        <f t="shared" si="7"/>
        <v>18000</v>
      </c>
      <c r="K35" s="16">
        <f t="shared" si="8"/>
        <v>2000</v>
      </c>
      <c r="L35" s="30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  <c r="AA35" s="3"/>
    </row>
    <row r="36">
      <c r="A36" s="13"/>
      <c r="B36" s="12"/>
      <c r="C36" s="14"/>
      <c r="D36" s="15"/>
      <c r="E36" s="16"/>
      <c r="F36" s="16"/>
      <c r="G36" s="24"/>
      <c r="H36" s="24"/>
      <c r="I36" s="16"/>
      <c r="J36" s="16"/>
      <c r="K36" s="16"/>
      <c r="L36" s="30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  <c r="AA36" s="3"/>
    </row>
    <row r="37">
      <c r="A37" s="13" t="s">
        <v>2</v>
      </c>
      <c r="B37" s="12"/>
      <c r="C37" s="14"/>
      <c r="D37" s="15"/>
      <c r="E37" s="16">
        <f>SUM(E30:E35)</f>
        <v>90600</v>
      </c>
      <c r="F37" s="16"/>
      <c r="G37" s="24"/>
      <c r="H37" s="24"/>
      <c r="I37" s="16"/>
      <c r="J37" s="16"/>
      <c r="K37" s="16">
        <f>SUM(K30:K35)</f>
        <v>18747.61905</v>
      </c>
      <c r="L37" s="30">
        <f>K37/E37</f>
        <v>0.2069273626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  <c r="AA37" s="3"/>
    </row>
    <row r="38">
      <c r="A38" s="33"/>
      <c r="B38" s="34"/>
      <c r="C38" s="2"/>
      <c r="D38" s="3"/>
      <c r="E38" s="3"/>
      <c r="F38" s="3"/>
      <c r="G38" s="2"/>
      <c r="H38" s="2"/>
      <c r="I38" s="2"/>
      <c r="J38" s="2"/>
      <c r="K38" s="3"/>
      <c r="L38" s="4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  <c r="AA38" s="3"/>
    </row>
    <row r="39">
      <c r="A39" s="33"/>
      <c r="B39" s="34"/>
      <c r="C39" s="2"/>
      <c r="D39" s="3"/>
      <c r="E39" s="3"/>
      <c r="F39" s="3"/>
      <c r="G39" s="2"/>
      <c r="H39" s="2"/>
      <c r="I39" s="2"/>
      <c r="J39" s="2"/>
      <c r="K39" s="3"/>
      <c r="L39" s="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  <c r="AA39" s="3"/>
    </row>
    <row r="40">
      <c r="A40" s="33"/>
      <c r="B40" s="34"/>
      <c r="C40" s="2"/>
      <c r="E40" s="3"/>
      <c r="F40" s="3"/>
      <c r="G40" s="2"/>
      <c r="H40" s="2"/>
      <c r="I40" s="2"/>
      <c r="J40" s="2"/>
      <c r="K40" s="3"/>
      <c r="L40" s="4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  <c r="AA40" s="3"/>
    </row>
    <row r="41">
      <c r="A41" s="23" t="s">
        <v>84</v>
      </c>
      <c r="B41" s="23"/>
      <c r="C41" s="23"/>
      <c r="D41" s="25" t="s">
        <v>247</v>
      </c>
      <c r="E41" s="7">
        <v>46048.0</v>
      </c>
      <c r="G41" s="24"/>
      <c r="H41" s="24"/>
      <c r="I41" s="16"/>
      <c r="J41" s="16"/>
      <c r="K41" s="16"/>
      <c r="L41" s="29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  <c r="AA41" s="3"/>
    </row>
    <row r="42">
      <c r="B42" s="24"/>
      <c r="C42" s="26"/>
      <c r="D42" s="24"/>
      <c r="E42" s="24"/>
      <c r="F42" s="24"/>
      <c r="G42" s="24"/>
      <c r="H42" s="24"/>
      <c r="I42" s="16"/>
      <c r="J42" s="16"/>
      <c r="K42" s="16"/>
      <c r="L42" s="29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  <c r="AA42" s="3"/>
    </row>
    <row r="43">
      <c r="A43" s="5" t="s">
        <v>4</v>
      </c>
      <c r="B43" s="10" t="s">
        <v>5</v>
      </c>
      <c r="C43" s="11" t="s">
        <v>6</v>
      </c>
      <c r="D43" s="12" t="s">
        <v>7</v>
      </c>
      <c r="E43" s="10" t="s">
        <v>8</v>
      </c>
      <c r="F43" s="12"/>
      <c r="G43" s="24"/>
      <c r="H43" s="24"/>
      <c r="I43" s="12" t="s">
        <v>7</v>
      </c>
      <c r="J43" s="12" t="s">
        <v>8</v>
      </c>
      <c r="K43" s="12" t="s">
        <v>10</v>
      </c>
      <c r="L43" s="29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  <c r="AA43" s="3"/>
    </row>
    <row r="44">
      <c r="A44" s="13">
        <v>1.0</v>
      </c>
      <c r="B44" s="12" t="s">
        <v>42</v>
      </c>
      <c r="C44" s="14" t="s">
        <v>86</v>
      </c>
      <c r="D44" s="15">
        <v>14000.0</v>
      </c>
      <c r="E44" s="15">
        <f>A44*D44</f>
        <v>14000</v>
      </c>
      <c r="F44" s="16"/>
      <c r="G44" s="24"/>
      <c r="H44" s="24"/>
      <c r="I44" s="15">
        <v>10000.0</v>
      </c>
      <c r="J44" s="16">
        <f>I44*A44</f>
        <v>10000</v>
      </c>
      <c r="K44" s="16">
        <f>E44-J44</f>
        <v>4000</v>
      </c>
      <c r="L44" s="30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  <c r="AA44" s="3"/>
    </row>
    <row r="45">
      <c r="A45" s="13"/>
      <c r="B45" s="12"/>
      <c r="C45" s="14"/>
      <c r="D45" s="15"/>
      <c r="E45" s="16"/>
      <c r="F45" s="16"/>
      <c r="G45" s="24"/>
      <c r="H45" s="24"/>
      <c r="I45" s="16"/>
      <c r="J45" s="16"/>
      <c r="K45" s="16"/>
      <c r="L45" s="30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  <c r="AA45" s="3"/>
    </row>
    <row r="46">
      <c r="A46" s="13"/>
      <c r="B46" s="12"/>
      <c r="C46" s="14"/>
      <c r="D46" s="15"/>
      <c r="E46" s="16">
        <f>SUM(E44)</f>
        <v>14000</v>
      </c>
      <c r="F46" s="16"/>
      <c r="G46" s="24"/>
      <c r="H46" s="24"/>
      <c r="I46" s="16"/>
      <c r="J46" s="16"/>
      <c r="K46" s="16">
        <f>SUM(K44)</f>
        <v>4000</v>
      </c>
      <c r="L46" s="30">
        <f>K46/E46</f>
        <v>0.2857142857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  <c r="AA46" s="3"/>
    </row>
    <row r="47">
      <c r="A47" s="33"/>
      <c r="B47" s="34"/>
      <c r="C47" s="2"/>
      <c r="D47" s="3"/>
      <c r="E47" s="3"/>
      <c r="F47" s="3"/>
      <c r="G47" s="2"/>
      <c r="H47" s="2"/>
      <c r="I47" s="2"/>
      <c r="J47" s="2"/>
      <c r="K47" s="3"/>
      <c r="L47" s="4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  <c r="AA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21"/>
      <c r="P48" s="21"/>
      <c r="Q48" s="21"/>
      <c r="R48" s="2"/>
      <c r="S48" s="3"/>
      <c r="T48" s="3"/>
      <c r="U48" s="1"/>
      <c r="V48" s="3"/>
      <c r="W48" s="3"/>
      <c r="X48" s="3"/>
      <c r="Y48" s="3"/>
      <c r="Z48" s="3"/>
      <c r="AA48" s="3"/>
    </row>
    <row r="49">
      <c r="A49" s="33"/>
      <c r="B49" s="34"/>
      <c r="C49" s="2"/>
      <c r="D49" s="3"/>
      <c r="E49" s="3"/>
      <c r="F49" s="3"/>
      <c r="G49" s="2"/>
      <c r="H49" s="2"/>
      <c r="I49" s="2"/>
      <c r="J49" s="2"/>
      <c r="K49" s="3"/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  <c r="AA49" s="3"/>
    </row>
    <row r="50">
      <c r="A50" s="23" t="s">
        <v>80</v>
      </c>
      <c r="B50" s="23"/>
      <c r="C50" s="23"/>
      <c r="D50" s="25" t="s">
        <v>140</v>
      </c>
      <c r="E50" s="7">
        <v>46049.0</v>
      </c>
      <c r="F50" s="28"/>
      <c r="G50" s="24"/>
      <c r="H50" s="24"/>
      <c r="I50" s="16"/>
      <c r="J50" s="16"/>
      <c r="K50" s="16"/>
      <c r="L50" s="29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  <c r="AA50" s="3"/>
    </row>
    <row r="51">
      <c r="B51" s="24"/>
      <c r="C51" s="26"/>
      <c r="D51" s="24"/>
      <c r="E51" s="24"/>
      <c r="F51" s="24"/>
      <c r="G51" s="24"/>
      <c r="H51" s="24"/>
      <c r="I51" s="16"/>
      <c r="J51" s="16"/>
      <c r="K51" s="16"/>
      <c r="L51" s="29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  <c r="AA51" s="3"/>
    </row>
    <row r="52">
      <c r="A52" s="5" t="s">
        <v>4</v>
      </c>
      <c r="B52" s="10" t="s">
        <v>5</v>
      </c>
      <c r="C52" s="11" t="s">
        <v>6</v>
      </c>
      <c r="D52" s="12" t="s">
        <v>7</v>
      </c>
      <c r="E52" s="10" t="s">
        <v>8</v>
      </c>
      <c r="F52" s="12"/>
      <c r="G52" s="24"/>
      <c r="H52" s="24"/>
      <c r="I52" s="12" t="s">
        <v>7</v>
      </c>
      <c r="J52" s="12" t="s">
        <v>8</v>
      </c>
      <c r="K52" s="12" t="s">
        <v>10</v>
      </c>
      <c r="L52" s="29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  <c r="AA52" s="3"/>
    </row>
    <row r="53">
      <c r="A53" s="13">
        <v>1.0</v>
      </c>
      <c r="B53" s="12" t="s">
        <v>32</v>
      </c>
      <c r="C53" s="14" t="s">
        <v>147</v>
      </c>
      <c r="D53" s="15">
        <v>11000.0</v>
      </c>
      <c r="E53" s="15">
        <f t="shared" ref="E53:E59" si="9">A53*D53</f>
        <v>11000</v>
      </c>
      <c r="F53" s="16"/>
      <c r="G53" s="24"/>
      <c r="H53" s="24"/>
      <c r="I53" s="16">
        <v>6000.0</v>
      </c>
      <c r="J53" s="16">
        <f t="shared" ref="J53:J59" si="10">I53*A53</f>
        <v>6000</v>
      </c>
      <c r="K53" s="16">
        <f t="shared" ref="K53:K59" si="11">E53-J53</f>
        <v>5000</v>
      </c>
      <c r="L53" s="30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  <c r="AA53" s="3"/>
    </row>
    <row r="54">
      <c r="A54" s="13">
        <v>2.0</v>
      </c>
      <c r="B54" s="12" t="s">
        <v>32</v>
      </c>
      <c r="C54" s="14" t="s">
        <v>62</v>
      </c>
      <c r="D54" s="15">
        <v>14000.0</v>
      </c>
      <c r="E54" s="15">
        <f t="shared" si="9"/>
        <v>28000</v>
      </c>
      <c r="F54" s="16"/>
      <c r="G54" s="24"/>
      <c r="H54" s="24"/>
      <c r="I54" s="16">
        <v>9000.0</v>
      </c>
      <c r="J54" s="16">
        <f t="shared" si="10"/>
        <v>18000</v>
      </c>
      <c r="K54" s="16">
        <f t="shared" si="11"/>
        <v>10000</v>
      </c>
      <c r="L54" s="30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  <c r="AA54" s="3"/>
    </row>
    <row r="55">
      <c r="A55" s="13">
        <v>1.0</v>
      </c>
      <c r="B55" s="12" t="s">
        <v>5</v>
      </c>
      <c r="C55" s="14" t="s">
        <v>187</v>
      </c>
      <c r="D55" s="15">
        <v>2000.0</v>
      </c>
      <c r="E55" s="15">
        <f t="shared" si="9"/>
        <v>2000</v>
      </c>
      <c r="F55" s="16"/>
      <c r="G55" s="24"/>
      <c r="H55" s="24"/>
      <c r="I55" s="16">
        <v>1500.0</v>
      </c>
      <c r="J55" s="16">
        <f t="shared" si="10"/>
        <v>1500</v>
      </c>
      <c r="K55" s="16">
        <f t="shared" si="11"/>
        <v>500</v>
      </c>
      <c r="L55" s="30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  <c r="AA55" s="3"/>
    </row>
    <row r="56">
      <c r="A56" s="13">
        <v>1.0</v>
      </c>
      <c r="B56" s="12" t="s">
        <v>5</v>
      </c>
      <c r="C56" s="14" t="s">
        <v>49</v>
      </c>
      <c r="D56" s="15">
        <v>2000.0</v>
      </c>
      <c r="E56" s="15">
        <f t="shared" si="9"/>
        <v>2000</v>
      </c>
      <c r="F56" s="16"/>
      <c r="G56" s="24"/>
      <c r="H56" s="24"/>
      <c r="I56" s="16">
        <v>1500.0</v>
      </c>
      <c r="J56" s="16">
        <f t="shared" si="10"/>
        <v>1500</v>
      </c>
      <c r="K56" s="16">
        <f t="shared" si="11"/>
        <v>500</v>
      </c>
      <c r="L56" s="30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  <c r="AA56" s="3"/>
    </row>
    <row r="57">
      <c r="A57" s="13">
        <v>3.0</v>
      </c>
      <c r="B57" s="12" t="s">
        <v>28</v>
      </c>
      <c r="C57" s="14" t="s">
        <v>74</v>
      </c>
      <c r="D57" s="15">
        <v>1000.0</v>
      </c>
      <c r="E57" s="15">
        <f t="shared" si="9"/>
        <v>3000</v>
      </c>
      <c r="F57" s="16"/>
      <c r="G57" s="24"/>
      <c r="H57" s="24"/>
      <c r="I57" s="16">
        <v>500.0</v>
      </c>
      <c r="J57" s="16">
        <f t="shared" si="10"/>
        <v>1500</v>
      </c>
      <c r="K57" s="16">
        <f t="shared" si="11"/>
        <v>1500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  <c r="AA57" s="3"/>
    </row>
    <row r="58">
      <c r="A58" s="13">
        <v>3.0</v>
      </c>
      <c r="B58" s="12" t="s">
        <v>17</v>
      </c>
      <c r="C58" s="14" t="s">
        <v>35</v>
      </c>
      <c r="D58" s="15">
        <v>2000.0</v>
      </c>
      <c r="E58" s="15">
        <f t="shared" si="9"/>
        <v>6000</v>
      </c>
      <c r="F58" s="16"/>
      <c r="G58" s="24"/>
      <c r="H58" s="24"/>
      <c r="I58" s="16">
        <f>12000/15</f>
        <v>800</v>
      </c>
      <c r="J58" s="16">
        <f t="shared" si="10"/>
        <v>2400</v>
      </c>
      <c r="K58" s="16">
        <f t="shared" si="11"/>
        <v>3600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  <c r="AA58" s="3"/>
    </row>
    <row r="59">
      <c r="A59" s="13">
        <v>2.0</v>
      </c>
      <c r="B59" s="12" t="s">
        <v>5</v>
      </c>
      <c r="C59" s="14" t="s">
        <v>69</v>
      </c>
      <c r="D59" s="15">
        <v>1200.0</v>
      </c>
      <c r="E59" s="15">
        <f t="shared" si="9"/>
        <v>2400</v>
      </c>
      <c r="F59" s="16"/>
      <c r="G59" s="24"/>
      <c r="H59" s="24"/>
      <c r="I59" s="16">
        <v>560.0</v>
      </c>
      <c r="J59" s="16">
        <f t="shared" si="10"/>
        <v>1120</v>
      </c>
      <c r="K59" s="16">
        <f t="shared" si="11"/>
        <v>1280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  <c r="AA59" s="3"/>
    </row>
    <row r="60">
      <c r="A60" s="13"/>
      <c r="B60" s="12"/>
      <c r="C60" s="14"/>
      <c r="D60" s="15"/>
      <c r="E60" s="16"/>
      <c r="F60" s="16"/>
      <c r="H60" s="24"/>
      <c r="I60" s="16"/>
      <c r="J60" s="16"/>
      <c r="K60" s="16"/>
      <c r="L60" s="30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  <c r="AA60" s="3"/>
    </row>
    <row r="61">
      <c r="A61" s="13"/>
      <c r="B61" s="12"/>
      <c r="C61" s="14"/>
      <c r="D61" s="15"/>
      <c r="E61" s="16">
        <f>SUM(E53:E60)</f>
        <v>54400</v>
      </c>
      <c r="F61" s="16"/>
      <c r="G61" s="24"/>
      <c r="H61" s="24"/>
      <c r="I61" s="16"/>
      <c r="J61" s="16"/>
      <c r="K61" s="16">
        <f>SUM(K53:K59)</f>
        <v>22380</v>
      </c>
      <c r="L61" s="30">
        <f>K61/E61</f>
        <v>0.4113970588</v>
      </c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  <c r="AA61" s="3"/>
    </row>
    <row r="62">
      <c r="A62" s="13"/>
      <c r="B62" s="12"/>
      <c r="C62" s="14"/>
      <c r="D62" s="15"/>
      <c r="E62" s="3"/>
      <c r="F62" s="3"/>
      <c r="G62" s="2"/>
      <c r="H62" s="2"/>
      <c r="I62" s="2"/>
      <c r="J62" s="2"/>
      <c r="K62" s="3"/>
      <c r="L62" s="4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  <c r="AA62" s="3"/>
    </row>
    <row r="63">
      <c r="A63" s="13"/>
      <c r="B63" s="12"/>
      <c r="C63" s="14"/>
      <c r="D63" s="15"/>
      <c r="E63" s="3"/>
      <c r="F63" s="3"/>
      <c r="G63" s="2"/>
      <c r="H63" s="2"/>
      <c r="I63" s="2"/>
      <c r="J63" s="2"/>
      <c r="K63" s="3"/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  <c r="AA63" s="3"/>
    </row>
    <row r="64">
      <c r="A64" s="33" t="s">
        <v>88</v>
      </c>
      <c r="B64" s="34">
        <f>E61+E46+E37+F22+E8</f>
        <v>465774</v>
      </c>
      <c r="C64" s="2"/>
      <c r="D64" s="3"/>
      <c r="E64" s="3"/>
      <c r="F64" s="3"/>
      <c r="G64" s="2"/>
      <c r="H64" s="2"/>
      <c r="I64" s="2"/>
      <c r="J64" s="2"/>
      <c r="K64" s="3"/>
      <c r="L64" s="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  <c r="AA64" s="3"/>
    </row>
    <row r="65">
      <c r="A65" s="1"/>
      <c r="B65" s="2"/>
      <c r="C65" s="2"/>
      <c r="D65" s="3"/>
      <c r="E65" s="3"/>
      <c r="F65" s="3"/>
      <c r="G65" s="2"/>
      <c r="H65" s="2"/>
      <c r="I65" s="2"/>
      <c r="J65" s="2"/>
      <c r="K65" s="3"/>
      <c r="L65" s="4"/>
      <c r="M65" s="2"/>
      <c r="N65" s="2"/>
      <c r="O65" s="2"/>
      <c r="P65" s="2"/>
      <c r="Q65" s="3"/>
      <c r="R65" s="9"/>
      <c r="S65" s="3"/>
      <c r="T65" s="3"/>
      <c r="U65" s="1"/>
      <c r="V65" s="3"/>
      <c r="W65" s="3"/>
      <c r="X65" s="3"/>
      <c r="Y65" s="3"/>
      <c r="Z65" s="3"/>
      <c r="AA65" s="3"/>
    </row>
    <row r="66">
      <c r="A66" s="33" t="s">
        <v>89</v>
      </c>
      <c r="B66" s="34">
        <f>K61+K46+K37+K22+K8</f>
        <v>144901.619</v>
      </c>
      <c r="C66" s="2"/>
      <c r="D66" s="3"/>
      <c r="E66" s="3"/>
      <c r="F66" s="3"/>
      <c r="G66" s="2"/>
      <c r="H66" s="2"/>
      <c r="I66" s="2"/>
      <c r="J66" s="2"/>
      <c r="K66" s="3"/>
      <c r="L66" s="4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  <c r="AA66" s="3"/>
    </row>
    <row r="67">
      <c r="A67" s="1"/>
      <c r="B67" s="2"/>
      <c r="C67" s="2"/>
      <c r="D67" s="3"/>
      <c r="E67" s="3"/>
      <c r="F67" s="3"/>
      <c r="G67" s="2"/>
      <c r="H67" s="2"/>
      <c r="I67" s="2"/>
      <c r="J67" s="2"/>
      <c r="K67" s="3"/>
      <c r="L67" s="4"/>
      <c r="M67" s="2"/>
      <c r="N67" s="2"/>
      <c r="O67" s="2"/>
      <c r="P67" s="2"/>
      <c r="Q67" s="3"/>
      <c r="R67" s="2"/>
      <c r="S67" s="3"/>
      <c r="T67" s="3"/>
      <c r="U67" s="1"/>
      <c r="V67" s="3"/>
      <c r="W67" s="3"/>
      <c r="X67" s="3"/>
      <c r="Y67" s="3"/>
      <c r="Z67" s="3"/>
      <c r="AA67" s="3"/>
    </row>
    <row r="68">
      <c r="A68" s="33" t="s">
        <v>90</v>
      </c>
      <c r="B68" s="35">
        <f>B66/B64</f>
        <v>0.3110985565</v>
      </c>
      <c r="C68" s="2"/>
      <c r="D68" s="3"/>
      <c r="E68" s="3"/>
      <c r="F68" s="3"/>
      <c r="G68" s="2"/>
      <c r="H68" s="2"/>
      <c r="I68" s="2"/>
      <c r="J68" s="2"/>
      <c r="K68" s="3"/>
      <c r="L68" s="4"/>
      <c r="M68" s="2"/>
      <c r="N68" s="2"/>
      <c r="O68" s="2"/>
      <c r="P68" s="2"/>
      <c r="Q68" s="2"/>
      <c r="R68" s="2"/>
      <c r="S68" s="3"/>
      <c r="T68" s="3"/>
      <c r="U68" s="1"/>
      <c r="V68" s="3"/>
      <c r="W68" s="3"/>
      <c r="X68" s="2"/>
      <c r="Y68" s="2"/>
      <c r="Z68" s="2"/>
      <c r="AA68" s="2"/>
    </row>
    <row r="69">
      <c r="A69" s="1"/>
      <c r="B69" s="2"/>
      <c r="C69" s="2"/>
      <c r="D69" s="3"/>
      <c r="E69" s="3"/>
      <c r="F69" s="3"/>
      <c r="G69" s="2"/>
      <c r="H69" s="2"/>
      <c r="I69" s="2"/>
      <c r="J69" s="2"/>
      <c r="K69" s="3"/>
      <c r="L69" s="4"/>
      <c r="M69" s="2"/>
      <c r="N69" s="2"/>
      <c r="O69" s="2"/>
      <c r="P69" s="2"/>
      <c r="Q69" s="3"/>
      <c r="R69" s="9"/>
      <c r="S69" s="3"/>
      <c r="T69" s="3"/>
      <c r="U69" s="1"/>
      <c r="V69" s="3"/>
      <c r="W69" s="3"/>
      <c r="X69" s="3"/>
      <c r="Y69" s="3"/>
      <c r="Z69" s="3"/>
      <c r="AA69" s="3"/>
    </row>
    <row r="70" ht="15.75" customHeight="1">
      <c r="A70" s="36" t="s">
        <v>91</v>
      </c>
      <c r="C70" s="37"/>
      <c r="D70" s="6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9"/>
      <c r="S70" s="3"/>
      <c r="T70" s="3"/>
      <c r="U70" s="1"/>
      <c r="V70" s="3"/>
      <c r="W70" s="3"/>
      <c r="X70" s="3"/>
      <c r="Y70" s="3"/>
      <c r="Z70" s="3"/>
      <c r="AA70" s="3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  <c r="AA71" s="3"/>
    </row>
    <row r="72" ht="15.75" customHeight="1">
      <c r="A72" s="1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  <c r="AA72" s="3"/>
    </row>
    <row r="73" ht="15.75" customHeight="1">
      <c r="A73" s="1"/>
      <c r="B73" s="1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  <c r="AA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X74" s="3"/>
      <c r="Y74" s="3"/>
      <c r="Z74" s="3"/>
      <c r="AA74" s="3"/>
    </row>
    <row r="75" ht="15.75" customHeight="1">
      <c r="A75" s="39"/>
      <c r="B75" s="40" t="s">
        <v>92</v>
      </c>
      <c r="C75" s="41" t="s">
        <v>93</v>
      </c>
      <c r="D75" s="42" t="s">
        <v>94</v>
      </c>
      <c r="E75" s="42" t="s">
        <v>95</v>
      </c>
      <c r="F75" s="42" t="s">
        <v>96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9"/>
      <c r="X75" s="3"/>
      <c r="Y75" s="3"/>
      <c r="Z75" s="3"/>
      <c r="AA75" s="3"/>
    </row>
    <row r="76" ht="15.75" customHeight="1">
      <c r="A76" s="43"/>
      <c r="B76" s="44">
        <f>'22-01-2026 '!B126</f>
        <v>213537.25</v>
      </c>
      <c r="C76" s="44">
        <f>'22-01-2026 '!C126</f>
        <v>1338479.728</v>
      </c>
      <c r="D76" s="44">
        <f>'22-01-2026 '!D126</f>
        <v>2388443.928</v>
      </c>
      <c r="E76" s="44">
        <f>'22-01-2026 '!E126</f>
        <v>0</v>
      </c>
      <c r="F76" s="44">
        <f>'22-01-2026 '!F126</f>
        <v>637428.4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  <c r="AA76" s="3"/>
    </row>
    <row r="77" ht="15.75" customHeight="1">
      <c r="A77" s="1"/>
      <c r="B77" s="46"/>
      <c r="C77" s="46"/>
      <c r="D77" s="46"/>
      <c r="E77" s="4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  <c r="AA77" s="3"/>
    </row>
    <row r="78" ht="15.75" customHeight="1">
      <c r="A78" s="40" t="s">
        <v>97</v>
      </c>
      <c r="B78" s="47"/>
      <c r="C78" s="47"/>
      <c r="D78" s="47"/>
      <c r="E78" s="47"/>
      <c r="F78" s="48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  <c r="AA78" s="3"/>
    </row>
    <row r="79" ht="15.75" customHeight="1">
      <c r="A79" s="13" t="s">
        <v>98</v>
      </c>
      <c r="B79" s="49">
        <v>0.0</v>
      </c>
      <c r="C79" s="49">
        <v>0.0</v>
      </c>
      <c r="D79" s="49">
        <v>0.0</v>
      </c>
      <c r="E79" s="49">
        <v>0.0</v>
      </c>
      <c r="F79" s="49">
        <v>964956.69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  <c r="AA79" s="3"/>
    </row>
    <row r="80" ht="15.75" customHeight="1">
      <c r="A80" s="13" t="s">
        <v>99</v>
      </c>
      <c r="B80" s="49">
        <v>0.0</v>
      </c>
      <c r="C80" s="49">
        <v>1008.47</v>
      </c>
      <c r="D80" s="49">
        <v>0.0</v>
      </c>
      <c r="E80" s="49">
        <v>0.0</v>
      </c>
      <c r="F80" s="49">
        <v>0.0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  <c r="AA80" s="3"/>
    </row>
    <row r="81" ht="15.75" customHeight="1">
      <c r="A81" s="13" t="s">
        <v>100</v>
      </c>
      <c r="B81" s="49">
        <v>0.0</v>
      </c>
      <c r="C81" s="49">
        <v>0.0</v>
      </c>
      <c r="D81" s="49">
        <v>0.0</v>
      </c>
      <c r="E81" s="49">
        <v>0.0</v>
      </c>
      <c r="F81" s="49">
        <v>0.0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  <c r="AA81" s="3"/>
    </row>
    <row r="82" ht="15.75" customHeight="1">
      <c r="A82" s="13" t="s">
        <v>101</v>
      </c>
      <c r="B82" s="49">
        <v>0.0</v>
      </c>
      <c r="C82" s="49">
        <v>0.0</v>
      </c>
      <c r="D82" s="49">
        <v>0.0</v>
      </c>
      <c r="E82" s="49">
        <v>0.0</v>
      </c>
      <c r="F82" s="49">
        <v>0.0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  <c r="AA82" s="3"/>
    </row>
    <row r="83" ht="15.75" customHeight="1">
      <c r="A83" s="13" t="s">
        <v>102</v>
      </c>
      <c r="B83" s="49">
        <v>0.0</v>
      </c>
      <c r="C83" s="49">
        <v>0.0</v>
      </c>
      <c r="D83" s="49">
        <v>0.0</v>
      </c>
      <c r="E83" s="49">
        <v>0.0</v>
      </c>
      <c r="F83" s="49">
        <v>0.0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  <c r="AA83" s="3"/>
    </row>
    <row r="84" ht="15.75" customHeight="1">
      <c r="A84" s="13" t="s">
        <v>202</v>
      </c>
      <c r="B84" s="49">
        <v>0.0</v>
      </c>
      <c r="C84" s="49">
        <v>0.0</v>
      </c>
      <c r="D84" s="49">
        <v>0.0</v>
      </c>
      <c r="E84" s="49">
        <v>0.0</v>
      </c>
      <c r="F84" s="49">
        <v>0.0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  <c r="AA84" s="3"/>
    </row>
    <row r="85" ht="15.75" customHeight="1">
      <c r="A85" s="13" t="s">
        <v>203</v>
      </c>
      <c r="B85" s="49">
        <v>0.0</v>
      </c>
      <c r="C85" s="50">
        <f>C79*2%</f>
        <v>0</v>
      </c>
      <c r="D85" s="49">
        <f>SUM(D79:D80)*2%</f>
        <v>0</v>
      </c>
      <c r="E85" s="49">
        <v>0.0</v>
      </c>
      <c r="F85" s="49">
        <v>0.0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  <c r="AA85" s="3"/>
    </row>
    <row r="86" ht="15.75" customHeight="1">
      <c r="A86" s="13" t="s">
        <v>103</v>
      </c>
      <c r="B86" s="49">
        <v>0.0</v>
      </c>
      <c r="C86" s="50">
        <f>C79*0.6%+C82*0.6%</f>
        <v>0</v>
      </c>
      <c r="D86" s="49">
        <f>SUM(D79:D81)*0.6%</f>
        <v>0</v>
      </c>
      <c r="E86" s="49">
        <v>0.0</v>
      </c>
      <c r="F86" s="49">
        <v>0.0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  <c r="AA86" s="3"/>
    </row>
    <row r="87" ht="15.75" customHeight="1">
      <c r="A87" s="1"/>
      <c r="B87" s="46"/>
      <c r="C87" s="46"/>
      <c r="D87" s="46"/>
      <c r="E87" s="4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  <c r="AA87" s="3"/>
    </row>
    <row r="88" ht="15.75" customHeight="1">
      <c r="A88" s="51" t="s">
        <v>8</v>
      </c>
      <c r="B88" s="52">
        <f>SUM(B76:B86)</f>
        <v>213537.25</v>
      </c>
      <c r="C88" s="52">
        <f>C76+C79+C82+C83-C86+C80-C85</f>
        <v>1339488.198</v>
      </c>
      <c r="D88" s="53">
        <f>D76+D79+D82+D83-D86+D81-D85-D84</f>
        <v>2388443.928</v>
      </c>
      <c r="E88" s="52">
        <f>E76+E79+E82+E83-E86</f>
        <v>0</v>
      </c>
      <c r="F88" s="54">
        <f>F76+F79+F82+F83-F86-D81</f>
        <v>1602385.09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  <c r="AA88" s="3"/>
    </row>
    <row r="89" ht="15.75" customHeight="1">
      <c r="A89" s="1"/>
      <c r="B89" s="1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  <c r="AA89" s="3"/>
    </row>
    <row r="90" ht="15.75" customHeight="1">
      <c r="A90" s="40" t="s">
        <v>104</v>
      </c>
      <c r="B90" s="47"/>
      <c r="C90" s="47"/>
      <c r="D90" s="47"/>
      <c r="E90" s="47"/>
      <c r="F90" s="48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/>
      <c r="T90" s="3"/>
      <c r="U90" s="1"/>
      <c r="V90" s="3"/>
      <c r="W90" s="3"/>
      <c r="X90" s="3"/>
      <c r="Y90" s="3"/>
      <c r="Z90" s="3"/>
      <c r="AA90" s="3"/>
    </row>
    <row r="91" ht="15.75" customHeight="1">
      <c r="A91" s="13" t="s">
        <v>105</v>
      </c>
      <c r="B91" s="55">
        <v>1000.0</v>
      </c>
      <c r="C91" s="55">
        <v>0.0</v>
      </c>
      <c r="D91" s="55">
        <v>0.0</v>
      </c>
      <c r="E91" s="55">
        <v>0.0</v>
      </c>
      <c r="F91" s="26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3"/>
      <c r="T91" s="3"/>
      <c r="U91" s="1"/>
      <c r="V91" s="3"/>
      <c r="W91" s="3"/>
      <c r="X91" s="3"/>
      <c r="Y91" s="3"/>
      <c r="Z91" s="3"/>
      <c r="AA91" s="3"/>
    </row>
    <row r="92" ht="15.75" customHeight="1">
      <c r="A92" s="13" t="s">
        <v>106</v>
      </c>
      <c r="B92" s="49">
        <v>0.0</v>
      </c>
      <c r="C92" s="49">
        <v>0.0</v>
      </c>
      <c r="D92" s="49">
        <v>0.0</v>
      </c>
      <c r="E92" s="49">
        <v>0.0</v>
      </c>
      <c r="F92" s="26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  <c r="AA92" s="3"/>
    </row>
    <row r="93" ht="15.75" customHeight="1">
      <c r="A93" s="13" t="s">
        <v>107</v>
      </c>
      <c r="B93" s="55">
        <v>0.0</v>
      </c>
      <c r="C93" s="55">
        <v>0.0</v>
      </c>
      <c r="D93" s="49">
        <v>900000.0</v>
      </c>
      <c r="E93" s="55">
        <v>0.0</v>
      </c>
      <c r="F93" s="26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  <c r="AA93" s="3"/>
    </row>
    <row r="94" ht="15.75" customHeight="1">
      <c r="A94" s="13" t="s">
        <v>108</v>
      </c>
      <c r="B94" s="55">
        <v>2800.0</v>
      </c>
      <c r="C94" s="55">
        <v>0.0</v>
      </c>
      <c r="D94" s="55">
        <v>0.0</v>
      </c>
      <c r="E94" s="55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  <c r="AA94" s="3"/>
    </row>
    <row r="95" ht="15.75" customHeight="1">
      <c r="A95" s="13" t="s">
        <v>109</v>
      </c>
      <c r="B95" s="55">
        <v>0.0</v>
      </c>
      <c r="C95" s="55">
        <v>235800.0</v>
      </c>
      <c r="D95" s="55">
        <v>0.0</v>
      </c>
      <c r="E95" s="55">
        <v>0.0</v>
      </c>
      <c r="F95" s="26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  <c r="AA95" s="3"/>
    </row>
    <row r="96" ht="15.75" customHeight="1">
      <c r="A96" s="13" t="s">
        <v>110</v>
      </c>
      <c r="B96" s="55">
        <v>0.0</v>
      </c>
      <c r="C96" s="55">
        <v>65000.0</v>
      </c>
      <c r="D96" s="55">
        <v>0.0</v>
      </c>
      <c r="E96" s="55">
        <v>0.0</v>
      </c>
      <c r="F96" s="26"/>
      <c r="G96" s="2"/>
      <c r="H96" s="56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  <c r="AA96" s="3"/>
    </row>
    <row r="97" ht="15.75" customHeight="1">
      <c r="A97" s="13" t="s">
        <v>111</v>
      </c>
      <c r="B97" s="49">
        <v>0.0</v>
      </c>
      <c r="C97" s="49">
        <v>0.0</v>
      </c>
      <c r="D97" s="49">
        <v>0.0</v>
      </c>
      <c r="E97" s="49">
        <v>0.0</v>
      </c>
      <c r="F97" s="26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  <c r="AA97" s="3"/>
    </row>
    <row r="98" ht="15.75" customHeight="1">
      <c r="A98" s="13" t="s">
        <v>112</v>
      </c>
      <c r="B98" s="49">
        <v>0.0</v>
      </c>
      <c r="C98" s="49">
        <v>0.0</v>
      </c>
      <c r="D98" s="49">
        <v>0.0</v>
      </c>
      <c r="E98" s="49">
        <v>0.0</v>
      </c>
      <c r="F98" s="26"/>
      <c r="G98" s="2"/>
      <c r="H98" s="56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  <c r="AA98" s="3"/>
    </row>
    <row r="99" ht="15.75" customHeight="1">
      <c r="A99" s="13" t="s">
        <v>113</v>
      </c>
      <c r="B99" s="49">
        <v>0.0</v>
      </c>
      <c r="C99" s="49">
        <v>0.0</v>
      </c>
      <c r="D99" s="49">
        <v>0.0</v>
      </c>
      <c r="E99" s="49">
        <v>0.0</v>
      </c>
      <c r="F99" s="26"/>
      <c r="G99" s="2"/>
      <c r="H99" s="56"/>
      <c r="I99" s="2"/>
      <c r="J99" s="2"/>
      <c r="K99" s="2"/>
      <c r="L99" s="2"/>
      <c r="M99" s="2"/>
      <c r="N99" s="2"/>
      <c r="O99" s="2"/>
      <c r="P99" s="2"/>
      <c r="Q99" s="3"/>
      <c r="R99" s="9"/>
      <c r="S99" s="3"/>
      <c r="T99" s="3"/>
      <c r="U99" s="1"/>
      <c r="V99" s="3"/>
      <c r="W99" s="3"/>
      <c r="X99" s="3"/>
      <c r="Y99" s="3"/>
      <c r="Z99" s="3"/>
      <c r="AA99" s="3"/>
    </row>
    <row r="100" ht="15.75" customHeight="1">
      <c r="A100" s="13" t="s">
        <v>114</v>
      </c>
      <c r="B100" s="55">
        <v>0.0</v>
      </c>
      <c r="C100" s="55">
        <v>0.0</v>
      </c>
      <c r="D100" s="55">
        <v>0.0</v>
      </c>
      <c r="E100" s="55">
        <v>0.0</v>
      </c>
      <c r="F100" s="26"/>
      <c r="G100" s="2"/>
      <c r="H100" s="56"/>
      <c r="I100" s="2"/>
      <c r="J100" s="2"/>
      <c r="K100" s="2"/>
      <c r="L100" s="2"/>
      <c r="M100" s="2"/>
      <c r="N100" s="2"/>
      <c r="O100" s="2"/>
      <c r="P100" s="2"/>
      <c r="Q100" s="3"/>
      <c r="R100" s="9"/>
      <c r="S100" s="3"/>
      <c r="T100" s="3"/>
      <c r="U100" s="1"/>
      <c r="V100" s="3"/>
      <c r="W100" s="3"/>
      <c r="X100" s="3"/>
      <c r="Y100" s="3"/>
      <c r="Z100" s="3"/>
      <c r="AA100" s="3"/>
    </row>
    <row r="101" ht="15.75" customHeight="1">
      <c r="A101" s="13" t="s">
        <v>115</v>
      </c>
      <c r="B101" s="55">
        <v>0.0</v>
      </c>
      <c r="C101" s="55">
        <v>0.0</v>
      </c>
      <c r="D101" s="55">
        <v>0.0</v>
      </c>
      <c r="E101" s="55">
        <v>0.0</v>
      </c>
      <c r="F101" s="26"/>
      <c r="G101" s="2"/>
      <c r="H101" s="56"/>
      <c r="I101" s="2"/>
      <c r="J101" s="2"/>
      <c r="K101" s="2"/>
      <c r="L101" s="2"/>
      <c r="M101" s="2"/>
      <c r="N101" s="2"/>
      <c r="O101" s="2"/>
      <c r="P101" s="2"/>
      <c r="Q101" s="3"/>
      <c r="R101" s="9"/>
      <c r="S101" s="3"/>
      <c r="T101" s="3"/>
      <c r="U101" s="1"/>
      <c r="V101" s="3"/>
      <c r="W101" s="3"/>
      <c r="X101" s="3"/>
      <c r="Y101" s="3"/>
      <c r="Z101" s="3"/>
      <c r="AA101" s="3"/>
    </row>
    <row r="102" ht="15.75" customHeight="1">
      <c r="A102" s="13" t="s">
        <v>116</v>
      </c>
      <c r="B102" s="50">
        <v>0.0</v>
      </c>
      <c r="C102" s="50">
        <v>0.0</v>
      </c>
      <c r="D102" s="49">
        <v>0.0</v>
      </c>
      <c r="E102" s="49">
        <v>0.0</v>
      </c>
      <c r="F102" s="2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  <c r="AA102" s="3"/>
    </row>
    <row r="103" ht="15.75" customHeight="1">
      <c r="A103" s="13" t="s">
        <v>117</v>
      </c>
      <c r="B103" s="50">
        <v>0.0</v>
      </c>
      <c r="C103" s="50">
        <v>0.0</v>
      </c>
      <c r="D103" s="49">
        <v>0.0</v>
      </c>
      <c r="E103" s="49">
        <v>0.0</v>
      </c>
      <c r="F103" s="26"/>
      <c r="G103" s="2"/>
      <c r="H103" s="56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  <c r="AA103" s="3"/>
    </row>
    <row r="104" ht="15.75" customHeight="1">
      <c r="A104" s="13" t="s">
        <v>118</v>
      </c>
      <c r="B104" s="50">
        <v>0.0</v>
      </c>
      <c r="C104" s="50">
        <v>0.0</v>
      </c>
      <c r="D104" s="49">
        <v>0.0</v>
      </c>
      <c r="E104" s="49">
        <v>0.0</v>
      </c>
      <c r="F104" s="2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  <c r="AA104" s="3"/>
    </row>
    <row r="105" ht="15.75" customHeight="1">
      <c r="A105" s="13" t="s">
        <v>119</v>
      </c>
      <c r="B105" s="50">
        <v>0.0</v>
      </c>
      <c r="C105" s="50">
        <v>0.0</v>
      </c>
      <c r="D105" s="49">
        <v>0.0</v>
      </c>
      <c r="E105" s="49">
        <v>0.0</v>
      </c>
      <c r="F105" s="2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9"/>
      <c r="S105" s="3"/>
      <c r="T105" s="3"/>
      <c r="U105" s="1"/>
      <c r="V105" s="3"/>
      <c r="W105" s="3"/>
      <c r="X105" s="3"/>
      <c r="Y105" s="3"/>
      <c r="Z105" s="3"/>
      <c r="AA105" s="3"/>
    </row>
    <row r="106" ht="15.75" customHeight="1">
      <c r="A106" s="13" t="s">
        <v>120</v>
      </c>
      <c r="B106" s="50">
        <v>0.0</v>
      </c>
      <c r="C106" s="50">
        <v>0.0</v>
      </c>
      <c r="D106" s="49">
        <v>0.0</v>
      </c>
      <c r="E106" s="49">
        <v>0.0</v>
      </c>
      <c r="F106" s="2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9"/>
      <c r="S106" s="3"/>
      <c r="T106" s="3"/>
      <c r="U106" s="1"/>
      <c r="V106" s="3"/>
      <c r="W106" s="3"/>
      <c r="X106" s="3"/>
      <c r="Y106" s="3"/>
      <c r="Z106" s="3"/>
      <c r="AA106" s="3"/>
    </row>
    <row r="107" ht="15.75" customHeight="1">
      <c r="A107" s="13" t="s">
        <v>121</v>
      </c>
      <c r="B107" s="50">
        <v>0.0</v>
      </c>
      <c r="C107" s="50">
        <v>0.0</v>
      </c>
      <c r="D107" s="49">
        <v>0.0</v>
      </c>
      <c r="E107" s="49">
        <v>0.0</v>
      </c>
      <c r="F107" s="2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  <c r="AA107" s="3"/>
    </row>
    <row r="108" ht="15.75" customHeight="1">
      <c r="A108" s="13" t="s">
        <v>122</v>
      </c>
      <c r="B108" s="49">
        <v>0.0</v>
      </c>
      <c r="C108" s="49">
        <v>0.0</v>
      </c>
      <c r="D108" s="49">
        <v>0.0</v>
      </c>
      <c r="E108" s="49">
        <v>0.0</v>
      </c>
      <c r="F108" s="2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  <c r="AA108" s="3"/>
    </row>
    <row r="109" ht="15.75" customHeight="1">
      <c r="A109" s="13" t="s">
        <v>123</v>
      </c>
      <c r="B109" s="49">
        <v>0.0</v>
      </c>
      <c r="C109" s="49">
        <v>0.0</v>
      </c>
      <c r="D109" s="49">
        <v>0.0</v>
      </c>
      <c r="E109" s="49">
        <v>0.0</v>
      </c>
      <c r="F109" s="2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  <c r="AA109" s="3"/>
    </row>
    <row r="110" ht="15.75" customHeight="1">
      <c r="A110" s="13" t="s">
        <v>286</v>
      </c>
      <c r="B110" s="49">
        <v>0.0</v>
      </c>
      <c r="C110" s="49">
        <v>0.0</v>
      </c>
      <c r="D110" s="49">
        <v>114359.0</v>
      </c>
      <c r="E110" s="49">
        <v>0.0</v>
      </c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  <c r="AA110" s="3"/>
    </row>
    <row r="111" ht="15.75" customHeight="1">
      <c r="A111" s="13" t="s">
        <v>124</v>
      </c>
      <c r="B111" s="49">
        <v>0.0</v>
      </c>
      <c r="C111" s="49">
        <v>0.0</v>
      </c>
      <c r="D111" s="49">
        <v>0.0</v>
      </c>
      <c r="E111" s="49">
        <v>0.0</v>
      </c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  <c r="AA111" s="3"/>
    </row>
    <row r="112" ht="15.75" customHeight="1">
      <c r="A112" s="13" t="s">
        <v>125</v>
      </c>
      <c r="B112" s="50">
        <v>0.0</v>
      </c>
      <c r="C112" s="50">
        <v>0.0</v>
      </c>
      <c r="D112" s="49">
        <v>0.0</v>
      </c>
      <c r="E112" s="49">
        <v>0.0</v>
      </c>
      <c r="F112" s="2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  <c r="AA112" s="3"/>
    </row>
    <row r="113" ht="15.75" customHeight="1">
      <c r="A113" s="13" t="s">
        <v>126</v>
      </c>
      <c r="B113" s="49">
        <v>0.0</v>
      </c>
      <c r="C113" s="49">
        <v>0.0</v>
      </c>
      <c r="D113" s="49">
        <v>0.0</v>
      </c>
      <c r="E113" s="49">
        <v>0.0</v>
      </c>
      <c r="F113" s="2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  <c r="AA113" s="3"/>
    </row>
    <row r="114" ht="15.75" customHeight="1">
      <c r="A114" s="13" t="s">
        <v>127</v>
      </c>
      <c r="B114" s="49">
        <v>0.0</v>
      </c>
      <c r="C114" s="49">
        <v>0.0</v>
      </c>
      <c r="D114" s="49">
        <v>0.0</v>
      </c>
      <c r="E114" s="49">
        <v>0.0</v>
      </c>
      <c r="F114" s="2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  <c r="AA114" s="3"/>
    </row>
    <row r="115" ht="15.75" customHeight="1">
      <c r="A115" s="13" t="s">
        <v>128</v>
      </c>
      <c r="B115" s="49">
        <v>0.0</v>
      </c>
      <c r="C115" s="49">
        <v>0.0</v>
      </c>
      <c r="D115" s="49">
        <v>0.0</v>
      </c>
      <c r="E115" s="49">
        <v>0.0</v>
      </c>
      <c r="F115" s="2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  <c r="AA115" s="3"/>
    </row>
    <row r="116" ht="15.75" customHeight="1">
      <c r="A116" s="13" t="s">
        <v>129</v>
      </c>
      <c r="B116" s="49">
        <v>0.0</v>
      </c>
      <c r="C116" s="49">
        <v>0.0</v>
      </c>
      <c r="D116" s="49">
        <v>0.0</v>
      </c>
      <c r="E116" s="49">
        <v>0.0</v>
      </c>
      <c r="F116" s="2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  <c r="AA116" s="3"/>
    </row>
    <row r="117" ht="15.75" customHeight="1">
      <c r="A117" s="57"/>
      <c r="B117" s="49"/>
      <c r="C117" s="49"/>
      <c r="D117" s="49"/>
      <c r="E117" s="49"/>
      <c r="F117" s="2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  <c r="AA117" s="3"/>
    </row>
    <row r="118" ht="15.75" customHeight="1">
      <c r="A118" s="13" t="s">
        <v>130</v>
      </c>
      <c r="B118" s="50">
        <v>0.0</v>
      </c>
      <c r="C118" s="50">
        <f>SUM(C91:C115)*0.6%</f>
        <v>1804.8</v>
      </c>
      <c r="D118" s="50">
        <f>SUM(D91:D116)*0.6%</f>
        <v>6086.154</v>
      </c>
      <c r="E118" s="50">
        <f>(E95*0.6%)+(E96*0.6%)+(E97*0.6%)+(E100*0.6%)+(E101*0.6%)</f>
        <v>0</v>
      </c>
      <c r="F118" s="2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  <c r="AA118" s="3"/>
    </row>
    <row r="119" ht="15.75" customHeight="1">
      <c r="A119" s="13" t="s">
        <v>131</v>
      </c>
      <c r="B119" s="50">
        <v>0.0</v>
      </c>
      <c r="C119" s="50">
        <v>0.0</v>
      </c>
      <c r="D119" s="50">
        <v>0.0</v>
      </c>
      <c r="E119" s="50">
        <f>SUM(E92:E117)*0.6%+(E120*0.6%)</f>
        <v>0</v>
      </c>
      <c r="F119" s="5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  <c r="AA119" s="3"/>
    </row>
    <row r="120" ht="15.75" customHeight="1">
      <c r="A120" s="57"/>
      <c r="B120" s="57"/>
      <c r="C120" s="26"/>
      <c r="D120" s="2"/>
      <c r="E120" s="26"/>
      <c r="F120" s="2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  <c r="AA120" s="3"/>
    </row>
    <row r="121" ht="15.75" customHeight="1">
      <c r="A121" s="59" t="s">
        <v>132</v>
      </c>
      <c r="B121" s="60">
        <f>SUM(B91:B120)</f>
        <v>3800</v>
      </c>
      <c r="C121" s="60">
        <f>SUM(C91:C118)</f>
        <v>302604.8</v>
      </c>
      <c r="D121" s="60">
        <f>SUM(D91:D119)</f>
        <v>1020445.154</v>
      </c>
      <c r="E121" s="60">
        <f>E102+E106+E118-E119</f>
        <v>0</v>
      </c>
      <c r="F121" s="61" t="str">
        <f>F95</f>
        <v/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  <c r="AA121" s="3"/>
    </row>
    <row r="122" ht="15.75" customHeight="1">
      <c r="A122" s="57"/>
      <c r="B122" s="57"/>
      <c r="C122" s="26"/>
      <c r="D122" s="26"/>
      <c r="E122" s="26"/>
      <c r="F122" s="2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  <c r="AA122" s="3"/>
    </row>
    <row r="123" ht="15.75" customHeight="1">
      <c r="A123" s="59" t="s">
        <v>133</v>
      </c>
      <c r="B123" s="62">
        <f>B88-B121</f>
        <v>209737.25</v>
      </c>
      <c r="C123" s="63">
        <f>C88-C121+C119</f>
        <v>1036883.398</v>
      </c>
      <c r="D123" s="63">
        <f>D88-D121-29.2</f>
        <v>1367969.574</v>
      </c>
      <c r="E123" s="64">
        <f t="shared" ref="E123:F123" si="12">E88-E121</f>
        <v>0</v>
      </c>
      <c r="F123" s="64">
        <f t="shared" si="12"/>
        <v>1602385.09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  <c r="AA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  <c r="AA124" s="3"/>
    </row>
    <row r="125" ht="15.75" customHeight="1">
      <c r="A125" s="65" t="s">
        <v>134</v>
      </c>
      <c r="B125" s="66">
        <f>75177.25-B91-B94</f>
        <v>71377.25</v>
      </c>
      <c r="C125" s="46"/>
      <c r="D125" s="46"/>
      <c r="E125" s="46"/>
      <c r="F125" s="4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9"/>
      <c r="S125" s="3"/>
      <c r="T125" s="3"/>
      <c r="U125" s="1"/>
      <c r="V125" s="3"/>
      <c r="W125" s="3"/>
      <c r="X125" s="3"/>
      <c r="Y125" s="3"/>
      <c r="Z125" s="3"/>
      <c r="AA125" s="3"/>
    </row>
    <row r="126" ht="15.75" customHeight="1">
      <c r="A126" s="65" t="s">
        <v>135</v>
      </c>
      <c r="B126" s="66">
        <v>138360.0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  <c r="AA126" s="3"/>
    </row>
    <row r="127" ht="15.75" customHeight="1">
      <c r="A127" s="2"/>
      <c r="B127" s="46" t="s">
        <v>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  <c r="AA127" s="3"/>
    </row>
    <row r="128" ht="15.75" customHeight="1">
      <c r="A128" s="2"/>
      <c r="B128" s="46">
        <f>SUM(B125:B126)</f>
        <v>209737.25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  <c r="AA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9"/>
      <c r="S129" s="3"/>
      <c r="T129" s="3"/>
      <c r="U129" s="1"/>
      <c r="V129" s="3"/>
      <c r="W129" s="3"/>
      <c r="X129" s="3"/>
      <c r="Y129" s="3"/>
      <c r="Z129" s="3"/>
      <c r="AA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9"/>
      <c r="S130" s="3"/>
      <c r="T130" s="3"/>
      <c r="U130" s="1"/>
      <c r="V130" s="3"/>
      <c r="W130" s="3"/>
      <c r="X130" s="3"/>
      <c r="Y130" s="3"/>
      <c r="Z130" s="3"/>
      <c r="AA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X131" s="3"/>
      <c r="Y131" s="3"/>
      <c r="Z131" s="3"/>
      <c r="AA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9"/>
      <c r="X132" s="3"/>
      <c r="Y132" s="3"/>
      <c r="Z132" s="3"/>
      <c r="AA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9"/>
      <c r="X133" s="3"/>
      <c r="Y133" s="3"/>
      <c r="Z133" s="3"/>
      <c r="AA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  <c r="AA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  <c r="AA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  <c r="AA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  <c r="AA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  <c r="AA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  <c r="AA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  <c r="AA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  <c r="AA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  <c r="AA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  <c r="AA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  <c r="AA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  <c r="AA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  <c r="AA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  <c r="AA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  <c r="AA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  <c r="AA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  <c r="AA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  <c r="AA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  <c r="AA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9"/>
      <c r="S153" s="3"/>
      <c r="T153" s="3"/>
      <c r="U153" s="1"/>
      <c r="V153" s="3"/>
      <c r="W153" s="3"/>
      <c r="X153" s="3"/>
      <c r="Y153" s="3"/>
      <c r="Z153" s="3"/>
      <c r="AA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  <c r="AA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  <c r="AA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  <c r="AA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9"/>
      <c r="S157" s="3"/>
      <c r="T157" s="3"/>
      <c r="U157" s="1"/>
      <c r="V157" s="3"/>
      <c r="W157" s="3"/>
      <c r="X157" s="3"/>
      <c r="Y157" s="3"/>
      <c r="Z157" s="3"/>
      <c r="AA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9"/>
      <c r="S158" s="3"/>
      <c r="T158" s="3"/>
      <c r="U158" s="1"/>
      <c r="V158" s="3"/>
      <c r="W158" s="3"/>
      <c r="X158" s="3"/>
      <c r="Y158" s="3"/>
      <c r="Z158" s="3"/>
      <c r="AA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  <c r="AA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  <c r="AA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  <c r="AA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  <c r="AA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  <c r="AA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  <c r="AA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  <c r="AA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X166" s="3"/>
      <c r="Y166" s="3"/>
      <c r="Z166" s="3"/>
      <c r="AA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9"/>
      <c r="X167" s="3"/>
      <c r="Y167" s="3"/>
      <c r="Z167" s="3"/>
      <c r="AA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9"/>
      <c r="X168" s="3"/>
      <c r="Y168" s="3"/>
      <c r="Z168" s="3"/>
      <c r="AA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  <c r="AA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  <c r="AA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9"/>
      <c r="S171" s="3"/>
      <c r="T171" s="3"/>
      <c r="U171" s="1"/>
      <c r="V171" s="3"/>
      <c r="W171" s="3"/>
      <c r="X171" s="3"/>
      <c r="Y171" s="3"/>
      <c r="Z171" s="3"/>
      <c r="AA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  <c r="AA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  <c r="AA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  <c r="AA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9"/>
      <c r="S175" s="3"/>
      <c r="T175" s="3"/>
      <c r="U175" s="1"/>
      <c r="V175" s="3"/>
      <c r="W175" s="3"/>
      <c r="X175" s="3"/>
      <c r="Y175" s="3"/>
      <c r="Z175" s="3"/>
      <c r="AA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  <c r="AA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  <c r="AA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  <c r="AA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  <c r="AA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  <c r="AA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  <c r="AA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  <c r="AA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  <c r="AA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  <c r="AA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  <c r="AA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9"/>
      <c r="S186" s="3"/>
      <c r="T186" s="3"/>
      <c r="U186" s="1"/>
      <c r="V186" s="3"/>
      <c r="W186" s="3"/>
      <c r="X186" s="3"/>
      <c r="Y186" s="3"/>
      <c r="Z186" s="3"/>
      <c r="AA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  <c r="AA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  <c r="AA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  <c r="AA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  <c r="AA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  <c r="AA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9"/>
      <c r="S192" s="3"/>
      <c r="T192" s="3"/>
      <c r="U192" s="1"/>
      <c r="V192" s="3"/>
      <c r="W192" s="3"/>
      <c r="X192" s="3"/>
      <c r="Y192" s="3"/>
      <c r="Z192" s="3"/>
      <c r="AA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9"/>
      <c r="S193" s="3"/>
      <c r="T193" s="3"/>
      <c r="U193" s="1"/>
      <c r="V193" s="3"/>
      <c r="W193" s="3"/>
      <c r="X193" s="3"/>
      <c r="Y193" s="3"/>
      <c r="Z193" s="3"/>
      <c r="AA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  <c r="AA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  <c r="AA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9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9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2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"/>
      <c r="R201" s="2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3"/>
      <c r="T202" s="3"/>
      <c r="U202" s="9"/>
      <c r="V202" s="3"/>
      <c r="W202" s="3"/>
      <c r="X202" s="3"/>
      <c r="Y202" s="3"/>
      <c r="Z202" s="3"/>
      <c r="AA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9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9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9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9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9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9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9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3"/>
      <c r="T244" s="3"/>
      <c r="U244" s="9"/>
      <c r="V244" s="3"/>
      <c r="W244" s="3"/>
      <c r="X244" s="3"/>
      <c r="Y244" s="3"/>
      <c r="Z244" s="3"/>
      <c r="AA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9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9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9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46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46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46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46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46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46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46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46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46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46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46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46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46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46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46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9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46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46"/>
      <c r="R289" s="46"/>
      <c r="S289" s="3"/>
      <c r="T289" s="3"/>
      <c r="U289" s="9"/>
      <c r="V289" s="3"/>
      <c r="W289" s="3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9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46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46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46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46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46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46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46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9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9"/>
      <c r="T335" s="3"/>
      <c r="U335" s="2"/>
      <c r="V335" s="3"/>
      <c r="W335" s="3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9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9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9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9"/>
      <c r="T352" s="3"/>
      <c r="U352" s="2"/>
      <c r="V352" s="3"/>
      <c r="W352" s="3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9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9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9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/>
      <c r="X361" s="3"/>
      <c r="Y361" s="3"/>
      <c r="Z361" s="3"/>
      <c r="AA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9"/>
      <c r="T363" s="3"/>
      <c r="U363" s="2"/>
      <c r="V363" s="3"/>
      <c r="W363" s="3"/>
      <c r="X363" s="3"/>
      <c r="Y363" s="3"/>
      <c r="Z363" s="3"/>
      <c r="AA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9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3"/>
      <c r="T379" s="3"/>
      <c r="U379" s="9"/>
      <c r="V379" s="3"/>
      <c r="W379" s="3"/>
      <c r="X379" s="3"/>
      <c r="Y379" s="3"/>
      <c r="Z379" s="3"/>
      <c r="AA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9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9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3"/>
      <c r="T393" s="9"/>
      <c r="U393" s="2"/>
      <c r="V393" s="3"/>
      <c r="W393" s="3"/>
      <c r="X393" s="3"/>
      <c r="Y393" s="3"/>
      <c r="Z393" s="3"/>
      <c r="AA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9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9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9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9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3"/>
      <c r="T405" s="9"/>
      <c r="U405" s="2"/>
      <c r="V405" s="3"/>
      <c r="W405" s="3"/>
      <c r="X405" s="3"/>
      <c r="Y405" s="3"/>
      <c r="Z405" s="3"/>
      <c r="AA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9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9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67"/>
      <c r="R420" s="2"/>
      <c r="S420" s="2"/>
      <c r="T420" s="3"/>
      <c r="U420" s="2"/>
      <c r="V420" s="2"/>
      <c r="W420" s="2"/>
      <c r="X420" s="3"/>
      <c r="Y420" s="3"/>
      <c r="Z420" s="3"/>
      <c r="AA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3"/>
      <c r="T421" s="3"/>
      <c r="U421" s="3"/>
      <c r="V421" s="2"/>
      <c r="W421" s="2"/>
      <c r="X421" s="3"/>
      <c r="Y421" s="3"/>
      <c r="Z421" s="3"/>
      <c r="AA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8"/>
      <c r="R423" s="38"/>
      <c r="S423" s="38"/>
      <c r="T423" s="38"/>
      <c r="U423" s="38"/>
      <c r="V423" s="38"/>
      <c r="W423" s="38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3"/>
      <c r="T424" s="3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2"/>
      <c r="S425" s="3"/>
      <c r="T425" s="3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68"/>
      <c r="R427" s="69"/>
      <c r="S427" s="70"/>
      <c r="T427" s="70"/>
      <c r="U427" s="70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1"/>
      <c r="R428" s="71"/>
      <c r="S428" s="71"/>
      <c r="T428" s="71"/>
      <c r="U428" s="71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46"/>
      <c r="R429" s="46"/>
      <c r="S429" s="46"/>
      <c r="T429" s="46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6"/>
      <c r="R431" s="46"/>
      <c r="S431" s="46"/>
      <c r="T431" s="46"/>
      <c r="U431" s="46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"/>
      <c r="R432" s="46"/>
      <c r="S432" s="46"/>
      <c r="T432" s="46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6"/>
      <c r="R433" s="46"/>
      <c r="S433" s="46"/>
      <c r="T433" s="46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"/>
      <c r="R434" s="46"/>
      <c r="S434" s="46"/>
      <c r="T434" s="46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6"/>
      <c r="R435" s="46"/>
      <c r="S435" s="46"/>
      <c r="T435" s="46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2"/>
      <c r="R436" s="72"/>
      <c r="S436" s="72"/>
      <c r="T436" s="72"/>
      <c r="U436" s="73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"/>
      <c r="R437" s="2"/>
      <c r="S437" s="3"/>
      <c r="T437" s="3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56"/>
      <c r="R439" s="56"/>
      <c r="S439" s="56"/>
      <c r="T439" s="56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56"/>
      <c r="R440" s="56"/>
      <c r="S440" s="56"/>
      <c r="T440" s="56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56"/>
      <c r="R441" s="56"/>
      <c r="S441" s="56"/>
      <c r="T441" s="56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6"/>
      <c r="R442" s="56"/>
      <c r="S442" s="56"/>
      <c r="T442" s="56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6"/>
      <c r="R443" s="56"/>
      <c r="S443" s="56"/>
      <c r="T443" s="56"/>
      <c r="U443" s="2"/>
      <c r="V443" s="2"/>
      <c r="W443" s="56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6"/>
      <c r="R444" s="56"/>
      <c r="S444" s="56"/>
      <c r="T444" s="56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6"/>
      <c r="R445" s="56"/>
      <c r="S445" s="56"/>
      <c r="T445" s="56"/>
      <c r="U445" s="2"/>
      <c r="V445" s="2"/>
      <c r="W445" s="56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56"/>
      <c r="R446" s="56"/>
      <c r="S446" s="56"/>
      <c r="T446" s="56"/>
      <c r="U446" s="2"/>
      <c r="V446" s="2"/>
      <c r="W446" s="56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46"/>
      <c r="R447" s="46"/>
      <c r="S447" s="46"/>
      <c r="T447" s="46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"/>
      <c r="R448" s="46"/>
      <c r="S448" s="46"/>
      <c r="T448" s="46"/>
      <c r="U448" s="2"/>
      <c r="V448" s="2"/>
      <c r="W448" s="56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46"/>
      <c r="R449" s="46"/>
      <c r="S449" s="46"/>
      <c r="T449" s="46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"/>
      <c r="R450" s="46"/>
      <c r="S450" s="46"/>
      <c r="T450" s="46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6"/>
      <c r="R451" s="46"/>
      <c r="S451" s="46"/>
      <c r="T451" s="46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6"/>
      <c r="R453" s="46"/>
      <c r="S453" s="46"/>
      <c r="T453" s="46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46"/>
      <c r="S454" s="46"/>
      <c r="T454" s="46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46"/>
      <c r="R455" s="46"/>
      <c r="S455" s="46"/>
      <c r="T455" s="46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46"/>
      <c r="S456" s="46"/>
      <c r="T456" s="46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2"/>
      <c r="R458" s="72"/>
      <c r="S458" s="72"/>
      <c r="T458" s="72"/>
      <c r="U458" s="73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1"/>
      <c r="R460" s="72"/>
      <c r="S460" s="72"/>
      <c r="T460" s="74"/>
      <c r="U460" s="74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6"/>
      <c r="R462" s="46"/>
      <c r="S462" s="46"/>
      <c r="T462" s="46"/>
      <c r="U462" s="46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46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</sheetData>
  <mergeCells count="8">
    <mergeCell ref="I3:K3"/>
    <mergeCell ref="A70:B70"/>
    <mergeCell ref="U74:W74"/>
    <mergeCell ref="A75:A76"/>
    <mergeCell ref="A78:F78"/>
    <mergeCell ref="A90:F90"/>
    <mergeCell ref="U131:W131"/>
    <mergeCell ref="U166:W166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  <c r="AA1" s="3"/>
    </row>
    <row r="2">
      <c r="A2" s="23" t="s">
        <v>0</v>
      </c>
      <c r="B2" s="23"/>
      <c r="C2" s="23"/>
      <c r="D2" s="25" t="s">
        <v>296</v>
      </c>
      <c r="E2" s="7">
        <v>46050.0</v>
      </c>
      <c r="F2" s="28"/>
      <c r="G2" s="24"/>
      <c r="H2" s="24"/>
      <c r="I2" s="16"/>
      <c r="J2" s="16"/>
      <c r="K2" s="16"/>
      <c r="L2" s="29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  <c r="AA2" s="3"/>
    </row>
    <row r="3">
      <c r="B3" s="24"/>
      <c r="C3" s="26"/>
      <c r="D3" s="24"/>
      <c r="E3" s="24"/>
      <c r="F3" s="24"/>
      <c r="G3" s="24"/>
      <c r="H3" s="24"/>
      <c r="I3" s="16"/>
      <c r="J3" s="16"/>
      <c r="K3" s="16"/>
      <c r="L3" s="29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  <c r="AA3" s="3"/>
    </row>
    <row r="4">
      <c r="A4" s="5" t="s">
        <v>4</v>
      </c>
      <c r="B4" s="10" t="s">
        <v>5</v>
      </c>
      <c r="C4" s="11" t="s">
        <v>6</v>
      </c>
      <c r="D4" s="12" t="s">
        <v>7</v>
      </c>
      <c r="E4" s="10" t="s">
        <v>8</v>
      </c>
      <c r="F4" s="12"/>
      <c r="G4" s="24"/>
      <c r="H4" s="24"/>
      <c r="I4" s="12" t="s">
        <v>7</v>
      </c>
      <c r="J4" s="12" t="s">
        <v>8</v>
      </c>
      <c r="K4" s="12" t="s">
        <v>10</v>
      </c>
      <c r="L4" s="29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  <c r="AA4" s="3"/>
    </row>
    <row r="5">
      <c r="A5" s="13">
        <v>1.0</v>
      </c>
      <c r="B5" s="12" t="s">
        <v>32</v>
      </c>
      <c r="C5" s="14" t="s">
        <v>192</v>
      </c>
      <c r="D5" s="15">
        <v>30000.0</v>
      </c>
      <c r="E5" s="15">
        <f t="shared" ref="E5:E13" si="1">A5*D5</f>
        <v>30000</v>
      </c>
      <c r="F5" s="16">
        <f t="shared" ref="F5:F11" si="2">E5*1.105</f>
        <v>33150</v>
      </c>
      <c r="G5" s="24"/>
      <c r="H5" s="24"/>
      <c r="I5" s="16">
        <v>23000.0</v>
      </c>
      <c r="J5" s="16">
        <f t="shared" ref="J5:J13" si="3">I5*A5</f>
        <v>23000</v>
      </c>
      <c r="K5" s="16">
        <f t="shared" ref="K5:K13" si="4">F5-J5</f>
        <v>10150</v>
      </c>
      <c r="L5" s="30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  <c r="AA5" s="3"/>
    </row>
    <row r="6">
      <c r="A6" s="13">
        <v>2.0</v>
      </c>
      <c r="B6" s="12" t="s">
        <v>32</v>
      </c>
      <c r="C6" s="14" t="s">
        <v>35</v>
      </c>
      <c r="D6" s="15">
        <v>22000.0</v>
      </c>
      <c r="E6" s="15">
        <f t="shared" si="1"/>
        <v>44000</v>
      </c>
      <c r="F6" s="16">
        <f t="shared" si="2"/>
        <v>48620</v>
      </c>
      <c r="G6" s="24"/>
      <c r="H6" s="24"/>
      <c r="I6" s="16">
        <v>15000.0</v>
      </c>
      <c r="J6" s="16">
        <f t="shared" si="3"/>
        <v>30000</v>
      </c>
      <c r="K6" s="16">
        <f t="shared" si="4"/>
        <v>18620</v>
      </c>
      <c r="L6" s="30"/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  <c r="AA6" s="3"/>
    </row>
    <row r="7">
      <c r="A7" s="13">
        <v>6.0</v>
      </c>
      <c r="B7" s="12" t="s">
        <v>28</v>
      </c>
      <c r="C7" s="14" t="s">
        <v>74</v>
      </c>
      <c r="D7" s="15">
        <v>1000.0</v>
      </c>
      <c r="E7" s="15">
        <f t="shared" si="1"/>
        <v>6000</v>
      </c>
      <c r="F7" s="16">
        <f t="shared" si="2"/>
        <v>6630</v>
      </c>
      <c r="G7" s="24"/>
      <c r="H7" s="24"/>
      <c r="I7" s="16">
        <v>500.0</v>
      </c>
      <c r="J7" s="16">
        <f t="shared" si="3"/>
        <v>3000</v>
      </c>
      <c r="K7" s="16">
        <f t="shared" si="4"/>
        <v>3630</v>
      </c>
      <c r="L7" s="30"/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  <c r="AA7" s="3"/>
    </row>
    <row r="8">
      <c r="A8" s="13">
        <v>1.0</v>
      </c>
      <c r="B8" s="12" t="s">
        <v>13</v>
      </c>
      <c r="C8" s="14" t="s">
        <v>19</v>
      </c>
      <c r="D8" s="15">
        <v>35000.0</v>
      </c>
      <c r="E8" s="15">
        <f t="shared" si="1"/>
        <v>35000</v>
      </c>
      <c r="F8" s="16">
        <f t="shared" si="2"/>
        <v>38675</v>
      </c>
      <c r="G8" s="24"/>
      <c r="H8" s="24"/>
      <c r="I8" s="16">
        <v>26000.0</v>
      </c>
      <c r="J8" s="16">
        <f t="shared" si="3"/>
        <v>26000</v>
      </c>
      <c r="K8" s="16">
        <f t="shared" si="4"/>
        <v>12675</v>
      </c>
      <c r="L8" s="30"/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  <c r="AA8" s="3"/>
    </row>
    <row r="9">
      <c r="A9" s="13">
        <v>1.0</v>
      </c>
      <c r="B9" s="12" t="s">
        <v>13</v>
      </c>
      <c r="C9" s="14" t="s">
        <v>297</v>
      </c>
      <c r="D9" s="15">
        <v>25000.0</v>
      </c>
      <c r="E9" s="15">
        <f t="shared" si="1"/>
        <v>25000</v>
      </c>
      <c r="F9" s="16">
        <f t="shared" si="2"/>
        <v>27625</v>
      </c>
      <c r="G9" s="24"/>
      <c r="H9" s="24"/>
      <c r="I9" s="16">
        <v>18000.0</v>
      </c>
      <c r="J9" s="16">
        <f t="shared" si="3"/>
        <v>18000</v>
      </c>
      <c r="K9" s="16">
        <f t="shared" si="4"/>
        <v>9625</v>
      </c>
      <c r="L9" s="30"/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  <c r="AA9" s="3"/>
    </row>
    <row r="10">
      <c r="A10" s="13">
        <v>26.0</v>
      </c>
      <c r="B10" s="12" t="s">
        <v>17</v>
      </c>
      <c r="C10" s="14" t="s">
        <v>156</v>
      </c>
      <c r="D10" s="15">
        <v>1000.0</v>
      </c>
      <c r="E10" s="15">
        <f t="shared" si="1"/>
        <v>26000</v>
      </c>
      <c r="F10" s="16">
        <f t="shared" si="2"/>
        <v>28730</v>
      </c>
      <c r="G10" s="24"/>
      <c r="H10" s="24"/>
      <c r="I10" s="16">
        <v>530.0</v>
      </c>
      <c r="J10" s="16">
        <f t="shared" si="3"/>
        <v>13780</v>
      </c>
      <c r="K10" s="16">
        <f t="shared" si="4"/>
        <v>14950</v>
      </c>
      <c r="L10" s="30"/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  <c r="AA10" s="3"/>
    </row>
    <row r="11">
      <c r="A11" s="13">
        <v>2.0</v>
      </c>
      <c r="B11" s="12" t="s">
        <v>32</v>
      </c>
      <c r="C11" s="14" t="s">
        <v>220</v>
      </c>
      <c r="D11" s="15">
        <v>28000.0</v>
      </c>
      <c r="E11" s="15">
        <f t="shared" si="1"/>
        <v>56000</v>
      </c>
      <c r="F11" s="16">
        <f t="shared" si="2"/>
        <v>61880</v>
      </c>
      <c r="G11" s="24"/>
      <c r="H11" s="24"/>
      <c r="I11" s="16">
        <v>20000.0</v>
      </c>
      <c r="J11" s="16">
        <f t="shared" si="3"/>
        <v>40000</v>
      </c>
      <c r="K11" s="16">
        <f t="shared" si="4"/>
        <v>21880</v>
      </c>
      <c r="L11" s="30"/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  <c r="AA11" s="3"/>
    </row>
    <row r="12">
      <c r="A12" s="13">
        <v>0.5</v>
      </c>
      <c r="B12" s="12" t="s">
        <v>32</v>
      </c>
      <c r="C12" s="14" t="s">
        <v>152</v>
      </c>
      <c r="D12" s="15">
        <v>54000.0</v>
      </c>
      <c r="E12" s="15">
        <f t="shared" si="1"/>
        <v>27000</v>
      </c>
      <c r="F12" s="16">
        <f>E12*1.21</f>
        <v>32670</v>
      </c>
      <c r="G12" s="24"/>
      <c r="H12" s="24"/>
      <c r="I12" s="16">
        <v>46000.0</v>
      </c>
      <c r="J12" s="16">
        <f t="shared" si="3"/>
        <v>23000</v>
      </c>
      <c r="K12" s="16">
        <f t="shared" si="4"/>
        <v>9670</v>
      </c>
      <c r="L12" s="30"/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  <c r="AA12" s="3"/>
    </row>
    <row r="13">
      <c r="A13" s="13">
        <v>2.0</v>
      </c>
      <c r="B13" s="12" t="s">
        <v>17</v>
      </c>
      <c r="C13" s="14" t="s">
        <v>45</v>
      </c>
      <c r="D13" s="15">
        <v>2700.0</v>
      </c>
      <c r="E13" s="15">
        <f t="shared" si="1"/>
        <v>5400</v>
      </c>
      <c r="F13" s="16">
        <f>E13*1.105</f>
        <v>5967</v>
      </c>
      <c r="G13" s="24"/>
      <c r="H13" s="24"/>
      <c r="I13" s="16">
        <f>32000/15</f>
        <v>2133.333333</v>
      </c>
      <c r="J13" s="16">
        <f t="shared" si="3"/>
        <v>4266.666667</v>
      </c>
      <c r="K13" s="16">
        <f t="shared" si="4"/>
        <v>1700.333333</v>
      </c>
      <c r="L13" s="30"/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  <c r="AA13" s="3"/>
    </row>
    <row r="14">
      <c r="A14" s="13"/>
      <c r="B14" s="12"/>
      <c r="C14" s="14"/>
      <c r="D14" s="15"/>
      <c r="E14" s="16"/>
      <c r="F14" s="16"/>
      <c r="G14" s="24"/>
      <c r="H14" s="24"/>
      <c r="I14" s="16"/>
      <c r="J14" s="16"/>
      <c r="K14" s="16"/>
      <c r="L14" s="30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  <c r="AA14" s="3"/>
    </row>
    <row r="15">
      <c r="A15" s="13"/>
      <c r="B15" s="12"/>
      <c r="C15" s="14"/>
      <c r="D15" s="15"/>
      <c r="E15" s="16">
        <f t="shared" ref="E15:F15" si="5">SUM(E5:E13)</f>
        <v>254400</v>
      </c>
      <c r="F15" s="16">
        <f t="shared" si="5"/>
        <v>283947</v>
      </c>
      <c r="G15" s="24"/>
      <c r="H15" s="24"/>
      <c r="I15" s="16"/>
      <c r="J15" s="16"/>
      <c r="K15" s="16">
        <f>SUM(K5:K13)</f>
        <v>102900.3333</v>
      </c>
      <c r="L15" s="30">
        <f>K15/E15</f>
        <v>0.4044824423</v>
      </c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  <c r="AA15" s="3"/>
    </row>
    <row r="16">
      <c r="A16" s="13"/>
      <c r="B16" s="12"/>
      <c r="C16" s="14"/>
      <c r="D16" s="15"/>
      <c r="E16" s="3"/>
      <c r="F16" s="3"/>
      <c r="G16" s="2"/>
      <c r="H16" s="2"/>
      <c r="I16" s="2"/>
      <c r="J16" s="2"/>
      <c r="K16" s="3"/>
      <c r="L16" s="4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  <c r="AA16" s="3"/>
    </row>
    <row r="17">
      <c r="A17" s="33"/>
      <c r="B17" s="34"/>
      <c r="C17" s="2"/>
      <c r="E17" s="3"/>
      <c r="F17" s="3"/>
      <c r="G17" s="2"/>
      <c r="H17" s="2"/>
      <c r="I17" s="2"/>
      <c r="J17" s="2"/>
      <c r="K17" s="3"/>
      <c r="L17" s="4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  <c r="AA17" s="3"/>
    </row>
    <row r="18">
      <c r="A18" s="23" t="s">
        <v>298</v>
      </c>
      <c r="B18" s="23"/>
      <c r="C18" s="23"/>
      <c r="D18" s="25" t="s">
        <v>191</v>
      </c>
      <c r="E18" s="7">
        <v>46050.0</v>
      </c>
      <c r="G18" s="24"/>
      <c r="H18" s="24"/>
      <c r="I18" s="16"/>
      <c r="J18" s="16"/>
      <c r="K18" s="16"/>
      <c r="L18" s="29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  <c r="AA18" s="3"/>
    </row>
    <row r="19">
      <c r="B19" s="24"/>
      <c r="C19" s="26"/>
      <c r="D19" s="24"/>
      <c r="E19" s="24"/>
      <c r="F19" s="24"/>
      <c r="G19" s="24"/>
      <c r="H19" s="24"/>
      <c r="I19" s="16"/>
      <c r="J19" s="16"/>
      <c r="K19" s="16"/>
      <c r="L19" s="29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  <c r="AA19" s="3"/>
    </row>
    <row r="20">
      <c r="A20" s="5" t="s">
        <v>4</v>
      </c>
      <c r="B20" s="10" t="s">
        <v>5</v>
      </c>
      <c r="C20" s="11" t="s">
        <v>6</v>
      </c>
      <c r="D20" s="12" t="s">
        <v>7</v>
      </c>
      <c r="E20" s="10" t="s">
        <v>8</v>
      </c>
      <c r="F20" s="12"/>
      <c r="G20" s="24"/>
      <c r="H20" s="24"/>
      <c r="I20" s="12" t="s">
        <v>7</v>
      </c>
      <c r="J20" s="12" t="s">
        <v>8</v>
      </c>
      <c r="K20" s="12" t="s">
        <v>10</v>
      </c>
      <c r="L20" s="29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  <c r="AA20" s="3"/>
    </row>
    <row r="21">
      <c r="A21" s="13">
        <v>1.0</v>
      </c>
      <c r="B21" s="12" t="s">
        <v>5</v>
      </c>
      <c r="C21" s="14" t="s">
        <v>49</v>
      </c>
      <c r="D21" s="15">
        <v>2000.0</v>
      </c>
      <c r="E21" s="15">
        <f t="shared" ref="E21:E48" si="6">A21*D21</f>
        <v>2000</v>
      </c>
      <c r="F21" s="16"/>
      <c r="G21" s="24"/>
      <c r="H21" s="24"/>
      <c r="I21" s="15">
        <v>1500.0</v>
      </c>
      <c r="J21" s="16">
        <f t="shared" ref="J21:J48" si="7">I21*A21</f>
        <v>1500</v>
      </c>
      <c r="K21" s="16">
        <f t="shared" ref="K21:K48" si="8">E21-J21</f>
        <v>500</v>
      </c>
      <c r="L21" s="30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  <c r="AA21" s="3"/>
    </row>
    <row r="22">
      <c r="A22" s="13">
        <v>2.0</v>
      </c>
      <c r="B22" s="12" t="s">
        <v>5</v>
      </c>
      <c r="C22" s="14" t="s">
        <v>69</v>
      </c>
      <c r="D22" s="15">
        <v>1200.0</v>
      </c>
      <c r="E22" s="15">
        <f t="shared" si="6"/>
        <v>2400</v>
      </c>
      <c r="F22" s="16"/>
      <c r="G22" s="24"/>
      <c r="H22" s="24"/>
      <c r="I22" s="15">
        <v>560.0</v>
      </c>
      <c r="J22" s="16">
        <f t="shared" si="7"/>
        <v>1120</v>
      </c>
      <c r="K22" s="16">
        <f t="shared" si="8"/>
        <v>1280</v>
      </c>
      <c r="L22" s="31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  <c r="AA22" s="3"/>
    </row>
    <row r="23">
      <c r="A23" s="13">
        <v>2.2</v>
      </c>
      <c r="B23" s="12" t="s">
        <v>17</v>
      </c>
      <c r="C23" s="14" t="s">
        <v>86</v>
      </c>
      <c r="D23" s="15">
        <v>1500.0</v>
      </c>
      <c r="E23" s="15">
        <f t="shared" si="6"/>
        <v>3300</v>
      </c>
      <c r="F23" s="16"/>
      <c r="G23" s="24"/>
      <c r="H23" s="24"/>
      <c r="I23" s="15">
        <v>1250.0</v>
      </c>
      <c r="J23" s="16">
        <f t="shared" si="7"/>
        <v>2750</v>
      </c>
      <c r="K23" s="16">
        <f t="shared" si="8"/>
        <v>550</v>
      </c>
      <c r="L23" s="31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  <c r="AA23" s="3"/>
    </row>
    <row r="24">
      <c r="A24" s="13">
        <v>4.0</v>
      </c>
      <c r="B24" s="12" t="s">
        <v>17</v>
      </c>
      <c r="C24" s="14" t="s">
        <v>159</v>
      </c>
      <c r="D24" s="15">
        <v>3800.0</v>
      </c>
      <c r="E24" s="15">
        <f t="shared" si="6"/>
        <v>15200</v>
      </c>
      <c r="F24" s="16"/>
      <c r="G24" s="24"/>
      <c r="H24" s="24"/>
      <c r="I24" s="15">
        <f>25000/11</f>
        <v>2272.727273</v>
      </c>
      <c r="J24" s="16">
        <f t="shared" si="7"/>
        <v>9090.909091</v>
      </c>
      <c r="K24" s="16">
        <f t="shared" si="8"/>
        <v>6109.090909</v>
      </c>
      <c r="L24" s="30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  <c r="AA24" s="3"/>
    </row>
    <row r="25">
      <c r="A25" s="13">
        <v>3.0</v>
      </c>
      <c r="B25" s="12" t="s">
        <v>17</v>
      </c>
      <c r="C25" s="14" t="s">
        <v>62</v>
      </c>
      <c r="D25" s="15">
        <f>1800</f>
        <v>1800</v>
      </c>
      <c r="E25" s="15">
        <f t="shared" si="6"/>
        <v>5400</v>
      </c>
      <c r="F25" s="16"/>
      <c r="G25" s="24"/>
      <c r="H25" s="24"/>
      <c r="I25" s="15">
        <f>9000/8</f>
        <v>1125</v>
      </c>
      <c r="J25" s="16">
        <f t="shared" si="7"/>
        <v>3375</v>
      </c>
      <c r="K25" s="16">
        <f t="shared" si="8"/>
        <v>2025</v>
      </c>
      <c r="L25" s="30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  <c r="AA25" s="3"/>
    </row>
    <row r="26">
      <c r="A26" s="13">
        <v>4.0</v>
      </c>
      <c r="B26" s="12" t="s">
        <v>5</v>
      </c>
      <c r="C26" s="14" t="s">
        <v>160</v>
      </c>
      <c r="D26" s="15">
        <v>2000.0</v>
      </c>
      <c r="E26" s="15">
        <f t="shared" si="6"/>
        <v>8000</v>
      </c>
      <c r="F26" s="16"/>
      <c r="G26" s="24"/>
      <c r="H26" s="24"/>
      <c r="I26" s="15">
        <v>1500.0</v>
      </c>
      <c r="J26" s="16">
        <f t="shared" si="7"/>
        <v>6000</v>
      </c>
      <c r="K26" s="16">
        <f t="shared" si="8"/>
        <v>2000</v>
      </c>
      <c r="L26" s="31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  <c r="AA26" s="3"/>
    </row>
    <row r="27">
      <c r="A27" s="13">
        <v>2.0</v>
      </c>
      <c r="B27" s="12" t="s">
        <v>17</v>
      </c>
      <c r="C27" s="14" t="s">
        <v>271</v>
      </c>
      <c r="D27" s="15">
        <v>2700.0</v>
      </c>
      <c r="E27" s="15">
        <f t="shared" si="6"/>
        <v>5400</v>
      </c>
      <c r="F27" s="16"/>
      <c r="G27" s="24"/>
      <c r="H27" s="24"/>
      <c r="I27" s="15">
        <f>18000/8</f>
        <v>2250</v>
      </c>
      <c r="J27" s="16">
        <f t="shared" si="7"/>
        <v>4500</v>
      </c>
      <c r="K27" s="16">
        <f t="shared" si="8"/>
        <v>900</v>
      </c>
      <c r="L27" s="30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  <c r="AA27" s="3"/>
    </row>
    <row r="28">
      <c r="A28" s="13">
        <v>1.0</v>
      </c>
      <c r="B28" s="12" t="s">
        <v>17</v>
      </c>
      <c r="C28" s="14" t="s">
        <v>79</v>
      </c>
      <c r="D28" s="15">
        <v>3500.0</v>
      </c>
      <c r="E28" s="15">
        <f t="shared" si="6"/>
        <v>3500</v>
      </c>
      <c r="F28" s="16"/>
      <c r="G28" s="24"/>
      <c r="H28" s="24"/>
      <c r="I28" s="15">
        <f>10000/4</f>
        <v>2500</v>
      </c>
      <c r="J28" s="16">
        <f t="shared" si="7"/>
        <v>2500</v>
      </c>
      <c r="K28" s="16">
        <f t="shared" si="8"/>
        <v>1000</v>
      </c>
      <c r="L28" s="31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  <c r="AA28" s="3"/>
    </row>
    <row r="29">
      <c r="A29" s="13">
        <v>2.0</v>
      </c>
      <c r="B29" s="12" t="s">
        <v>5</v>
      </c>
      <c r="C29" s="14" t="s">
        <v>38</v>
      </c>
      <c r="D29" s="15">
        <v>1300.0</v>
      </c>
      <c r="E29" s="15">
        <f t="shared" si="6"/>
        <v>2600</v>
      </c>
      <c r="F29" s="16"/>
      <c r="G29" s="24"/>
      <c r="H29" s="24"/>
      <c r="I29" s="15">
        <f>57000/70</f>
        <v>814.2857143</v>
      </c>
      <c r="J29" s="16">
        <f t="shared" si="7"/>
        <v>1628.571429</v>
      </c>
      <c r="K29" s="16">
        <f t="shared" si="8"/>
        <v>971.4285714</v>
      </c>
      <c r="L29" s="30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  <c r="AA29" s="3"/>
    </row>
    <row r="30">
      <c r="A30" s="13">
        <v>6.0</v>
      </c>
      <c r="B30" s="12" t="s">
        <v>28</v>
      </c>
      <c r="C30" s="14" t="s">
        <v>33</v>
      </c>
      <c r="D30" s="15">
        <v>1800.0</v>
      </c>
      <c r="E30" s="15">
        <f t="shared" si="6"/>
        <v>10800</v>
      </c>
      <c r="F30" s="16"/>
      <c r="G30" s="24"/>
      <c r="H30" s="24"/>
      <c r="I30" s="15">
        <v>1000.0</v>
      </c>
      <c r="J30" s="16">
        <f t="shared" si="7"/>
        <v>6000</v>
      </c>
      <c r="K30" s="16">
        <f t="shared" si="8"/>
        <v>4800</v>
      </c>
      <c r="L30" s="30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  <c r="AA30" s="3"/>
    </row>
    <row r="31">
      <c r="A31" s="13">
        <v>1.0</v>
      </c>
      <c r="B31" s="12" t="s">
        <v>5</v>
      </c>
      <c r="C31" s="14" t="s">
        <v>73</v>
      </c>
      <c r="D31" s="15">
        <v>2000.0</v>
      </c>
      <c r="E31" s="15">
        <f t="shared" si="6"/>
        <v>2000</v>
      </c>
      <c r="F31" s="16"/>
      <c r="G31" s="24"/>
      <c r="H31" s="24"/>
      <c r="I31" s="15">
        <f>15000/12</f>
        <v>1250</v>
      </c>
      <c r="J31" s="16">
        <f t="shared" si="7"/>
        <v>1250</v>
      </c>
      <c r="K31" s="16">
        <f t="shared" si="8"/>
        <v>750</v>
      </c>
      <c r="L31" s="31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  <c r="AA31" s="3"/>
    </row>
    <row r="32">
      <c r="A32" s="13">
        <v>6.0</v>
      </c>
      <c r="B32" s="12" t="s">
        <v>28</v>
      </c>
      <c r="C32" s="14" t="s">
        <v>147</v>
      </c>
      <c r="D32" s="15">
        <v>500.0</v>
      </c>
      <c r="E32" s="15">
        <f t="shared" si="6"/>
        <v>3000</v>
      </c>
      <c r="F32" s="16"/>
      <c r="G32" s="24"/>
      <c r="H32" s="24"/>
      <c r="I32" s="15">
        <f>1500/6</f>
        <v>250</v>
      </c>
      <c r="J32" s="16">
        <f t="shared" si="7"/>
        <v>1500</v>
      </c>
      <c r="K32" s="16">
        <f t="shared" si="8"/>
        <v>1500</v>
      </c>
      <c r="L32" s="30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  <c r="AA32" s="3"/>
    </row>
    <row r="33">
      <c r="A33" s="13">
        <v>6.0</v>
      </c>
      <c r="B33" s="12" t="s">
        <v>17</v>
      </c>
      <c r="C33" s="14" t="s">
        <v>35</v>
      </c>
      <c r="D33" s="15">
        <v>1600.0</v>
      </c>
      <c r="E33" s="15">
        <f t="shared" si="6"/>
        <v>9600</v>
      </c>
      <c r="F33" s="16"/>
      <c r="G33" s="24"/>
      <c r="H33" s="24"/>
      <c r="I33" s="15">
        <v>0.0</v>
      </c>
      <c r="J33" s="16">
        <f t="shared" si="7"/>
        <v>0</v>
      </c>
      <c r="K33" s="16">
        <f t="shared" si="8"/>
        <v>9600</v>
      </c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  <c r="AA33" s="3"/>
    </row>
    <row r="34">
      <c r="A34" s="13">
        <v>1.0</v>
      </c>
      <c r="B34" s="12" t="s">
        <v>28</v>
      </c>
      <c r="C34" s="14" t="s">
        <v>78</v>
      </c>
      <c r="D34" s="15">
        <v>5000.0</v>
      </c>
      <c r="E34" s="15">
        <f t="shared" si="6"/>
        <v>5000</v>
      </c>
      <c r="F34" s="16"/>
      <c r="G34" s="24"/>
      <c r="H34" s="24"/>
      <c r="I34" s="15">
        <v>4000.0</v>
      </c>
      <c r="J34" s="16">
        <f t="shared" si="7"/>
        <v>4000</v>
      </c>
      <c r="K34" s="16">
        <f t="shared" si="8"/>
        <v>1000</v>
      </c>
      <c r="L34" s="30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  <c r="AA34" s="3"/>
    </row>
    <row r="35">
      <c r="A35" s="13">
        <v>2.2</v>
      </c>
      <c r="B35" s="12" t="s">
        <v>17</v>
      </c>
      <c r="C35" s="14" t="s">
        <v>198</v>
      </c>
      <c r="D35" s="15">
        <v>1800.0</v>
      </c>
      <c r="E35" s="15">
        <f t="shared" si="6"/>
        <v>3960</v>
      </c>
      <c r="F35" s="16"/>
      <c r="G35" s="24"/>
      <c r="H35" s="24"/>
      <c r="I35" s="15">
        <v>1500.0</v>
      </c>
      <c r="J35" s="16">
        <f t="shared" si="7"/>
        <v>3300</v>
      </c>
      <c r="K35" s="16">
        <f t="shared" si="8"/>
        <v>660</v>
      </c>
      <c r="L35" s="31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  <c r="AA35" s="3"/>
    </row>
    <row r="36">
      <c r="A36" s="13">
        <v>1.0</v>
      </c>
      <c r="B36" s="12" t="s">
        <v>42</v>
      </c>
      <c r="C36" s="14" t="s">
        <v>76</v>
      </c>
      <c r="D36" s="15">
        <v>18000.0</v>
      </c>
      <c r="E36" s="15">
        <f t="shared" si="6"/>
        <v>18000</v>
      </c>
      <c r="F36" s="16"/>
      <c r="G36" s="24"/>
      <c r="H36" s="24"/>
      <c r="I36" s="15">
        <v>14000.0</v>
      </c>
      <c r="J36" s="16">
        <f t="shared" si="7"/>
        <v>14000</v>
      </c>
      <c r="K36" s="16">
        <f t="shared" si="8"/>
        <v>4000</v>
      </c>
      <c r="L36" s="30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  <c r="AA36" s="3"/>
    </row>
    <row r="37">
      <c r="A37" s="13">
        <v>0.5</v>
      </c>
      <c r="B37" s="12" t="s">
        <v>42</v>
      </c>
      <c r="C37" s="14" t="s">
        <v>66</v>
      </c>
      <c r="D37" s="15">
        <v>12500.0</v>
      </c>
      <c r="E37" s="15">
        <f t="shared" si="6"/>
        <v>6250</v>
      </c>
      <c r="F37" s="16"/>
      <c r="G37" s="24"/>
      <c r="H37" s="24"/>
      <c r="I37" s="15">
        <v>8500.0</v>
      </c>
      <c r="J37" s="16">
        <f t="shared" si="7"/>
        <v>4250</v>
      </c>
      <c r="K37" s="16">
        <f t="shared" si="8"/>
        <v>2000</v>
      </c>
      <c r="L37" s="30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  <c r="AA37" s="3"/>
    </row>
    <row r="38">
      <c r="A38" s="13">
        <v>1.0</v>
      </c>
      <c r="B38" s="12" t="s">
        <v>42</v>
      </c>
      <c r="C38" s="14" t="s">
        <v>70</v>
      </c>
      <c r="D38" s="15">
        <v>14000.0</v>
      </c>
      <c r="E38" s="15">
        <f t="shared" si="6"/>
        <v>14000</v>
      </c>
      <c r="F38" s="16"/>
      <c r="G38" s="24"/>
      <c r="H38" s="24"/>
      <c r="I38" s="15">
        <v>12000.0</v>
      </c>
      <c r="J38" s="16">
        <f t="shared" si="7"/>
        <v>12000</v>
      </c>
      <c r="K38" s="16">
        <f t="shared" si="8"/>
        <v>2000</v>
      </c>
      <c r="L38" s="30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  <c r="AA38" s="3"/>
    </row>
    <row r="39">
      <c r="A39" s="13">
        <v>1.0</v>
      </c>
      <c r="B39" s="12" t="s">
        <v>42</v>
      </c>
      <c r="C39" s="14" t="s">
        <v>68</v>
      </c>
      <c r="D39" s="15">
        <v>13000.0</v>
      </c>
      <c r="E39" s="15">
        <f t="shared" si="6"/>
        <v>13000</v>
      </c>
      <c r="F39" s="16"/>
      <c r="G39" s="24"/>
      <c r="H39" s="24"/>
      <c r="I39" s="15">
        <v>9000.0</v>
      </c>
      <c r="J39" s="16">
        <f t="shared" si="7"/>
        <v>9000</v>
      </c>
      <c r="K39" s="16">
        <f t="shared" si="8"/>
        <v>4000</v>
      </c>
      <c r="L39" s="30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  <c r="AA39" s="3"/>
    </row>
    <row r="40">
      <c r="A40" s="13">
        <v>1.0</v>
      </c>
      <c r="B40" s="12" t="s">
        <v>32</v>
      </c>
      <c r="C40" s="14" t="s">
        <v>299</v>
      </c>
      <c r="D40" s="15">
        <v>56000.0</v>
      </c>
      <c r="E40" s="15">
        <f t="shared" si="6"/>
        <v>56000</v>
      </c>
      <c r="F40" s="16" t="s">
        <v>2</v>
      </c>
      <c r="G40" s="24"/>
      <c r="H40" s="24"/>
      <c r="I40" s="15">
        <v>52000.0</v>
      </c>
      <c r="J40" s="16">
        <f t="shared" si="7"/>
        <v>52000</v>
      </c>
      <c r="K40" s="16">
        <f t="shared" si="8"/>
        <v>4000</v>
      </c>
      <c r="L40" s="30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  <c r="AA40" s="3"/>
    </row>
    <row r="41">
      <c r="A41" s="13">
        <v>1.0</v>
      </c>
      <c r="B41" s="12" t="s">
        <v>13</v>
      </c>
      <c r="C41" s="14" t="s">
        <v>19</v>
      </c>
      <c r="D41" s="15">
        <v>38000.0</v>
      </c>
      <c r="E41" s="15">
        <f t="shared" si="6"/>
        <v>38000</v>
      </c>
      <c r="F41" s="16"/>
      <c r="G41" s="24"/>
      <c r="H41" s="24"/>
      <c r="I41" s="15">
        <v>26000.0</v>
      </c>
      <c r="J41" s="16">
        <f t="shared" si="7"/>
        <v>26000</v>
      </c>
      <c r="K41" s="16">
        <f t="shared" si="8"/>
        <v>12000</v>
      </c>
      <c r="L41" s="30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  <c r="AA41" s="3"/>
    </row>
    <row r="42">
      <c r="A42" s="13">
        <v>4.1</v>
      </c>
      <c r="B42" s="12" t="s">
        <v>17</v>
      </c>
      <c r="C42" s="14" t="s">
        <v>153</v>
      </c>
      <c r="D42" s="15">
        <v>4000.0</v>
      </c>
      <c r="E42" s="15">
        <f t="shared" si="6"/>
        <v>16400</v>
      </c>
      <c r="F42" s="16"/>
      <c r="G42" s="24"/>
      <c r="H42" s="24"/>
      <c r="I42" s="15">
        <v>4000.0</v>
      </c>
      <c r="J42" s="16">
        <f t="shared" si="7"/>
        <v>16400</v>
      </c>
      <c r="K42" s="16">
        <f t="shared" si="8"/>
        <v>0</v>
      </c>
      <c r="L42" s="30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  <c r="AA42" s="3"/>
    </row>
    <row r="43">
      <c r="A43" s="13">
        <v>4.2</v>
      </c>
      <c r="B43" s="12" t="s">
        <v>17</v>
      </c>
      <c r="C43" s="14" t="s">
        <v>15</v>
      </c>
      <c r="D43" s="15">
        <v>4000.0</v>
      </c>
      <c r="E43" s="15">
        <f t="shared" si="6"/>
        <v>16800</v>
      </c>
      <c r="F43" s="16"/>
      <c r="G43" s="24"/>
      <c r="H43" s="24"/>
      <c r="I43" s="15">
        <v>4000.0</v>
      </c>
      <c r="J43" s="16">
        <f t="shared" si="7"/>
        <v>16800</v>
      </c>
      <c r="K43" s="16">
        <f t="shared" si="8"/>
        <v>0</v>
      </c>
      <c r="L43" s="30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  <c r="AA43" s="3"/>
    </row>
    <row r="44">
      <c r="A44" s="13">
        <v>2.0</v>
      </c>
      <c r="B44" s="12" t="s">
        <v>17</v>
      </c>
      <c r="C44" s="14" t="s">
        <v>45</v>
      </c>
      <c r="D44" s="15">
        <v>3000.0</v>
      </c>
      <c r="E44" s="15">
        <f t="shared" si="6"/>
        <v>6000</v>
      </c>
      <c r="F44" s="16"/>
      <c r="G44" s="24"/>
      <c r="H44" s="24"/>
      <c r="I44" s="15">
        <f>32000/15</f>
        <v>2133.333333</v>
      </c>
      <c r="J44" s="16">
        <f t="shared" si="7"/>
        <v>4266.666667</v>
      </c>
      <c r="K44" s="16">
        <f t="shared" si="8"/>
        <v>1733.333333</v>
      </c>
      <c r="L44" s="30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  <c r="AA44" s="3"/>
    </row>
    <row r="45">
      <c r="A45" s="13">
        <v>0.5</v>
      </c>
      <c r="B45" s="12" t="s">
        <v>13</v>
      </c>
      <c r="C45" s="14" t="s">
        <v>72</v>
      </c>
      <c r="D45" s="15">
        <f>62000</f>
        <v>62000</v>
      </c>
      <c r="E45" s="15">
        <f t="shared" si="6"/>
        <v>31000</v>
      </c>
      <c r="F45" s="16"/>
      <c r="G45" s="24"/>
      <c r="H45" s="24"/>
      <c r="I45" s="15">
        <v>56000.0</v>
      </c>
      <c r="J45" s="16">
        <f t="shared" si="7"/>
        <v>28000</v>
      </c>
      <c r="K45" s="16">
        <f t="shared" si="8"/>
        <v>3000</v>
      </c>
      <c r="L45" s="30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  <c r="AA45" s="3"/>
    </row>
    <row r="46">
      <c r="A46" s="13">
        <v>6.0</v>
      </c>
      <c r="B46" s="12" t="s">
        <v>17</v>
      </c>
      <c r="C46" s="14" t="s">
        <v>20</v>
      </c>
      <c r="D46" s="15">
        <v>1400.0</v>
      </c>
      <c r="E46" s="15">
        <f t="shared" si="6"/>
        <v>8400</v>
      </c>
      <c r="F46" s="16"/>
      <c r="G46" s="24"/>
      <c r="H46" s="24"/>
      <c r="I46" s="15">
        <v>1000.0</v>
      </c>
      <c r="J46" s="16">
        <f t="shared" si="7"/>
        <v>6000</v>
      </c>
      <c r="K46" s="16">
        <f t="shared" si="8"/>
        <v>2400</v>
      </c>
      <c r="L46" s="30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  <c r="AA46" s="3"/>
    </row>
    <row r="47">
      <c r="A47" s="13">
        <v>8.0</v>
      </c>
      <c r="B47" s="12" t="s">
        <v>17</v>
      </c>
      <c r="C47" s="14" t="s">
        <v>156</v>
      </c>
      <c r="D47" s="15">
        <v>1000.0</v>
      </c>
      <c r="E47" s="15">
        <f t="shared" si="6"/>
        <v>8000</v>
      </c>
      <c r="F47" s="16"/>
      <c r="G47" s="24"/>
      <c r="H47" s="24"/>
      <c r="I47" s="15">
        <v>530.0</v>
      </c>
      <c r="J47" s="16">
        <f t="shared" si="7"/>
        <v>4240</v>
      </c>
      <c r="K47" s="16">
        <f t="shared" si="8"/>
        <v>3760</v>
      </c>
      <c r="L47" s="30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  <c r="AA47" s="3"/>
    </row>
    <row r="48">
      <c r="A48" s="13">
        <v>1.0</v>
      </c>
      <c r="B48" s="12" t="s">
        <v>17</v>
      </c>
      <c r="C48" s="14" t="s">
        <v>220</v>
      </c>
      <c r="D48" s="15">
        <v>3500.0</v>
      </c>
      <c r="E48" s="15">
        <f t="shared" si="6"/>
        <v>3500</v>
      </c>
      <c r="F48" s="16"/>
      <c r="G48" s="24"/>
      <c r="H48" s="24"/>
      <c r="I48" s="15">
        <f>25000/9</f>
        <v>2777.777778</v>
      </c>
      <c r="J48" s="16">
        <f t="shared" si="7"/>
        <v>2777.777778</v>
      </c>
      <c r="K48" s="16">
        <f t="shared" si="8"/>
        <v>722.2222222</v>
      </c>
      <c r="L48" s="30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  <c r="AA48" s="3"/>
    </row>
    <row r="49">
      <c r="A49" s="13"/>
      <c r="B49" s="12"/>
      <c r="C49" s="14"/>
      <c r="D49" s="15"/>
      <c r="E49" s="16"/>
      <c r="F49" s="16"/>
      <c r="G49" s="24"/>
      <c r="H49" s="24"/>
      <c r="I49" s="16"/>
      <c r="J49" s="16"/>
      <c r="K49" s="16"/>
      <c r="L49" s="30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  <c r="AA49" s="3"/>
    </row>
    <row r="50">
      <c r="A50" s="13" t="s">
        <v>2</v>
      </c>
      <c r="B50" s="12"/>
      <c r="C50" s="14"/>
      <c r="D50" s="15"/>
      <c r="E50" s="16">
        <f>SUM(E21:E48)</f>
        <v>317510</v>
      </c>
      <c r="F50" s="16"/>
      <c r="G50" s="24"/>
      <c r="H50" s="24"/>
      <c r="I50" s="16"/>
      <c r="J50" s="16"/>
      <c r="K50" s="16">
        <f>SUM(K21:K48)</f>
        <v>73261.07504</v>
      </c>
      <c r="L50" s="30">
        <f>K50/E50</f>
        <v>0.2307362761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  <c r="AA50" s="3"/>
    </row>
    <row r="51">
      <c r="A51" s="33"/>
      <c r="B51" s="34"/>
      <c r="C51" s="2"/>
      <c r="D51" s="3"/>
      <c r="E51" s="3"/>
      <c r="F51" s="3"/>
      <c r="G51" s="2"/>
      <c r="H51" s="2"/>
      <c r="I51" s="2"/>
      <c r="J51" s="2"/>
      <c r="K51" s="3"/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  <c r="AA51" s="3"/>
    </row>
    <row r="52">
      <c r="A52" s="13"/>
      <c r="B52" s="12"/>
      <c r="C52" s="14"/>
      <c r="D52" s="15"/>
      <c r="E52" s="3"/>
      <c r="F52" s="3"/>
      <c r="G52" s="2"/>
      <c r="H52" s="2"/>
      <c r="I52" s="2"/>
      <c r="J52" s="2"/>
      <c r="K52" s="3"/>
      <c r="L52" s="4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  <c r="AA52" s="3"/>
    </row>
    <row r="53">
      <c r="A53" s="13"/>
      <c r="B53" s="12"/>
      <c r="C53" s="14"/>
      <c r="D53" s="15"/>
      <c r="E53" s="3"/>
      <c r="F53" s="3"/>
      <c r="G53" s="2"/>
      <c r="H53" s="2"/>
      <c r="I53" s="2"/>
      <c r="J53" s="2"/>
      <c r="K53" s="3"/>
      <c r="L53" s="4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  <c r="AA53" s="3"/>
    </row>
    <row r="54">
      <c r="A54" s="33" t="s">
        <v>88</v>
      </c>
      <c r="B54" s="34">
        <f>E50+F15</f>
        <v>601457</v>
      </c>
      <c r="C54" s="2"/>
      <c r="D54" s="3"/>
      <c r="E54" s="3"/>
      <c r="F54" s="3"/>
      <c r="G54" s="2"/>
      <c r="H54" s="2"/>
      <c r="I54" s="2"/>
      <c r="J54" s="2"/>
      <c r="K54" s="3"/>
      <c r="L54" s="4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  <c r="AA54" s="3"/>
    </row>
    <row r="55">
      <c r="A55" s="1"/>
      <c r="B55" s="2"/>
      <c r="C55" s="2"/>
      <c r="D55" s="3"/>
      <c r="E55" s="3"/>
      <c r="F55" s="3"/>
      <c r="G55" s="2"/>
      <c r="H55" s="2"/>
      <c r="I55" s="2"/>
      <c r="J55" s="2"/>
      <c r="K55" s="3"/>
      <c r="L55" s="4"/>
      <c r="M55" s="2"/>
      <c r="N55" s="2"/>
      <c r="O55" s="2"/>
      <c r="P55" s="2"/>
      <c r="Q55" s="3"/>
      <c r="R55" s="9"/>
      <c r="S55" s="3"/>
      <c r="T55" s="3"/>
      <c r="U55" s="1"/>
      <c r="V55" s="3"/>
      <c r="W55" s="3"/>
      <c r="X55" s="3"/>
      <c r="Y55" s="3"/>
      <c r="Z55" s="3"/>
      <c r="AA55" s="3"/>
    </row>
    <row r="56">
      <c r="A56" s="33" t="s">
        <v>89</v>
      </c>
      <c r="B56" s="34">
        <f>K50+K15</f>
        <v>176161.4084</v>
      </c>
      <c r="C56" s="2"/>
      <c r="D56" s="3"/>
      <c r="E56" s="3"/>
      <c r="F56" s="3"/>
      <c r="G56" s="2"/>
      <c r="H56" s="2"/>
      <c r="I56" s="2"/>
      <c r="J56" s="2"/>
      <c r="K56" s="3"/>
      <c r="L56" s="4"/>
      <c r="M56" s="2"/>
      <c r="N56" s="2"/>
      <c r="O56" s="2"/>
      <c r="P56" s="2"/>
      <c r="Q56" s="3"/>
      <c r="R56" s="2"/>
      <c r="S56" s="3"/>
      <c r="T56" s="3"/>
      <c r="U56" s="1"/>
      <c r="V56" s="3"/>
      <c r="W56" s="3"/>
      <c r="X56" s="3"/>
      <c r="Y56" s="3"/>
      <c r="Z56" s="3"/>
      <c r="AA56" s="3"/>
    </row>
    <row r="57">
      <c r="A57" s="1"/>
      <c r="B57" s="2"/>
      <c r="C57" s="2"/>
      <c r="D57" s="3"/>
      <c r="E57" s="3"/>
      <c r="F57" s="3"/>
      <c r="G57" s="2"/>
      <c r="H57" s="2"/>
      <c r="I57" s="2"/>
      <c r="J57" s="2"/>
      <c r="K57" s="3"/>
      <c r="L57" s="4"/>
      <c r="M57" s="2"/>
      <c r="N57" s="2"/>
      <c r="O57" s="2"/>
      <c r="P57" s="2"/>
      <c r="Q57" s="3"/>
      <c r="R57" s="2"/>
      <c r="S57" s="3"/>
      <c r="T57" s="3"/>
      <c r="U57" s="1"/>
      <c r="V57" s="3"/>
      <c r="W57" s="3"/>
      <c r="X57" s="3"/>
      <c r="Y57" s="3"/>
      <c r="Z57" s="3"/>
      <c r="AA57" s="3"/>
    </row>
    <row r="58">
      <c r="A58" s="33" t="s">
        <v>90</v>
      </c>
      <c r="B58" s="35">
        <f>B56/B54</f>
        <v>0.29289111</v>
      </c>
      <c r="C58" s="2"/>
      <c r="D58" s="3"/>
      <c r="E58" s="3"/>
      <c r="F58" s="3"/>
      <c r="G58" s="2"/>
      <c r="H58" s="2"/>
      <c r="I58" s="2"/>
      <c r="J58" s="2"/>
      <c r="K58" s="3"/>
      <c r="L58" s="4"/>
      <c r="M58" s="2"/>
      <c r="N58" s="2"/>
      <c r="O58" s="2"/>
      <c r="P58" s="2"/>
      <c r="Q58" s="2"/>
      <c r="R58" s="2"/>
      <c r="S58" s="3"/>
      <c r="T58" s="3"/>
      <c r="U58" s="1"/>
      <c r="V58" s="3"/>
      <c r="W58" s="3"/>
      <c r="X58" s="2"/>
      <c r="Y58" s="2"/>
      <c r="Z58" s="2"/>
      <c r="AA58" s="2"/>
    </row>
    <row r="59">
      <c r="A59" s="1"/>
      <c r="B59" s="2"/>
      <c r="C59" s="2"/>
      <c r="D59" s="3"/>
      <c r="E59" s="3"/>
      <c r="F59" s="3"/>
      <c r="G59" s="2"/>
      <c r="H59" s="2"/>
      <c r="I59" s="2"/>
      <c r="J59" s="2"/>
      <c r="K59" s="3"/>
      <c r="L59" s="4"/>
      <c r="M59" s="2"/>
      <c r="N59" s="2"/>
      <c r="O59" s="2"/>
      <c r="P59" s="2"/>
      <c r="Q59" s="3"/>
      <c r="R59" s="9"/>
      <c r="S59" s="3"/>
      <c r="T59" s="3"/>
      <c r="U59" s="1"/>
      <c r="V59" s="3"/>
      <c r="W59" s="3"/>
      <c r="X59" s="3"/>
      <c r="Y59" s="3"/>
      <c r="Z59" s="3"/>
      <c r="AA59" s="3"/>
    </row>
    <row r="60" ht="15.75" customHeight="1">
      <c r="A60" s="36" t="s">
        <v>91</v>
      </c>
      <c r="C60" s="37"/>
      <c r="D60" s="6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9"/>
      <c r="S60" s="3"/>
      <c r="T60" s="3"/>
      <c r="U60" s="1"/>
      <c r="V60" s="3"/>
      <c r="W60" s="3"/>
      <c r="X60" s="3"/>
      <c r="Y60" s="3"/>
      <c r="Z60" s="3"/>
      <c r="AA60" s="3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2"/>
      <c r="M61" s="2"/>
      <c r="N61" s="2"/>
      <c r="O61" s="2"/>
      <c r="P61" s="2"/>
      <c r="Q61" s="3"/>
      <c r="R61" s="2"/>
      <c r="S61" s="3"/>
      <c r="T61" s="3"/>
      <c r="U61" s="1"/>
      <c r="V61" s="3"/>
      <c r="W61" s="3"/>
      <c r="X61" s="3"/>
      <c r="Y61" s="3"/>
      <c r="Z61" s="3"/>
      <c r="AA61" s="3"/>
    </row>
    <row r="62" ht="15.75" customHeight="1">
      <c r="A62" s="1"/>
      <c r="B62" s="2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2"/>
      <c r="S62" s="3"/>
      <c r="T62" s="3"/>
      <c r="U62" s="1"/>
      <c r="V62" s="3"/>
      <c r="W62" s="3"/>
      <c r="X62" s="3"/>
      <c r="Y62" s="3"/>
      <c r="Z62" s="3"/>
      <c r="AA62" s="3"/>
    </row>
    <row r="63" ht="15.75" customHeight="1">
      <c r="A63" s="1"/>
      <c r="B63" s="1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3"/>
      <c r="T63" s="3"/>
      <c r="U63" s="1"/>
      <c r="V63" s="3"/>
      <c r="W63" s="3"/>
      <c r="X63" s="3"/>
      <c r="Y63" s="3"/>
      <c r="Z63" s="3"/>
      <c r="AA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2"/>
      <c r="S64" s="3"/>
      <c r="T64" s="3"/>
      <c r="U64" s="1"/>
      <c r="X64" s="3"/>
      <c r="Y64" s="3"/>
      <c r="Z64" s="3"/>
      <c r="AA64" s="3"/>
    </row>
    <row r="65" ht="15.75" customHeight="1">
      <c r="A65" s="39"/>
      <c r="B65" s="40" t="s">
        <v>92</v>
      </c>
      <c r="C65" s="41" t="s">
        <v>93</v>
      </c>
      <c r="D65" s="42" t="s">
        <v>94</v>
      </c>
      <c r="E65" s="42" t="s">
        <v>95</v>
      </c>
      <c r="F65" s="42" t="s">
        <v>96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3"/>
      <c r="T65" s="3"/>
      <c r="U65" s="1"/>
      <c r="V65" s="3"/>
      <c r="W65" s="9"/>
      <c r="X65" s="3"/>
      <c r="Y65" s="3"/>
      <c r="Z65" s="3"/>
      <c r="AA65" s="3"/>
    </row>
    <row r="66" ht="15.75" customHeight="1">
      <c r="A66" s="43"/>
      <c r="B66" s="44">
        <f>'22-01-2026 '!B126</f>
        <v>213537.25</v>
      </c>
      <c r="C66" s="44">
        <f>'22-01-2026 '!C126</f>
        <v>1338479.728</v>
      </c>
      <c r="D66" s="44">
        <f>'22-01-2026 '!D126</f>
        <v>2388443.928</v>
      </c>
      <c r="E66" s="44">
        <f>'22-01-2026 '!E126</f>
        <v>0</v>
      </c>
      <c r="F66" s="44">
        <f>'22-01-2026 '!F126</f>
        <v>637428.4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  <c r="AA66" s="3"/>
    </row>
    <row r="67" ht="15.75" customHeight="1">
      <c r="A67" s="1"/>
      <c r="B67" s="46"/>
      <c r="C67" s="46"/>
      <c r="D67" s="46"/>
      <c r="E67" s="4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2"/>
      <c r="S67" s="3"/>
      <c r="T67" s="3"/>
      <c r="U67" s="1"/>
      <c r="V67" s="3"/>
      <c r="W67" s="3"/>
      <c r="X67" s="3"/>
      <c r="Y67" s="3"/>
      <c r="Z67" s="3"/>
      <c r="AA67" s="3"/>
    </row>
    <row r="68" ht="15.75" customHeight="1">
      <c r="A68" s="40" t="s">
        <v>97</v>
      </c>
      <c r="B68" s="47"/>
      <c r="C68" s="47"/>
      <c r="D68" s="47"/>
      <c r="E68" s="47"/>
      <c r="F68" s="48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2"/>
      <c r="S68" s="3"/>
      <c r="T68" s="3"/>
      <c r="U68" s="1"/>
      <c r="V68" s="3"/>
      <c r="W68" s="3"/>
      <c r="X68" s="3"/>
      <c r="Y68" s="3"/>
      <c r="Z68" s="3"/>
      <c r="AA68" s="3"/>
    </row>
    <row r="69" ht="15.75" customHeight="1">
      <c r="A69" s="13" t="s">
        <v>98</v>
      </c>
      <c r="B69" s="49">
        <v>0.0</v>
      </c>
      <c r="C69" s="49">
        <v>0.0</v>
      </c>
      <c r="D69" s="49">
        <v>0.0</v>
      </c>
      <c r="E69" s="49">
        <v>0.0</v>
      </c>
      <c r="F69" s="49">
        <v>964956.69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2"/>
      <c r="S69" s="3"/>
      <c r="T69" s="3"/>
      <c r="U69" s="1"/>
      <c r="V69" s="3"/>
      <c r="W69" s="3"/>
      <c r="X69" s="3"/>
      <c r="Y69" s="3"/>
      <c r="Z69" s="3"/>
      <c r="AA69" s="3"/>
    </row>
    <row r="70" ht="15.75" customHeight="1">
      <c r="A70" s="13" t="s">
        <v>99</v>
      </c>
      <c r="B70" s="49">
        <v>0.0</v>
      </c>
      <c r="C70" s="49">
        <v>1008.47</v>
      </c>
      <c r="D70" s="49">
        <v>0.0</v>
      </c>
      <c r="E70" s="49">
        <v>0.0</v>
      </c>
      <c r="F70" s="49">
        <v>0.0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2"/>
      <c r="S70" s="3"/>
      <c r="T70" s="3"/>
      <c r="U70" s="1"/>
      <c r="V70" s="3"/>
      <c r="W70" s="3"/>
      <c r="X70" s="3"/>
      <c r="Y70" s="3"/>
      <c r="Z70" s="3"/>
      <c r="AA70" s="3"/>
    </row>
    <row r="71" ht="15.75" customHeight="1">
      <c r="A71" s="13" t="s">
        <v>100</v>
      </c>
      <c r="B71" s="49">
        <v>0.0</v>
      </c>
      <c r="C71" s="49">
        <v>0.0</v>
      </c>
      <c r="D71" s="49">
        <v>0.0</v>
      </c>
      <c r="E71" s="49">
        <v>0.0</v>
      </c>
      <c r="F71" s="49">
        <v>0.0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  <c r="AA71" s="3"/>
    </row>
    <row r="72" ht="15.75" customHeight="1">
      <c r="A72" s="13" t="s">
        <v>101</v>
      </c>
      <c r="B72" s="49">
        <v>0.0</v>
      </c>
      <c r="C72" s="49">
        <v>0.0</v>
      </c>
      <c r="D72" s="49">
        <v>0.0</v>
      </c>
      <c r="E72" s="49">
        <v>0.0</v>
      </c>
      <c r="F72" s="49">
        <v>0.0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  <c r="AA72" s="3"/>
    </row>
    <row r="73" ht="15.75" customHeight="1">
      <c r="A73" s="13" t="s">
        <v>102</v>
      </c>
      <c r="B73" s="49">
        <v>0.0</v>
      </c>
      <c r="C73" s="49">
        <v>0.0</v>
      </c>
      <c r="D73" s="49">
        <v>0.0</v>
      </c>
      <c r="E73" s="49">
        <v>0.0</v>
      </c>
      <c r="F73" s="49">
        <v>0.0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  <c r="AA73" s="3"/>
    </row>
    <row r="74" ht="15.75" customHeight="1">
      <c r="A74" s="13" t="s">
        <v>202</v>
      </c>
      <c r="B74" s="49">
        <v>0.0</v>
      </c>
      <c r="C74" s="49">
        <v>0.0</v>
      </c>
      <c r="D74" s="49">
        <v>0.0</v>
      </c>
      <c r="E74" s="49">
        <v>0.0</v>
      </c>
      <c r="F74" s="49">
        <v>0.0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V74" s="3"/>
      <c r="W74" s="3"/>
      <c r="X74" s="3"/>
      <c r="Y74" s="3"/>
      <c r="Z74" s="3"/>
      <c r="AA74" s="3"/>
    </row>
    <row r="75" ht="15.75" customHeight="1">
      <c r="A75" s="13" t="s">
        <v>203</v>
      </c>
      <c r="B75" s="49">
        <v>0.0</v>
      </c>
      <c r="C75" s="50">
        <f>C69*2%</f>
        <v>0</v>
      </c>
      <c r="D75" s="49">
        <f>SUM(D69:D70)*2%</f>
        <v>0</v>
      </c>
      <c r="E75" s="49">
        <v>0.0</v>
      </c>
      <c r="F75" s="49">
        <v>0.0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3"/>
      <c r="X75" s="3"/>
      <c r="Y75" s="3"/>
      <c r="Z75" s="3"/>
      <c r="AA75" s="3"/>
    </row>
    <row r="76" ht="15.75" customHeight="1">
      <c r="A76" s="13" t="s">
        <v>103</v>
      </c>
      <c r="B76" s="49">
        <v>0.0</v>
      </c>
      <c r="C76" s="50">
        <f>C69*0.6%+C72*0.6%</f>
        <v>0</v>
      </c>
      <c r="D76" s="49">
        <f>SUM(D69:D71)*0.6%</f>
        <v>0</v>
      </c>
      <c r="E76" s="49">
        <v>0.0</v>
      </c>
      <c r="F76" s="49">
        <v>0.0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  <c r="AA76" s="3"/>
    </row>
    <row r="77" ht="15.75" customHeight="1">
      <c r="A77" s="1"/>
      <c r="B77" s="46"/>
      <c r="C77" s="46"/>
      <c r="D77" s="46"/>
      <c r="E77" s="4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  <c r="AA77" s="3"/>
    </row>
    <row r="78" ht="15.75" customHeight="1">
      <c r="A78" s="51" t="s">
        <v>8</v>
      </c>
      <c r="B78" s="52">
        <f>SUM(B66:B76)</f>
        <v>213537.25</v>
      </c>
      <c r="C78" s="52">
        <f>C66+C69+C72+C73-C76+C70-C75</f>
        <v>1339488.198</v>
      </c>
      <c r="D78" s="53">
        <f>D66+D69+D72+D73-D76+D71-D75-D74</f>
        <v>2388443.928</v>
      </c>
      <c r="E78" s="52">
        <f>E66+E69+E72+E73-E76</f>
        <v>0</v>
      </c>
      <c r="F78" s="54">
        <f>F66+F69+F72+F73-F76-D71</f>
        <v>1602385.09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  <c r="AA78" s="3"/>
    </row>
    <row r="79" ht="15.75" customHeight="1">
      <c r="A79" s="1"/>
      <c r="B79" s="1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  <c r="AA79" s="3"/>
    </row>
    <row r="80" ht="15.75" customHeight="1">
      <c r="A80" s="40" t="s">
        <v>104</v>
      </c>
      <c r="B80" s="47"/>
      <c r="C80" s="47"/>
      <c r="D80" s="47"/>
      <c r="E80" s="47"/>
      <c r="F80" s="48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  <c r="AA80" s="3"/>
    </row>
    <row r="81" ht="15.75" customHeight="1">
      <c r="A81" s="13" t="s">
        <v>105</v>
      </c>
      <c r="B81" s="55">
        <v>1000.0</v>
      </c>
      <c r="C81" s="55">
        <v>0.0</v>
      </c>
      <c r="D81" s="55">
        <v>0.0</v>
      </c>
      <c r="E81" s="55">
        <v>0.0</v>
      </c>
      <c r="F81" s="26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  <c r="AA81" s="3"/>
    </row>
    <row r="82" ht="15.75" customHeight="1">
      <c r="A82" s="13" t="s">
        <v>106</v>
      </c>
      <c r="B82" s="49">
        <v>0.0</v>
      </c>
      <c r="C82" s="49">
        <v>0.0</v>
      </c>
      <c r="D82" s="49">
        <v>0.0</v>
      </c>
      <c r="E82" s="49">
        <v>0.0</v>
      </c>
      <c r="F82" s="26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  <c r="AA82" s="3"/>
    </row>
    <row r="83" ht="15.75" customHeight="1">
      <c r="A83" s="13" t="s">
        <v>107</v>
      </c>
      <c r="B83" s="55">
        <v>0.0</v>
      </c>
      <c r="C83" s="55">
        <v>0.0</v>
      </c>
      <c r="D83" s="49">
        <v>900000.0</v>
      </c>
      <c r="E83" s="55">
        <v>0.0</v>
      </c>
      <c r="F83" s="26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  <c r="AA83" s="3"/>
    </row>
    <row r="84" ht="15.75" customHeight="1">
      <c r="A84" s="13" t="s">
        <v>108</v>
      </c>
      <c r="B84" s="55">
        <v>2800.0</v>
      </c>
      <c r="C84" s="55">
        <v>0.0</v>
      </c>
      <c r="D84" s="55">
        <v>0.0</v>
      </c>
      <c r="E84" s="55">
        <v>0.0</v>
      </c>
      <c r="F84" s="26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  <c r="AA84" s="3"/>
    </row>
    <row r="85" ht="15.75" customHeight="1">
      <c r="A85" s="13" t="s">
        <v>109</v>
      </c>
      <c r="B85" s="55">
        <v>0.0</v>
      </c>
      <c r="C85" s="55">
        <v>235800.0</v>
      </c>
      <c r="D85" s="55">
        <v>0.0</v>
      </c>
      <c r="E85" s="55">
        <v>0.0</v>
      </c>
      <c r="F85" s="26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  <c r="AA85" s="3"/>
    </row>
    <row r="86" ht="15.75" customHeight="1">
      <c r="A86" s="13" t="s">
        <v>110</v>
      </c>
      <c r="B86" s="55">
        <v>0.0</v>
      </c>
      <c r="C86" s="55">
        <v>65000.0</v>
      </c>
      <c r="D86" s="55">
        <v>0.0</v>
      </c>
      <c r="E86" s="55">
        <v>0.0</v>
      </c>
      <c r="F86" s="26"/>
      <c r="G86" s="2"/>
      <c r="H86" s="56"/>
      <c r="I86" s="2"/>
      <c r="J86" s="2"/>
      <c r="K86" s="2"/>
      <c r="L86" s="2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  <c r="AA86" s="3"/>
    </row>
    <row r="87" ht="15.75" customHeight="1">
      <c r="A87" s="13" t="s">
        <v>111</v>
      </c>
      <c r="B87" s="49">
        <v>0.0</v>
      </c>
      <c r="C87" s="49">
        <v>0.0</v>
      </c>
      <c r="D87" s="49">
        <v>0.0</v>
      </c>
      <c r="E87" s="49">
        <v>0.0</v>
      </c>
      <c r="F87" s="26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  <c r="AA87" s="3"/>
    </row>
    <row r="88" ht="15.75" customHeight="1">
      <c r="A88" s="13" t="s">
        <v>112</v>
      </c>
      <c r="B88" s="49">
        <v>0.0</v>
      </c>
      <c r="C88" s="49">
        <v>0.0</v>
      </c>
      <c r="D88" s="49">
        <v>0.0</v>
      </c>
      <c r="E88" s="49">
        <v>0.0</v>
      </c>
      <c r="F88" s="26"/>
      <c r="G88" s="2"/>
      <c r="H88" s="56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  <c r="AA88" s="3"/>
    </row>
    <row r="89" ht="15.75" customHeight="1">
      <c r="A89" s="13" t="s">
        <v>113</v>
      </c>
      <c r="B89" s="49">
        <v>0.0</v>
      </c>
      <c r="C89" s="49">
        <v>0.0</v>
      </c>
      <c r="D89" s="49">
        <v>0.0</v>
      </c>
      <c r="E89" s="49">
        <v>0.0</v>
      </c>
      <c r="F89" s="26"/>
      <c r="G89" s="2"/>
      <c r="H89" s="56"/>
      <c r="I89" s="2"/>
      <c r="J89" s="2"/>
      <c r="K89" s="2"/>
      <c r="L89" s="2"/>
      <c r="M89" s="2"/>
      <c r="N89" s="2"/>
      <c r="O89" s="2"/>
      <c r="P89" s="2"/>
      <c r="Q89" s="3"/>
      <c r="R89" s="9"/>
      <c r="S89" s="3"/>
      <c r="T89" s="3"/>
      <c r="U89" s="1"/>
      <c r="V89" s="3"/>
      <c r="W89" s="3"/>
      <c r="X89" s="3"/>
      <c r="Y89" s="3"/>
      <c r="Z89" s="3"/>
      <c r="AA89" s="3"/>
    </row>
    <row r="90" ht="15.75" customHeight="1">
      <c r="A90" s="13" t="s">
        <v>114</v>
      </c>
      <c r="B90" s="55">
        <v>0.0</v>
      </c>
      <c r="C90" s="55">
        <v>0.0</v>
      </c>
      <c r="D90" s="55">
        <v>0.0</v>
      </c>
      <c r="E90" s="55">
        <v>0.0</v>
      </c>
      <c r="F90" s="26"/>
      <c r="G90" s="2"/>
      <c r="H90" s="56"/>
      <c r="I90" s="2"/>
      <c r="J90" s="2"/>
      <c r="K90" s="2"/>
      <c r="L90" s="2"/>
      <c r="M90" s="2"/>
      <c r="N90" s="2"/>
      <c r="O90" s="2"/>
      <c r="P90" s="2"/>
      <c r="Q90" s="3"/>
      <c r="R90" s="9"/>
      <c r="S90" s="3"/>
      <c r="T90" s="3"/>
      <c r="U90" s="1"/>
      <c r="V90" s="3"/>
      <c r="W90" s="3"/>
      <c r="X90" s="3"/>
      <c r="Y90" s="3"/>
      <c r="Z90" s="3"/>
      <c r="AA90" s="3"/>
    </row>
    <row r="91" ht="15.75" customHeight="1">
      <c r="A91" s="13" t="s">
        <v>115</v>
      </c>
      <c r="B91" s="55">
        <v>0.0</v>
      </c>
      <c r="C91" s="55">
        <v>0.0</v>
      </c>
      <c r="D91" s="55">
        <v>0.0</v>
      </c>
      <c r="E91" s="55">
        <v>0.0</v>
      </c>
      <c r="F91" s="26"/>
      <c r="G91" s="2"/>
      <c r="H91" s="56"/>
      <c r="I91" s="2"/>
      <c r="J91" s="2"/>
      <c r="K91" s="2"/>
      <c r="L91" s="2"/>
      <c r="M91" s="2"/>
      <c r="N91" s="2"/>
      <c r="O91" s="2"/>
      <c r="P91" s="2"/>
      <c r="Q91" s="3"/>
      <c r="R91" s="9"/>
      <c r="S91" s="3"/>
      <c r="T91" s="3"/>
      <c r="U91" s="1"/>
      <c r="V91" s="3"/>
      <c r="W91" s="3"/>
      <c r="X91" s="3"/>
      <c r="Y91" s="3"/>
      <c r="Z91" s="3"/>
      <c r="AA91" s="3"/>
    </row>
    <row r="92" ht="15.75" customHeight="1">
      <c r="A92" s="13" t="s">
        <v>116</v>
      </c>
      <c r="B92" s="50">
        <v>0.0</v>
      </c>
      <c r="C92" s="50">
        <v>0.0</v>
      </c>
      <c r="D92" s="49">
        <v>0.0</v>
      </c>
      <c r="E92" s="49">
        <v>0.0</v>
      </c>
      <c r="F92" s="26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V92" s="3"/>
      <c r="W92" s="3"/>
      <c r="X92" s="3"/>
      <c r="Y92" s="3"/>
      <c r="Z92" s="3"/>
      <c r="AA92" s="3"/>
    </row>
    <row r="93" ht="15.75" customHeight="1">
      <c r="A93" s="13" t="s">
        <v>117</v>
      </c>
      <c r="B93" s="50">
        <v>0.0</v>
      </c>
      <c r="C93" s="50">
        <v>0.0</v>
      </c>
      <c r="D93" s="49">
        <v>0.0</v>
      </c>
      <c r="E93" s="49">
        <v>0.0</v>
      </c>
      <c r="F93" s="26"/>
      <c r="G93" s="2"/>
      <c r="H93" s="56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  <c r="AA93" s="3"/>
    </row>
    <row r="94" ht="15.75" customHeight="1">
      <c r="A94" s="13" t="s">
        <v>118</v>
      </c>
      <c r="B94" s="50">
        <v>0.0</v>
      </c>
      <c r="C94" s="50">
        <v>0.0</v>
      </c>
      <c r="D94" s="49">
        <v>0.0</v>
      </c>
      <c r="E94" s="49">
        <v>0.0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  <c r="AA94" s="3"/>
    </row>
    <row r="95" ht="15.75" customHeight="1">
      <c r="A95" s="13" t="s">
        <v>119</v>
      </c>
      <c r="B95" s="50">
        <v>0.0</v>
      </c>
      <c r="C95" s="50">
        <v>0.0</v>
      </c>
      <c r="D95" s="49">
        <v>0.0</v>
      </c>
      <c r="E95" s="49">
        <v>0.0</v>
      </c>
      <c r="F95" s="26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9"/>
      <c r="S95" s="3"/>
      <c r="T95" s="3"/>
      <c r="U95" s="1"/>
      <c r="V95" s="3"/>
      <c r="W95" s="3"/>
      <c r="X95" s="3"/>
      <c r="Y95" s="3"/>
      <c r="Z95" s="3"/>
      <c r="AA95" s="3"/>
    </row>
    <row r="96" ht="15.75" customHeight="1">
      <c r="A96" s="13" t="s">
        <v>120</v>
      </c>
      <c r="B96" s="50">
        <v>0.0</v>
      </c>
      <c r="C96" s="50">
        <v>0.0</v>
      </c>
      <c r="D96" s="49">
        <v>0.0</v>
      </c>
      <c r="E96" s="49">
        <v>0.0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9"/>
      <c r="S96" s="3"/>
      <c r="T96" s="3"/>
      <c r="U96" s="1"/>
      <c r="V96" s="3"/>
      <c r="W96" s="3"/>
      <c r="X96" s="3"/>
      <c r="Y96" s="3"/>
      <c r="Z96" s="3"/>
      <c r="AA96" s="3"/>
    </row>
    <row r="97" ht="15.75" customHeight="1">
      <c r="A97" s="13" t="s">
        <v>121</v>
      </c>
      <c r="B97" s="50">
        <v>0.0</v>
      </c>
      <c r="C97" s="50">
        <v>0.0</v>
      </c>
      <c r="D97" s="49">
        <v>0.0</v>
      </c>
      <c r="E97" s="49">
        <v>0.0</v>
      </c>
      <c r="F97" s="26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  <c r="AA97" s="3"/>
    </row>
    <row r="98" ht="15.75" customHeight="1">
      <c r="A98" s="13" t="s">
        <v>122</v>
      </c>
      <c r="B98" s="49">
        <v>0.0</v>
      </c>
      <c r="C98" s="49">
        <v>0.0</v>
      </c>
      <c r="D98" s="49">
        <v>0.0</v>
      </c>
      <c r="E98" s="49">
        <v>0.0</v>
      </c>
      <c r="F98" s="26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  <c r="AA98" s="3"/>
    </row>
    <row r="99" ht="15.75" customHeight="1">
      <c r="A99" s="13" t="s">
        <v>123</v>
      </c>
      <c r="B99" s="49">
        <v>0.0</v>
      </c>
      <c r="C99" s="49">
        <v>0.0</v>
      </c>
      <c r="D99" s="49">
        <v>0.0</v>
      </c>
      <c r="E99" s="49">
        <v>0.0</v>
      </c>
      <c r="F99" s="26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  <c r="AA99" s="3"/>
    </row>
    <row r="100" ht="15.75" customHeight="1">
      <c r="A100" s="13" t="s">
        <v>286</v>
      </c>
      <c r="B100" s="49">
        <v>0.0</v>
      </c>
      <c r="C100" s="49">
        <v>0.0</v>
      </c>
      <c r="D100" s="49">
        <v>114359.0</v>
      </c>
      <c r="E100" s="49">
        <v>0.0</v>
      </c>
      <c r="F100" s="2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  <c r="AA100" s="3"/>
    </row>
    <row r="101" ht="15.75" customHeight="1">
      <c r="A101" s="13" t="s">
        <v>124</v>
      </c>
      <c r="B101" s="49">
        <v>0.0</v>
      </c>
      <c r="C101" s="49">
        <v>0.0</v>
      </c>
      <c r="D101" s="49">
        <v>0.0</v>
      </c>
      <c r="E101" s="49">
        <v>0.0</v>
      </c>
      <c r="F101" s="2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  <c r="AA101" s="3"/>
    </row>
    <row r="102" ht="15.75" customHeight="1">
      <c r="A102" s="13" t="s">
        <v>125</v>
      </c>
      <c r="B102" s="50">
        <v>0.0</v>
      </c>
      <c r="C102" s="50">
        <v>0.0</v>
      </c>
      <c r="D102" s="49">
        <v>0.0</v>
      </c>
      <c r="E102" s="49">
        <v>0.0</v>
      </c>
      <c r="F102" s="2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  <c r="AA102" s="3"/>
    </row>
    <row r="103" ht="15.75" customHeight="1">
      <c r="A103" s="13" t="s">
        <v>126</v>
      </c>
      <c r="B103" s="49">
        <v>0.0</v>
      </c>
      <c r="C103" s="49">
        <v>0.0</v>
      </c>
      <c r="D103" s="49">
        <v>0.0</v>
      </c>
      <c r="E103" s="49">
        <v>0.0</v>
      </c>
      <c r="F103" s="2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  <c r="AA103" s="3"/>
    </row>
    <row r="104" ht="15.75" customHeight="1">
      <c r="A104" s="13" t="s">
        <v>127</v>
      </c>
      <c r="B104" s="49">
        <v>0.0</v>
      </c>
      <c r="C104" s="49">
        <v>0.0</v>
      </c>
      <c r="D104" s="49">
        <v>0.0</v>
      </c>
      <c r="E104" s="49">
        <v>0.0</v>
      </c>
      <c r="F104" s="2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  <c r="AA104" s="3"/>
    </row>
    <row r="105" ht="15.75" customHeight="1">
      <c r="A105" s="13" t="s">
        <v>128</v>
      </c>
      <c r="B105" s="49">
        <v>0.0</v>
      </c>
      <c r="C105" s="49">
        <v>0.0</v>
      </c>
      <c r="D105" s="49">
        <v>0.0</v>
      </c>
      <c r="E105" s="49">
        <v>0.0</v>
      </c>
      <c r="F105" s="2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  <c r="AA105" s="3"/>
    </row>
    <row r="106" ht="15.75" customHeight="1">
      <c r="A106" s="13" t="s">
        <v>129</v>
      </c>
      <c r="B106" s="49">
        <v>0.0</v>
      </c>
      <c r="C106" s="49">
        <v>0.0</v>
      </c>
      <c r="D106" s="49">
        <v>0.0</v>
      </c>
      <c r="E106" s="49">
        <v>0.0</v>
      </c>
      <c r="F106" s="2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  <c r="AA106" s="3"/>
    </row>
    <row r="107" ht="15.75" customHeight="1">
      <c r="A107" s="57"/>
      <c r="B107" s="49"/>
      <c r="C107" s="49"/>
      <c r="D107" s="49"/>
      <c r="E107" s="49"/>
      <c r="F107" s="2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  <c r="AA107" s="3"/>
    </row>
    <row r="108" ht="15.75" customHeight="1">
      <c r="A108" s="13" t="s">
        <v>130</v>
      </c>
      <c r="B108" s="50">
        <v>0.0</v>
      </c>
      <c r="C108" s="50">
        <f>SUM(C81:C105)*0.6%</f>
        <v>1804.8</v>
      </c>
      <c r="D108" s="50">
        <f>SUM(D81:D106)*0.6%</f>
        <v>6086.154</v>
      </c>
      <c r="E108" s="50">
        <f>(E85*0.6%)+(E86*0.6%)+(E87*0.6%)+(E90*0.6%)+(E91*0.6%)</f>
        <v>0</v>
      </c>
      <c r="F108" s="2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  <c r="AA108" s="3"/>
    </row>
    <row r="109" ht="15.75" customHeight="1">
      <c r="A109" s="13" t="s">
        <v>131</v>
      </c>
      <c r="B109" s="50">
        <v>0.0</v>
      </c>
      <c r="C109" s="50">
        <v>0.0</v>
      </c>
      <c r="D109" s="50">
        <v>0.0</v>
      </c>
      <c r="E109" s="50">
        <f>SUM(E82:E107)*0.6%+(E110*0.6%)</f>
        <v>0</v>
      </c>
      <c r="F109" s="5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  <c r="AA109" s="3"/>
    </row>
    <row r="110" ht="15.75" customHeight="1">
      <c r="A110" s="57"/>
      <c r="B110" s="57"/>
      <c r="C110" s="26"/>
      <c r="D110" s="2"/>
      <c r="E110" s="26"/>
      <c r="F110" s="2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  <c r="AA110" s="3"/>
    </row>
    <row r="111" ht="15.75" customHeight="1">
      <c r="A111" s="59" t="s">
        <v>132</v>
      </c>
      <c r="B111" s="60">
        <f>SUM(B81:B110)</f>
        <v>3800</v>
      </c>
      <c r="C111" s="60">
        <f>SUM(C81:C108)</f>
        <v>302604.8</v>
      </c>
      <c r="D111" s="60">
        <f>SUM(D81:D109)</f>
        <v>1020445.154</v>
      </c>
      <c r="E111" s="60">
        <f>E92+E96+E108-E109</f>
        <v>0</v>
      </c>
      <c r="F111" s="61" t="str">
        <f>F85</f>
        <v/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  <c r="AA111" s="3"/>
    </row>
    <row r="112" ht="15.75" customHeight="1">
      <c r="A112" s="57"/>
      <c r="B112" s="57"/>
      <c r="C112" s="26"/>
      <c r="D112" s="26"/>
      <c r="E112" s="26"/>
      <c r="F112" s="2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  <c r="AA112" s="3"/>
    </row>
    <row r="113" ht="15.75" customHeight="1">
      <c r="A113" s="59" t="s">
        <v>133</v>
      </c>
      <c r="B113" s="62">
        <f>B78-B111</f>
        <v>209737.25</v>
      </c>
      <c r="C113" s="63">
        <f>C78-C111+C109</f>
        <v>1036883.398</v>
      </c>
      <c r="D113" s="63">
        <f>D78-D111-29.2</f>
        <v>1367969.574</v>
      </c>
      <c r="E113" s="64">
        <f t="shared" ref="E113:F113" si="9">E78-E111</f>
        <v>0</v>
      </c>
      <c r="F113" s="64">
        <f t="shared" si="9"/>
        <v>1602385.09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  <c r="AA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  <c r="AA114" s="3"/>
    </row>
    <row r="115" ht="15.75" customHeight="1">
      <c r="A115" s="65" t="s">
        <v>134</v>
      </c>
      <c r="B115" s="66">
        <f>75177.25-B81-B84</f>
        <v>71377.25</v>
      </c>
      <c r="C115" s="46"/>
      <c r="D115" s="46"/>
      <c r="E115" s="46"/>
      <c r="F115" s="4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9"/>
      <c r="S115" s="3"/>
      <c r="T115" s="3"/>
      <c r="U115" s="1"/>
      <c r="V115" s="3"/>
      <c r="W115" s="3"/>
      <c r="X115" s="3"/>
      <c r="Y115" s="3"/>
      <c r="Z115" s="3"/>
      <c r="AA115" s="3"/>
    </row>
    <row r="116" ht="15.75" customHeight="1">
      <c r="A116" s="65" t="s">
        <v>135</v>
      </c>
      <c r="B116" s="66">
        <v>138360.0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  <c r="AA116" s="3"/>
    </row>
    <row r="117" ht="15.75" customHeight="1">
      <c r="A117" s="2"/>
      <c r="B117" s="46" t="s">
        <v>2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  <c r="AA117" s="3"/>
    </row>
    <row r="118" ht="15.75" customHeight="1">
      <c r="A118" s="2"/>
      <c r="B118" s="46">
        <f>SUM(B115:B116)</f>
        <v>209737.25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  <c r="AA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9"/>
      <c r="S119" s="3"/>
      <c r="T119" s="3"/>
      <c r="U119" s="1"/>
      <c r="V119" s="3"/>
      <c r="W119" s="3"/>
      <c r="X119" s="3"/>
      <c r="Y119" s="3"/>
      <c r="Z119" s="3"/>
      <c r="AA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9"/>
      <c r="S120" s="3"/>
      <c r="T120" s="3"/>
      <c r="U120" s="1"/>
      <c r="V120" s="3"/>
      <c r="W120" s="3"/>
      <c r="X120" s="3"/>
      <c r="Y120" s="3"/>
      <c r="Z120" s="3"/>
      <c r="AA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X121" s="3"/>
      <c r="Y121" s="3"/>
      <c r="Z121" s="3"/>
      <c r="AA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9"/>
      <c r="X122" s="3"/>
      <c r="Y122" s="3"/>
      <c r="Z122" s="3"/>
      <c r="AA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9"/>
      <c r="X123" s="3"/>
      <c r="Y123" s="3"/>
      <c r="Z123" s="3"/>
      <c r="AA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  <c r="AA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  <c r="AA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  <c r="AA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  <c r="AA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  <c r="AA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  <c r="AA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  <c r="AA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  <c r="AA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  <c r="AA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  <c r="AA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  <c r="AA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  <c r="AA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  <c r="AA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  <c r="AA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  <c r="AA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  <c r="AA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  <c r="AA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  <c r="AA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  <c r="AA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9"/>
      <c r="S143" s="3"/>
      <c r="T143" s="3"/>
      <c r="U143" s="1"/>
      <c r="V143" s="3"/>
      <c r="W143" s="3"/>
      <c r="X143" s="3"/>
      <c r="Y143" s="3"/>
      <c r="Z143" s="3"/>
      <c r="AA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  <c r="AA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  <c r="AA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  <c r="AA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9"/>
      <c r="S147" s="3"/>
      <c r="T147" s="3"/>
      <c r="U147" s="1"/>
      <c r="V147" s="3"/>
      <c r="W147" s="3"/>
      <c r="X147" s="3"/>
      <c r="Y147" s="3"/>
      <c r="Z147" s="3"/>
      <c r="AA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  <c r="AA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  <c r="AA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  <c r="AA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  <c r="AA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  <c r="AA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  <c r="AA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  <c r="AA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  <c r="AA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X156" s="3"/>
      <c r="Y156" s="3"/>
      <c r="Z156" s="3"/>
      <c r="AA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9"/>
      <c r="X157" s="3"/>
      <c r="Y157" s="3"/>
      <c r="Z157" s="3"/>
      <c r="AA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9"/>
      <c r="X158" s="3"/>
      <c r="Y158" s="3"/>
      <c r="Z158" s="3"/>
      <c r="AA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  <c r="AA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  <c r="AA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9"/>
      <c r="S161" s="3"/>
      <c r="T161" s="3"/>
      <c r="U161" s="1"/>
      <c r="V161" s="3"/>
      <c r="W161" s="3"/>
      <c r="X161" s="3"/>
      <c r="Y161" s="3"/>
      <c r="Z161" s="3"/>
      <c r="AA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  <c r="AA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  <c r="AA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  <c r="AA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9"/>
      <c r="S165" s="3"/>
      <c r="T165" s="3"/>
      <c r="U165" s="1"/>
      <c r="V165" s="3"/>
      <c r="W165" s="3"/>
      <c r="X165" s="3"/>
      <c r="Y165" s="3"/>
      <c r="Z165" s="3"/>
      <c r="AA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9"/>
      <c r="S166" s="3"/>
      <c r="T166" s="3"/>
      <c r="U166" s="1"/>
      <c r="V166" s="3"/>
      <c r="W166" s="3"/>
      <c r="X166" s="3"/>
      <c r="Y166" s="3"/>
      <c r="Z166" s="3"/>
      <c r="AA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  <c r="AA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  <c r="AA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  <c r="AA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  <c r="AA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  <c r="AA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  <c r="AA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  <c r="AA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  <c r="AA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  <c r="AA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  <c r="AA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  <c r="AA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  <c r="AA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  <c r="AA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  <c r="AA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  <c r="AA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9"/>
      <c r="S182" s="3"/>
      <c r="T182" s="3"/>
      <c r="U182" s="1"/>
      <c r="V182" s="3"/>
      <c r="W182" s="3"/>
      <c r="X182" s="3"/>
      <c r="Y182" s="3"/>
      <c r="Z182" s="3"/>
      <c r="AA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9"/>
      <c r="S183" s="3"/>
      <c r="T183" s="3"/>
      <c r="U183" s="1"/>
      <c r="V183" s="3"/>
      <c r="W183" s="3"/>
      <c r="X183" s="3"/>
      <c r="Y183" s="3"/>
      <c r="Z183" s="3"/>
      <c r="AA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  <c r="AA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  <c r="AA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9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9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"/>
      <c r="R190" s="2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"/>
      <c r="R191" s="2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3"/>
      <c r="T192" s="3"/>
      <c r="U192" s="9"/>
      <c r="V192" s="3"/>
      <c r="W192" s="3"/>
      <c r="X192" s="3"/>
      <c r="Y192" s="3"/>
      <c r="Z192" s="3"/>
      <c r="AA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9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9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9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9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9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9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9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9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3"/>
      <c r="T234" s="3"/>
      <c r="U234" s="9"/>
      <c r="V234" s="3"/>
      <c r="W234" s="3"/>
      <c r="X234" s="3"/>
      <c r="Y234" s="3"/>
      <c r="Z234" s="3"/>
      <c r="AA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9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9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46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46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46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46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46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46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46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46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46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46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46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46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46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46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46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46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9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46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46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46"/>
      <c r="R279" s="46"/>
      <c r="S279" s="3"/>
      <c r="T279" s="3"/>
      <c r="U279" s="9"/>
      <c r="V279" s="3"/>
      <c r="W279" s="3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9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9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46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46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46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46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46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46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46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9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9"/>
      <c r="T325" s="3"/>
      <c r="U325" s="2"/>
      <c r="V325" s="3"/>
      <c r="W325" s="3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9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9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9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9"/>
      <c r="T342" s="3"/>
      <c r="U342" s="2"/>
      <c r="V342" s="3"/>
      <c r="W342" s="3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9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9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9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3"/>
      <c r="X351" s="3"/>
      <c r="Y351" s="3"/>
      <c r="Z351" s="3"/>
      <c r="AA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9"/>
      <c r="T353" s="3"/>
      <c r="U353" s="2"/>
      <c r="V353" s="3"/>
      <c r="W353" s="3"/>
      <c r="X353" s="3"/>
      <c r="Y353" s="3"/>
      <c r="Z353" s="3"/>
      <c r="AA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9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9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3"/>
      <c r="T369" s="3"/>
      <c r="U369" s="9"/>
      <c r="V369" s="3"/>
      <c r="W369" s="3"/>
      <c r="X369" s="3"/>
      <c r="Y369" s="3"/>
      <c r="Z369" s="3"/>
      <c r="AA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9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9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3"/>
      <c r="T383" s="9"/>
      <c r="U383" s="2"/>
      <c r="V383" s="3"/>
      <c r="W383" s="3"/>
      <c r="X383" s="3"/>
      <c r="Y383" s="3"/>
      <c r="Z383" s="3"/>
      <c r="AA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9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9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9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9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3"/>
      <c r="T395" s="9"/>
      <c r="U395" s="2"/>
      <c r="V395" s="3"/>
      <c r="W395" s="3"/>
      <c r="X395" s="3"/>
      <c r="Y395" s="3"/>
      <c r="Z395" s="3"/>
      <c r="AA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9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9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67"/>
      <c r="R410" s="2"/>
      <c r="S410" s="2"/>
      <c r="T410" s="3"/>
      <c r="U410" s="2"/>
      <c r="V410" s="2"/>
      <c r="W410" s="2"/>
      <c r="X410" s="3"/>
      <c r="Y410" s="3"/>
      <c r="Z410" s="3"/>
      <c r="AA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3"/>
      <c r="T411" s="3"/>
      <c r="U411" s="3"/>
      <c r="V411" s="2"/>
      <c r="W411" s="2"/>
      <c r="X411" s="3"/>
      <c r="Y411" s="3"/>
      <c r="Z411" s="3"/>
      <c r="AA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8"/>
      <c r="R413" s="38"/>
      <c r="S413" s="38"/>
      <c r="T413" s="38"/>
      <c r="U413" s="38"/>
      <c r="V413" s="38"/>
      <c r="W413" s="38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3"/>
      <c r="T414" s="3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"/>
      <c r="R415" s="2"/>
      <c r="S415" s="3"/>
      <c r="T415" s="3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68"/>
      <c r="R417" s="69"/>
      <c r="S417" s="70"/>
      <c r="T417" s="70"/>
      <c r="U417" s="70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1"/>
      <c r="R418" s="71"/>
      <c r="S418" s="71"/>
      <c r="T418" s="71"/>
      <c r="U418" s="71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46"/>
      <c r="R419" s="46"/>
      <c r="S419" s="46"/>
      <c r="T419" s="46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46"/>
      <c r="R421" s="46"/>
      <c r="S421" s="46"/>
      <c r="T421" s="46"/>
      <c r="U421" s="46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46"/>
      <c r="R422" s="46"/>
      <c r="S422" s="46"/>
      <c r="T422" s="46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46"/>
      <c r="R423" s="46"/>
      <c r="S423" s="46"/>
      <c r="T423" s="46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46"/>
      <c r="R424" s="46"/>
      <c r="S424" s="46"/>
      <c r="T424" s="46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46"/>
      <c r="R425" s="46"/>
      <c r="S425" s="46"/>
      <c r="T425" s="46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2"/>
      <c r="R426" s="72"/>
      <c r="S426" s="72"/>
      <c r="T426" s="72"/>
      <c r="U426" s="73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"/>
      <c r="R427" s="2"/>
      <c r="S427" s="3"/>
      <c r="T427" s="3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56"/>
      <c r="R429" s="56"/>
      <c r="S429" s="56"/>
      <c r="T429" s="56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56"/>
      <c r="R430" s="56"/>
      <c r="S430" s="56"/>
      <c r="T430" s="56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56"/>
      <c r="R431" s="56"/>
      <c r="S431" s="56"/>
      <c r="T431" s="56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56"/>
      <c r="R432" s="56"/>
      <c r="S432" s="56"/>
      <c r="T432" s="56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56"/>
      <c r="R433" s="56"/>
      <c r="S433" s="56"/>
      <c r="T433" s="56"/>
      <c r="U433" s="2"/>
      <c r="V433" s="2"/>
      <c r="W433" s="56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56"/>
      <c r="R434" s="56"/>
      <c r="S434" s="56"/>
      <c r="T434" s="56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56"/>
      <c r="R435" s="56"/>
      <c r="S435" s="56"/>
      <c r="T435" s="56"/>
      <c r="U435" s="2"/>
      <c r="V435" s="2"/>
      <c r="W435" s="56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56"/>
      <c r="R436" s="56"/>
      <c r="S436" s="56"/>
      <c r="T436" s="56"/>
      <c r="U436" s="2"/>
      <c r="V436" s="2"/>
      <c r="W436" s="56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46"/>
      <c r="R437" s="46"/>
      <c r="S437" s="46"/>
      <c r="T437" s="46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46"/>
      <c r="R438" s="46"/>
      <c r="S438" s="46"/>
      <c r="T438" s="46"/>
      <c r="U438" s="2"/>
      <c r="V438" s="2"/>
      <c r="W438" s="56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46"/>
      <c r="R439" s="46"/>
      <c r="S439" s="46"/>
      <c r="T439" s="46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46"/>
      <c r="R440" s="46"/>
      <c r="S440" s="46"/>
      <c r="T440" s="46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46"/>
      <c r="R441" s="46"/>
      <c r="S441" s="46"/>
      <c r="T441" s="46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46"/>
      <c r="R442" s="46"/>
      <c r="S442" s="46"/>
      <c r="T442" s="46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46"/>
      <c r="R443" s="46"/>
      <c r="S443" s="46"/>
      <c r="T443" s="46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46"/>
      <c r="R444" s="46"/>
      <c r="S444" s="46"/>
      <c r="T444" s="46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46"/>
      <c r="R445" s="46"/>
      <c r="S445" s="46"/>
      <c r="T445" s="46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"/>
      <c r="R446" s="46"/>
      <c r="S446" s="46"/>
      <c r="T446" s="46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2"/>
      <c r="R448" s="72"/>
      <c r="S448" s="72"/>
      <c r="T448" s="72"/>
      <c r="U448" s="73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1"/>
      <c r="R450" s="72"/>
      <c r="S450" s="72"/>
      <c r="T450" s="74"/>
      <c r="U450" s="74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"/>
      <c r="R452" s="46"/>
      <c r="S452" s="46"/>
      <c r="T452" s="46"/>
      <c r="U452" s="46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</sheetData>
  <mergeCells count="7">
    <mergeCell ref="A60:B60"/>
    <mergeCell ref="U64:W64"/>
    <mergeCell ref="A65:A66"/>
    <mergeCell ref="A68:F68"/>
    <mergeCell ref="A80:F80"/>
    <mergeCell ref="U121:W121"/>
    <mergeCell ref="U156:W156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23"/>
      <c r="B2" s="23"/>
      <c r="C2" s="23"/>
      <c r="D2" s="7"/>
      <c r="E2" s="24"/>
      <c r="F2" s="7"/>
      <c r="G2" s="6"/>
      <c r="H2" s="3"/>
      <c r="I2" s="8"/>
      <c r="J2" s="8"/>
      <c r="K2" s="8"/>
      <c r="L2" s="4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23" t="s">
        <v>300</v>
      </c>
      <c r="B3" s="23"/>
      <c r="C3" s="23"/>
      <c r="D3" s="25" t="s">
        <v>247</v>
      </c>
      <c r="E3" s="7">
        <v>46051.0</v>
      </c>
      <c r="F3" s="28"/>
      <c r="G3" s="24"/>
      <c r="H3" s="24"/>
      <c r="I3" s="16"/>
      <c r="J3" s="16"/>
      <c r="K3" s="16"/>
      <c r="L3" s="29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B4" s="24"/>
      <c r="C4" s="26"/>
      <c r="D4" s="24"/>
      <c r="E4" s="24"/>
      <c r="F4" s="24"/>
      <c r="G4" s="24"/>
      <c r="H4" s="24"/>
      <c r="I4" s="16"/>
      <c r="J4" s="16"/>
      <c r="K4" s="16"/>
      <c r="L4" s="29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2"/>
      <c r="G5" s="24"/>
      <c r="H5" s="24"/>
      <c r="I5" s="12" t="s">
        <v>7</v>
      </c>
      <c r="J5" s="12" t="s">
        <v>8</v>
      </c>
      <c r="K5" s="12" t="s">
        <v>10</v>
      </c>
      <c r="L5" s="29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1.0</v>
      </c>
      <c r="B6" s="12" t="s">
        <v>32</v>
      </c>
      <c r="C6" s="14" t="s">
        <v>152</v>
      </c>
      <c r="D6" s="15">
        <v>54000.0</v>
      </c>
      <c r="E6" s="15">
        <f t="shared" ref="E6:E16" si="1">A6*D6</f>
        <v>54000</v>
      </c>
      <c r="F6" s="16"/>
      <c r="G6" s="24"/>
      <c r="H6" s="24"/>
      <c r="I6" s="16">
        <v>50000.0</v>
      </c>
      <c r="J6" s="16">
        <f t="shared" ref="J6:J16" si="2">I6*A6</f>
        <v>50000</v>
      </c>
      <c r="K6" s="16">
        <f t="shared" ref="K6:K16" si="3">E6-J6</f>
        <v>4000</v>
      </c>
      <c r="L6" s="30"/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2.0</v>
      </c>
      <c r="B7" s="12" t="s">
        <v>146</v>
      </c>
      <c r="C7" s="14" t="s">
        <v>74</v>
      </c>
      <c r="D7" s="15">
        <v>1200.0</v>
      </c>
      <c r="E7" s="15">
        <f t="shared" si="1"/>
        <v>2400</v>
      </c>
      <c r="F7" s="16"/>
      <c r="G7" s="24"/>
      <c r="H7" s="24"/>
      <c r="I7" s="16">
        <f>800</f>
        <v>800</v>
      </c>
      <c r="J7" s="16">
        <f t="shared" si="2"/>
        <v>1600</v>
      </c>
      <c r="K7" s="16">
        <f t="shared" si="3"/>
        <v>800</v>
      </c>
      <c r="L7" s="30"/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2.0</v>
      </c>
      <c r="B8" s="12" t="s">
        <v>148</v>
      </c>
      <c r="C8" s="14" t="s">
        <v>185</v>
      </c>
      <c r="D8" s="15">
        <v>2500.0</v>
      </c>
      <c r="E8" s="15">
        <f t="shared" si="1"/>
        <v>5000</v>
      </c>
      <c r="F8" s="16"/>
      <c r="G8" s="24"/>
      <c r="H8" s="24"/>
      <c r="I8" s="16">
        <f>23000/12</f>
        <v>1916.666667</v>
      </c>
      <c r="J8" s="16">
        <f t="shared" si="2"/>
        <v>3833.333333</v>
      </c>
      <c r="K8" s="16">
        <f t="shared" si="3"/>
        <v>1166.666667</v>
      </c>
      <c r="L8" s="30"/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2.0</v>
      </c>
      <c r="B9" s="12" t="s">
        <v>17</v>
      </c>
      <c r="C9" s="14" t="s">
        <v>19</v>
      </c>
      <c r="D9" s="15">
        <v>3200.0</v>
      </c>
      <c r="E9" s="15">
        <f t="shared" si="1"/>
        <v>6400</v>
      </c>
      <c r="F9" s="16"/>
      <c r="G9" s="24"/>
      <c r="H9" s="24"/>
      <c r="I9" s="16">
        <f>10500/4.2</f>
        <v>2500</v>
      </c>
      <c r="J9" s="16">
        <f t="shared" si="2"/>
        <v>5000</v>
      </c>
      <c r="K9" s="16">
        <f t="shared" si="3"/>
        <v>1400</v>
      </c>
      <c r="L9" s="30"/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4.0</v>
      </c>
      <c r="B10" s="12" t="s">
        <v>17</v>
      </c>
      <c r="C10" s="14" t="s">
        <v>144</v>
      </c>
      <c r="D10" s="15">
        <v>4000.0</v>
      </c>
      <c r="E10" s="15">
        <f t="shared" si="1"/>
        <v>16000</v>
      </c>
      <c r="F10" s="16"/>
      <c r="G10" s="24"/>
      <c r="H10" s="24"/>
      <c r="I10" s="16">
        <v>3000.0</v>
      </c>
      <c r="J10" s="16">
        <f t="shared" si="2"/>
        <v>12000</v>
      </c>
      <c r="K10" s="16">
        <f t="shared" si="3"/>
        <v>4000</v>
      </c>
      <c r="L10" s="30"/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1.0</v>
      </c>
      <c r="B11" s="12" t="s">
        <v>146</v>
      </c>
      <c r="C11" s="14" t="s">
        <v>143</v>
      </c>
      <c r="D11" s="15">
        <v>3000.0</v>
      </c>
      <c r="E11" s="15">
        <f t="shared" si="1"/>
        <v>3000</v>
      </c>
      <c r="F11" s="16"/>
      <c r="G11" s="24"/>
      <c r="H11" s="24"/>
      <c r="I11" s="16">
        <v>2000.0</v>
      </c>
      <c r="J11" s="16">
        <f t="shared" si="2"/>
        <v>2000</v>
      </c>
      <c r="K11" s="16">
        <f t="shared" si="3"/>
        <v>1000</v>
      </c>
      <c r="L11" s="30"/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0.5</v>
      </c>
      <c r="B12" s="12" t="s">
        <v>32</v>
      </c>
      <c r="C12" s="14" t="s">
        <v>20</v>
      </c>
      <c r="D12" s="15">
        <v>16000.0</v>
      </c>
      <c r="E12" s="15">
        <f t="shared" si="1"/>
        <v>8000</v>
      </c>
      <c r="F12" s="16"/>
      <c r="G12" s="24"/>
      <c r="H12" s="24"/>
      <c r="I12" s="16">
        <v>11000.0</v>
      </c>
      <c r="J12" s="15">
        <f t="shared" si="2"/>
        <v>5500</v>
      </c>
      <c r="K12" s="15">
        <f t="shared" si="3"/>
        <v>2500</v>
      </c>
      <c r="L12" s="30"/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7.0</v>
      </c>
      <c r="B13" s="12" t="s">
        <v>5</v>
      </c>
      <c r="C13" s="14" t="s">
        <v>38</v>
      </c>
      <c r="D13" s="15">
        <v>1300.0</v>
      </c>
      <c r="E13" s="15">
        <f t="shared" si="1"/>
        <v>9100</v>
      </c>
      <c r="F13" s="16"/>
      <c r="G13" s="24"/>
      <c r="H13" s="24"/>
      <c r="I13" s="16">
        <f>57000/70</f>
        <v>814.2857143</v>
      </c>
      <c r="J13" s="15">
        <f t="shared" si="2"/>
        <v>5700</v>
      </c>
      <c r="K13" s="15">
        <f t="shared" si="3"/>
        <v>3400</v>
      </c>
      <c r="L13" s="30"/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17</v>
      </c>
      <c r="C14" s="14" t="s">
        <v>182</v>
      </c>
      <c r="D14" s="15">
        <v>2500.0</v>
      </c>
      <c r="E14" s="15">
        <f t="shared" si="1"/>
        <v>2500</v>
      </c>
      <c r="F14" s="16"/>
      <c r="G14" s="24"/>
      <c r="H14" s="24"/>
      <c r="I14" s="16">
        <f>25000/15</f>
        <v>1666.666667</v>
      </c>
      <c r="J14" s="15">
        <f t="shared" si="2"/>
        <v>1666.666667</v>
      </c>
      <c r="K14" s="15">
        <f t="shared" si="3"/>
        <v>833.3333333</v>
      </c>
      <c r="L14" s="30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1.5</v>
      </c>
      <c r="B15" s="12" t="s">
        <v>17</v>
      </c>
      <c r="C15" s="14" t="s">
        <v>162</v>
      </c>
      <c r="D15" s="15">
        <v>1800.0</v>
      </c>
      <c r="E15" s="15">
        <f t="shared" si="1"/>
        <v>2700</v>
      </c>
      <c r="F15" s="16"/>
      <c r="G15" s="24"/>
      <c r="H15" s="32" t="s">
        <v>276</v>
      </c>
      <c r="I15" s="16">
        <v>0.0</v>
      </c>
      <c r="J15" s="15">
        <f t="shared" si="2"/>
        <v>0</v>
      </c>
      <c r="K15" s="15">
        <f t="shared" si="3"/>
        <v>2700</v>
      </c>
      <c r="L15" s="30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42</v>
      </c>
      <c r="C16" s="14" t="s">
        <v>68</v>
      </c>
      <c r="D16" s="15">
        <v>14000.0</v>
      </c>
      <c r="E16" s="15">
        <f t="shared" si="1"/>
        <v>14000</v>
      </c>
      <c r="F16" s="16"/>
      <c r="G16" s="24"/>
      <c r="H16" s="24"/>
      <c r="I16" s="16">
        <v>11500.0</v>
      </c>
      <c r="J16" s="16">
        <f t="shared" si="2"/>
        <v>11500</v>
      </c>
      <c r="K16" s="16">
        <f t="shared" si="3"/>
        <v>2500</v>
      </c>
      <c r="L16" s="30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/>
      <c r="B17" s="12"/>
      <c r="C17" s="14"/>
      <c r="D17" s="15"/>
      <c r="E17" s="16"/>
      <c r="F17" s="16"/>
      <c r="G17" s="24"/>
      <c r="H17" s="24"/>
      <c r="I17" s="16"/>
      <c r="J17" s="16"/>
      <c r="K17" s="16"/>
      <c r="L17" s="30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/>
      <c r="B18" s="12"/>
      <c r="C18" s="14"/>
      <c r="D18" s="15"/>
      <c r="E18" s="16">
        <f>SUM(E6:E16)</f>
        <v>123100</v>
      </c>
      <c r="F18" s="16"/>
      <c r="G18" s="24"/>
      <c r="H18" s="24"/>
      <c r="I18" s="16"/>
      <c r="J18" s="16"/>
      <c r="K18" s="16">
        <f>SUM(K6:K16)</f>
        <v>24300</v>
      </c>
      <c r="L18" s="30">
        <f>K18/E18</f>
        <v>0.1974004874</v>
      </c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/>
      <c r="B19" s="12"/>
      <c r="C19" s="14"/>
      <c r="D19" s="15"/>
      <c r="E19" s="3"/>
      <c r="F19" s="3"/>
      <c r="G19" s="2"/>
      <c r="H19" s="2"/>
      <c r="I19" s="2"/>
      <c r="J19" s="2"/>
      <c r="K19" s="3"/>
      <c r="L19" s="4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23"/>
      <c r="B20" s="23"/>
      <c r="C20" s="23"/>
      <c r="D20" s="25"/>
      <c r="E20" s="7"/>
      <c r="F20" s="28"/>
      <c r="G20" s="24"/>
      <c r="H20" s="24"/>
      <c r="I20" s="16"/>
      <c r="J20" s="16"/>
      <c r="K20" s="16"/>
      <c r="L20" s="29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23" t="s">
        <v>301</v>
      </c>
      <c r="B21" s="23"/>
      <c r="C21" s="23"/>
      <c r="D21" s="25" t="s">
        <v>247</v>
      </c>
      <c r="E21" s="7">
        <v>46051.0</v>
      </c>
      <c r="F21" s="28"/>
      <c r="G21" s="24"/>
      <c r="H21" s="24"/>
      <c r="I21" s="16"/>
      <c r="J21" s="16"/>
      <c r="K21" s="16"/>
      <c r="L21" s="29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B22" s="24"/>
      <c r="C22" s="26"/>
      <c r="D22" s="24"/>
      <c r="E22" s="24"/>
      <c r="F22" s="24"/>
      <c r="G22" s="24"/>
      <c r="H22" s="24"/>
      <c r="I22" s="16"/>
      <c r="J22" s="16"/>
      <c r="K22" s="16"/>
      <c r="L22" s="29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5" t="s">
        <v>4</v>
      </c>
      <c r="B23" s="10" t="s">
        <v>5</v>
      </c>
      <c r="C23" s="11" t="s">
        <v>6</v>
      </c>
      <c r="D23" s="12" t="s">
        <v>7</v>
      </c>
      <c r="E23" s="10" t="s">
        <v>8</v>
      </c>
      <c r="F23" s="12" t="s">
        <v>302</v>
      </c>
      <c r="G23" s="24"/>
      <c r="H23" s="24"/>
      <c r="I23" s="12" t="s">
        <v>7</v>
      </c>
      <c r="J23" s="12" t="s">
        <v>8</v>
      </c>
      <c r="K23" s="12" t="s">
        <v>10</v>
      </c>
      <c r="L23" s="29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6.0</v>
      </c>
      <c r="B24" s="12" t="s">
        <v>17</v>
      </c>
      <c r="C24" s="14" t="s">
        <v>45</v>
      </c>
      <c r="D24" s="15">
        <v>3000.0</v>
      </c>
      <c r="E24" s="15">
        <f t="shared" ref="E24:E36" si="4">A24*D24</f>
        <v>18000</v>
      </c>
      <c r="F24" s="16">
        <f t="shared" ref="F24:F36" si="5">E24*1.105</f>
        <v>19890</v>
      </c>
      <c r="G24" s="24"/>
      <c r="H24" s="32" t="s">
        <v>2</v>
      </c>
      <c r="I24" s="16">
        <f>30000/15</f>
        <v>2000</v>
      </c>
      <c r="J24" s="16">
        <f t="shared" ref="J24:J36" si="6">I24*A24</f>
        <v>12000</v>
      </c>
      <c r="K24" s="16">
        <f t="shared" ref="K24:K36" si="7">E24-J24</f>
        <v>6000</v>
      </c>
      <c r="L24" s="30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1.0</v>
      </c>
      <c r="B25" s="12" t="s">
        <v>17</v>
      </c>
      <c r="C25" s="14" t="s">
        <v>72</v>
      </c>
      <c r="D25" s="15">
        <v>3500.0</v>
      </c>
      <c r="E25" s="15">
        <f t="shared" si="4"/>
        <v>3500</v>
      </c>
      <c r="F25" s="16">
        <f t="shared" si="5"/>
        <v>3867.5</v>
      </c>
      <c r="G25" s="24"/>
      <c r="H25" s="32" t="s">
        <v>2</v>
      </c>
      <c r="I25" s="16">
        <f>40000/18</f>
        <v>2222.222222</v>
      </c>
      <c r="J25" s="16">
        <f t="shared" si="6"/>
        <v>2222.222222</v>
      </c>
      <c r="K25" s="16">
        <f t="shared" si="7"/>
        <v>1277.777778</v>
      </c>
      <c r="L25" s="30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12.0</v>
      </c>
      <c r="B26" s="12" t="s">
        <v>5</v>
      </c>
      <c r="C26" s="14" t="s">
        <v>38</v>
      </c>
      <c r="D26" s="15">
        <v>1300.0</v>
      </c>
      <c r="E26" s="15">
        <f t="shared" si="4"/>
        <v>15600</v>
      </c>
      <c r="F26" s="16">
        <f t="shared" si="5"/>
        <v>17238</v>
      </c>
      <c r="G26" s="24"/>
      <c r="H26" s="32" t="s">
        <v>2</v>
      </c>
      <c r="I26" s="16">
        <f>57000/70</f>
        <v>814.2857143</v>
      </c>
      <c r="J26" s="16">
        <f t="shared" si="6"/>
        <v>9771.428571</v>
      </c>
      <c r="K26" s="16">
        <f t="shared" si="7"/>
        <v>5828.571429</v>
      </c>
      <c r="L26" s="30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17</v>
      </c>
      <c r="C27" s="14" t="s">
        <v>66</v>
      </c>
      <c r="D27" s="15">
        <v>900.0</v>
      </c>
      <c r="E27" s="15">
        <f t="shared" si="4"/>
        <v>900</v>
      </c>
      <c r="F27" s="16">
        <f t="shared" si="5"/>
        <v>994.5</v>
      </c>
      <c r="G27" s="24"/>
      <c r="H27" s="32" t="s">
        <v>2</v>
      </c>
      <c r="I27" s="16">
        <f>8500/16</f>
        <v>531.25</v>
      </c>
      <c r="J27" s="16">
        <f t="shared" si="6"/>
        <v>531.25</v>
      </c>
      <c r="K27" s="16">
        <f t="shared" si="7"/>
        <v>368.75</v>
      </c>
      <c r="L27" s="30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2.0</v>
      </c>
      <c r="B28" s="12" t="s">
        <v>17</v>
      </c>
      <c r="C28" s="14" t="s">
        <v>19</v>
      </c>
      <c r="D28" s="15">
        <v>3200.0</v>
      </c>
      <c r="E28" s="15">
        <f t="shared" si="4"/>
        <v>6400</v>
      </c>
      <c r="F28" s="16">
        <f t="shared" si="5"/>
        <v>7072</v>
      </c>
      <c r="G28" s="24"/>
      <c r="H28" s="32" t="s">
        <v>2</v>
      </c>
      <c r="I28" s="16">
        <v>2500.0</v>
      </c>
      <c r="J28" s="16">
        <f t="shared" si="6"/>
        <v>5000</v>
      </c>
      <c r="K28" s="16">
        <f t="shared" si="7"/>
        <v>1400</v>
      </c>
      <c r="L28" s="30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0.5</v>
      </c>
      <c r="B29" s="12" t="s">
        <v>17</v>
      </c>
      <c r="C29" s="14" t="s">
        <v>35</v>
      </c>
      <c r="D29" s="15">
        <v>1800.0</v>
      </c>
      <c r="E29" s="15">
        <f t="shared" si="4"/>
        <v>900</v>
      </c>
      <c r="F29" s="16">
        <f t="shared" si="5"/>
        <v>994.5</v>
      </c>
      <c r="G29" s="24"/>
      <c r="H29" s="32" t="s">
        <v>276</v>
      </c>
      <c r="I29" s="16">
        <v>0.0</v>
      </c>
      <c r="J29" s="16">
        <f t="shared" si="6"/>
        <v>0</v>
      </c>
      <c r="K29" s="16">
        <f t="shared" si="7"/>
        <v>900</v>
      </c>
      <c r="L29" s="30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17</v>
      </c>
      <c r="C30" s="14" t="s">
        <v>165</v>
      </c>
      <c r="D30" s="15">
        <v>12000.0</v>
      </c>
      <c r="E30" s="15">
        <f t="shared" si="4"/>
        <v>12000</v>
      </c>
      <c r="F30" s="16">
        <f t="shared" si="5"/>
        <v>13260</v>
      </c>
      <c r="G30" s="24"/>
      <c r="H30" s="32" t="s">
        <v>2</v>
      </c>
      <c r="I30" s="16">
        <f>65000/7</f>
        <v>9285.714286</v>
      </c>
      <c r="J30" s="16">
        <f t="shared" si="6"/>
        <v>9285.714286</v>
      </c>
      <c r="K30" s="16">
        <f t="shared" si="7"/>
        <v>2714.285714</v>
      </c>
      <c r="L30" s="30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5.0</v>
      </c>
      <c r="B31" s="12" t="s">
        <v>32</v>
      </c>
      <c r="C31" s="14" t="s">
        <v>20</v>
      </c>
      <c r="D31" s="15">
        <v>16000.0</v>
      </c>
      <c r="E31" s="15">
        <f t="shared" si="4"/>
        <v>80000</v>
      </c>
      <c r="F31" s="16">
        <f t="shared" si="5"/>
        <v>88400</v>
      </c>
      <c r="G31" s="24"/>
      <c r="H31" s="32" t="s">
        <v>2</v>
      </c>
      <c r="I31" s="16">
        <v>11000.0</v>
      </c>
      <c r="J31" s="16">
        <f t="shared" si="6"/>
        <v>55000</v>
      </c>
      <c r="K31" s="16">
        <f t="shared" si="7"/>
        <v>25000</v>
      </c>
      <c r="L31" s="30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28</v>
      </c>
      <c r="C32" s="14" t="s">
        <v>197</v>
      </c>
      <c r="D32" s="15">
        <v>3000.0</v>
      </c>
      <c r="E32" s="15">
        <f t="shared" si="4"/>
        <v>3000</v>
      </c>
      <c r="F32" s="16">
        <f t="shared" si="5"/>
        <v>3315</v>
      </c>
      <c r="G32" s="24"/>
      <c r="H32" s="32" t="s">
        <v>2</v>
      </c>
      <c r="I32" s="16">
        <v>2000.0</v>
      </c>
      <c r="J32" s="16">
        <f t="shared" si="6"/>
        <v>2000</v>
      </c>
      <c r="K32" s="16">
        <f t="shared" si="7"/>
        <v>1000</v>
      </c>
      <c r="L32" s="30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2.0</v>
      </c>
      <c r="B33" s="12" t="s">
        <v>17</v>
      </c>
      <c r="C33" s="14" t="s">
        <v>192</v>
      </c>
      <c r="D33" s="15">
        <v>3500.0</v>
      </c>
      <c r="E33" s="15">
        <f t="shared" si="4"/>
        <v>7000</v>
      </c>
      <c r="F33" s="16">
        <f t="shared" si="5"/>
        <v>7735</v>
      </c>
      <c r="G33" s="24"/>
      <c r="H33" s="32" t="s">
        <v>2</v>
      </c>
      <c r="I33" s="16">
        <f>23000/8</f>
        <v>2875</v>
      </c>
      <c r="J33" s="16">
        <f t="shared" si="6"/>
        <v>5750</v>
      </c>
      <c r="K33" s="16">
        <f t="shared" si="7"/>
        <v>1250</v>
      </c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17</v>
      </c>
      <c r="C34" s="14" t="s">
        <v>79</v>
      </c>
      <c r="D34" s="15">
        <v>3500.0</v>
      </c>
      <c r="E34" s="15">
        <f t="shared" si="4"/>
        <v>3500</v>
      </c>
      <c r="F34" s="16">
        <f t="shared" si="5"/>
        <v>3867.5</v>
      </c>
      <c r="G34" s="24"/>
      <c r="H34" s="32" t="s">
        <v>2</v>
      </c>
      <c r="I34" s="16">
        <f>7000/4</f>
        <v>1750</v>
      </c>
      <c r="J34" s="16">
        <f t="shared" si="6"/>
        <v>1750</v>
      </c>
      <c r="K34" s="16">
        <f t="shared" si="7"/>
        <v>1750</v>
      </c>
      <c r="L34" s="30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4.0</v>
      </c>
      <c r="B35" s="12" t="s">
        <v>28</v>
      </c>
      <c r="C35" s="14" t="s">
        <v>147</v>
      </c>
      <c r="D35" s="15">
        <v>500.0</v>
      </c>
      <c r="E35" s="15">
        <f t="shared" si="4"/>
        <v>2000</v>
      </c>
      <c r="F35" s="16">
        <f t="shared" si="5"/>
        <v>2210</v>
      </c>
      <c r="G35" s="24"/>
      <c r="H35" s="32" t="s">
        <v>2</v>
      </c>
      <c r="I35" s="16">
        <f>2000/6</f>
        <v>333.3333333</v>
      </c>
      <c r="J35" s="16">
        <f t="shared" si="6"/>
        <v>1333.333333</v>
      </c>
      <c r="K35" s="16">
        <f t="shared" si="7"/>
        <v>666.6666667</v>
      </c>
      <c r="L35" s="30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2.0</v>
      </c>
      <c r="B36" s="12" t="s">
        <v>17</v>
      </c>
      <c r="C36" s="14" t="s">
        <v>164</v>
      </c>
      <c r="D36" s="15">
        <v>6500.0</v>
      </c>
      <c r="E36" s="15">
        <f t="shared" si="4"/>
        <v>13000</v>
      </c>
      <c r="F36" s="16">
        <f t="shared" si="5"/>
        <v>14365</v>
      </c>
      <c r="H36" s="24"/>
      <c r="I36" s="16">
        <f>20000/4</f>
        <v>5000</v>
      </c>
      <c r="J36" s="16">
        <f t="shared" si="6"/>
        <v>10000</v>
      </c>
      <c r="K36" s="16">
        <f t="shared" si="7"/>
        <v>3000</v>
      </c>
      <c r="L36" s="30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/>
      <c r="B37" s="12"/>
      <c r="C37" s="14"/>
      <c r="D37" s="15"/>
      <c r="E37" s="16"/>
      <c r="F37" s="16"/>
      <c r="G37" s="24"/>
      <c r="H37" s="24"/>
      <c r="I37" s="16"/>
      <c r="J37" s="16"/>
      <c r="K37" s="16"/>
      <c r="L37" s="30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/>
      <c r="B38" s="12"/>
      <c r="C38" s="14"/>
      <c r="D38" s="15"/>
      <c r="E38" s="16">
        <f t="shared" ref="E38:F38" si="8">SUM(E24:E36)</f>
        <v>165800</v>
      </c>
      <c r="F38" s="16">
        <f t="shared" si="8"/>
        <v>183209</v>
      </c>
      <c r="G38" s="24"/>
      <c r="H38" s="24"/>
      <c r="I38" s="16"/>
      <c r="J38" s="16"/>
      <c r="K38" s="16">
        <f>SUM(K24:K36)</f>
        <v>51156.05159</v>
      </c>
      <c r="L38" s="30">
        <f>K38/E38</f>
        <v>0.3085407213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/>
      <c r="B39" s="12"/>
      <c r="C39" s="14"/>
      <c r="D39" s="15"/>
      <c r="E39" s="3"/>
      <c r="F39" s="3"/>
      <c r="G39" s="2"/>
      <c r="H39" s="2"/>
      <c r="I39" s="2"/>
      <c r="J39" s="2"/>
      <c r="K39" s="3"/>
      <c r="L39" s="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23"/>
      <c r="B40" s="23"/>
      <c r="C40" s="23"/>
      <c r="D40" s="25"/>
      <c r="E40" s="7"/>
      <c r="F40" s="7"/>
      <c r="G40" s="6"/>
      <c r="H40" s="3"/>
      <c r="I40" s="8"/>
      <c r="J40" s="8"/>
      <c r="K40" s="8"/>
      <c r="L40" s="4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23" t="s">
        <v>283</v>
      </c>
      <c r="B41" s="23"/>
      <c r="C41" s="23"/>
      <c r="D41" s="25" t="s">
        <v>167</v>
      </c>
      <c r="E41" s="7">
        <v>46051.0</v>
      </c>
      <c r="F41" s="7"/>
      <c r="G41" s="6"/>
      <c r="H41" s="3"/>
      <c r="I41" s="8" t="s">
        <v>3</v>
      </c>
      <c r="L41" s="4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B42" s="24"/>
      <c r="C42" s="26"/>
      <c r="D42" s="7"/>
      <c r="E42" s="24"/>
      <c r="F42" s="3"/>
      <c r="G42" s="3"/>
      <c r="H42" s="3"/>
      <c r="I42" s="3"/>
      <c r="J42" s="3"/>
      <c r="K42" s="3"/>
      <c r="L42" s="4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5" t="s">
        <v>4</v>
      </c>
      <c r="B43" s="10" t="s">
        <v>5</v>
      </c>
      <c r="C43" s="11" t="s">
        <v>6</v>
      </c>
      <c r="D43" s="12" t="s">
        <v>7</v>
      </c>
      <c r="E43" s="10" t="s">
        <v>8</v>
      </c>
      <c r="F43" s="12" t="s">
        <v>302</v>
      </c>
      <c r="G43" s="3"/>
      <c r="H43" s="3"/>
      <c r="I43" s="27" t="s">
        <v>7</v>
      </c>
      <c r="J43" s="10" t="s">
        <v>8</v>
      </c>
      <c r="K43" s="10" t="s">
        <v>10</v>
      </c>
      <c r="L43" s="4"/>
      <c r="M43" s="19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2.0</v>
      </c>
      <c r="B44" s="12" t="s">
        <v>17</v>
      </c>
      <c r="C44" s="14" t="s">
        <v>226</v>
      </c>
      <c r="D44" s="15">
        <v>1600.0</v>
      </c>
      <c r="E44" s="16">
        <f t="shared" ref="E44:E61" si="9">A44*D44</f>
        <v>3200</v>
      </c>
      <c r="F44" s="16">
        <f t="shared" ref="F44:F61" si="10">E44*1.105</f>
        <v>3536</v>
      </c>
      <c r="G44" s="2"/>
      <c r="H44" s="3"/>
      <c r="I44" s="15">
        <v>1000.0</v>
      </c>
      <c r="J44" s="15">
        <f t="shared" ref="J44:J61" si="11">I44*A44</f>
        <v>2000</v>
      </c>
      <c r="K44" s="15">
        <f t="shared" ref="K44:K61" si="12">E44-J44</f>
        <v>1200</v>
      </c>
      <c r="L44" s="2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0.5</v>
      </c>
      <c r="B45" s="12" t="s">
        <v>42</v>
      </c>
      <c r="C45" s="14" t="s">
        <v>70</v>
      </c>
      <c r="D45" s="15">
        <v>20000.0</v>
      </c>
      <c r="E45" s="16">
        <f t="shared" si="9"/>
        <v>10000</v>
      </c>
      <c r="F45" s="16">
        <f t="shared" si="10"/>
        <v>11050</v>
      </c>
      <c r="G45" s="2"/>
      <c r="H45" s="3"/>
      <c r="I45" s="15">
        <v>18500.0</v>
      </c>
      <c r="J45" s="15">
        <f t="shared" si="11"/>
        <v>9250</v>
      </c>
      <c r="K45" s="15">
        <f t="shared" si="12"/>
        <v>750</v>
      </c>
      <c r="L45" s="2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5.0</v>
      </c>
      <c r="B46" s="12" t="s">
        <v>17</v>
      </c>
      <c r="C46" s="14" t="s">
        <v>86</v>
      </c>
      <c r="D46" s="15">
        <v>1400.0</v>
      </c>
      <c r="E46" s="16">
        <f t="shared" si="9"/>
        <v>7000</v>
      </c>
      <c r="F46" s="16">
        <f t="shared" si="10"/>
        <v>7735</v>
      </c>
      <c r="G46" s="2"/>
      <c r="H46" s="3"/>
      <c r="I46" s="15">
        <f>1000</f>
        <v>1000</v>
      </c>
      <c r="J46" s="15">
        <f t="shared" si="11"/>
        <v>5000</v>
      </c>
      <c r="K46" s="15">
        <f t="shared" si="12"/>
        <v>2000</v>
      </c>
      <c r="L46" s="2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1.0</v>
      </c>
      <c r="B47" s="12" t="s">
        <v>17</v>
      </c>
      <c r="C47" s="14" t="s">
        <v>303</v>
      </c>
      <c r="D47" s="15">
        <v>26000.0</v>
      </c>
      <c r="E47" s="16">
        <f t="shared" si="9"/>
        <v>26000</v>
      </c>
      <c r="F47" s="16">
        <f t="shared" si="10"/>
        <v>28730</v>
      </c>
      <c r="G47" s="2"/>
      <c r="H47" s="3"/>
      <c r="I47" s="15">
        <v>22000.0</v>
      </c>
      <c r="J47" s="15">
        <f t="shared" si="11"/>
        <v>22000</v>
      </c>
      <c r="K47" s="15">
        <f t="shared" si="12"/>
        <v>4000</v>
      </c>
      <c r="L47" s="2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2.0</v>
      </c>
      <c r="B48" s="12" t="s">
        <v>17</v>
      </c>
      <c r="C48" s="14" t="s">
        <v>198</v>
      </c>
      <c r="D48" s="15">
        <v>1500.0</v>
      </c>
      <c r="E48" s="16">
        <f t="shared" si="9"/>
        <v>3000</v>
      </c>
      <c r="F48" s="16">
        <f t="shared" si="10"/>
        <v>3315</v>
      </c>
      <c r="G48" s="2"/>
      <c r="H48" s="3"/>
      <c r="I48" s="15">
        <v>1500.0</v>
      </c>
      <c r="J48" s="15">
        <f t="shared" si="11"/>
        <v>3000</v>
      </c>
      <c r="K48" s="15">
        <f t="shared" si="12"/>
        <v>0</v>
      </c>
      <c r="L48" s="2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1.0</v>
      </c>
      <c r="B49" s="12" t="s">
        <v>17</v>
      </c>
      <c r="C49" s="14" t="s">
        <v>37</v>
      </c>
      <c r="D49" s="15">
        <v>6500.0</v>
      </c>
      <c r="E49" s="16">
        <f t="shared" si="9"/>
        <v>6500</v>
      </c>
      <c r="F49" s="16">
        <f t="shared" si="10"/>
        <v>7182.5</v>
      </c>
      <c r="G49" s="2"/>
      <c r="H49" s="3"/>
      <c r="I49" s="15">
        <v>7000.0</v>
      </c>
      <c r="J49" s="15">
        <f t="shared" si="11"/>
        <v>7000</v>
      </c>
      <c r="K49" s="15">
        <f t="shared" si="12"/>
        <v>-500</v>
      </c>
      <c r="L49" s="2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2.0</v>
      </c>
      <c r="B50" s="12" t="s">
        <v>28</v>
      </c>
      <c r="C50" s="14" t="s">
        <v>78</v>
      </c>
      <c r="D50" s="15">
        <v>5500.0</v>
      </c>
      <c r="E50" s="16">
        <f t="shared" si="9"/>
        <v>11000</v>
      </c>
      <c r="F50" s="16">
        <f t="shared" si="10"/>
        <v>12155</v>
      </c>
      <c r="G50" s="2"/>
      <c r="H50" s="3"/>
      <c r="I50" s="15">
        <v>4000.0</v>
      </c>
      <c r="J50" s="15">
        <f t="shared" si="11"/>
        <v>8000</v>
      </c>
      <c r="K50" s="15">
        <f t="shared" si="12"/>
        <v>3000</v>
      </c>
      <c r="L50" s="2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3.0</v>
      </c>
      <c r="B51" s="12" t="s">
        <v>28</v>
      </c>
      <c r="C51" s="14" t="s">
        <v>197</v>
      </c>
      <c r="D51" s="15">
        <v>3000.0</v>
      </c>
      <c r="E51" s="16">
        <f t="shared" si="9"/>
        <v>9000</v>
      </c>
      <c r="F51" s="16">
        <f t="shared" si="10"/>
        <v>9945</v>
      </c>
      <c r="G51" s="2"/>
      <c r="H51" s="3"/>
      <c r="I51" s="15">
        <v>2000.0</v>
      </c>
      <c r="J51" s="15">
        <f t="shared" si="11"/>
        <v>6000</v>
      </c>
      <c r="K51" s="15">
        <f t="shared" si="12"/>
        <v>3000</v>
      </c>
      <c r="L51" s="2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2.0</v>
      </c>
      <c r="B52" s="12" t="s">
        <v>28</v>
      </c>
      <c r="C52" s="14" t="s">
        <v>63</v>
      </c>
      <c r="D52" s="15">
        <v>3000.0</v>
      </c>
      <c r="E52" s="16">
        <f t="shared" si="9"/>
        <v>6000</v>
      </c>
      <c r="F52" s="16">
        <f t="shared" si="10"/>
        <v>6630</v>
      </c>
      <c r="G52" s="2"/>
      <c r="H52" s="3"/>
      <c r="I52" s="15">
        <v>2000.0</v>
      </c>
      <c r="J52" s="15">
        <f t="shared" si="11"/>
        <v>4000</v>
      </c>
      <c r="K52" s="15">
        <f t="shared" si="12"/>
        <v>2000</v>
      </c>
      <c r="L52" s="2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1.0</v>
      </c>
      <c r="B53" s="12" t="s">
        <v>28</v>
      </c>
      <c r="C53" s="14" t="s">
        <v>193</v>
      </c>
      <c r="D53" s="15">
        <v>3000.0</v>
      </c>
      <c r="E53" s="16">
        <f t="shared" si="9"/>
        <v>3000</v>
      </c>
      <c r="F53" s="16">
        <f t="shared" si="10"/>
        <v>3315</v>
      </c>
      <c r="G53" s="2"/>
      <c r="H53" s="3"/>
      <c r="I53" s="15">
        <v>2000.0</v>
      </c>
      <c r="J53" s="15">
        <f t="shared" si="11"/>
        <v>2000</v>
      </c>
      <c r="K53" s="15">
        <f t="shared" si="12"/>
        <v>1000</v>
      </c>
      <c r="L53" s="2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0.25</v>
      </c>
      <c r="B54" s="12" t="s">
        <v>17</v>
      </c>
      <c r="C54" s="14" t="s">
        <v>304</v>
      </c>
      <c r="D54" s="15">
        <v>9500.0</v>
      </c>
      <c r="E54" s="16">
        <f t="shared" si="9"/>
        <v>2375</v>
      </c>
      <c r="F54" s="16">
        <f t="shared" si="10"/>
        <v>2624.375</v>
      </c>
      <c r="G54" s="2"/>
      <c r="H54" s="3"/>
      <c r="I54" s="15">
        <v>8000.0</v>
      </c>
      <c r="J54" s="15">
        <f t="shared" si="11"/>
        <v>2000</v>
      </c>
      <c r="K54" s="15">
        <f t="shared" si="12"/>
        <v>375</v>
      </c>
      <c r="L54" s="2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0.25</v>
      </c>
      <c r="B55" s="12" t="s">
        <v>17</v>
      </c>
      <c r="C55" s="14" t="s">
        <v>305</v>
      </c>
      <c r="D55" s="15">
        <v>9500.0</v>
      </c>
      <c r="E55" s="16">
        <f t="shared" si="9"/>
        <v>2375</v>
      </c>
      <c r="F55" s="16">
        <f t="shared" si="10"/>
        <v>2624.375</v>
      </c>
      <c r="G55" s="2"/>
      <c r="H55" s="3"/>
      <c r="I55" s="15">
        <v>8000.0</v>
      </c>
      <c r="J55" s="15">
        <f t="shared" si="11"/>
        <v>2000</v>
      </c>
      <c r="K55" s="15">
        <f t="shared" si="12"/>
        <v>375</v>
      </c>
      <c r="L55" s="2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2.0</v>
      </c>
      <c r="B56" s="12" t="s">
        <v>17</v>
      </c>
      <c r="C56" s="14" t="s">
        <v>194</v>
      </c>
      <c r="D56" s="15">
        <v>2700.0</v>
      </c>
      <c r="E56" s="16">
        <f t="shared" si="9"/>
        <v>5400</v>
      </c>
      <c r="F56" s="16">
        <f t="shared" si="10"/>
        <v>5967</v>
      </c>
      <c r="G56" s="2"/>
      <c r="H56" s="3"/>
      <c r="I56" s="15">
        <f>18000/8</f>
        <v>2250</v>
      </c>
      <c r="J56" s="15">
        <f t="shared" si="11"/>
        <v>4500</v>
      </c>
      <c r="K56" s="15">
        <f t="shared" si="12"/>
        <v>900</v>
      </c>
      <c r="L56" s="2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2.0</v>
      </c>
      <c r="B57" s="12" t="s">
        <v>17</v>
      </c>
      <c r="C57" s="14" t="s">
        <v>288</v>
      </c>
      <c r="D57" s="15">
        <v>3000.0</v>
      </c>
      <c r="E57" s="16">
        <f t="shared" si="9"/>
        <v>6000</v>
      </c>
      <c r="F57" s="16">
        <f t="shared" si="10"/>
        <v>6630</v>
      </c>
      <c r="G57" s="2"/>
      <c r="H57" s="3"/>
      <c r="I57" s="15">
        <f>15000/8</f>
        <v>1875</v>
      </c>
      <c r="J57" s="15">
        <f t="shared" si="11"/>
        <v>3750</v>
      </c>
      <c r="K57" s="15">
        <f t="shared" si="12"/>
        <v>2250</v>
      </c>
      <c r="L57" s="22"/>
      <c r="M57" s="20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0.25</v>
      </c>
      <c r="B58" s="12" t="s">
        <v>17</v>
      </c>
      <c r="C58" s="14" t="s">
        <v>306</v>
      </c>
      <c r="D58" s="15">
        <v>9500.0</v>
      </c>
      <c r="E58" s="16">
        <f t="shared" si="9"/>
        <v>2375</v>
      </c>
      <c r="F58" s="16">
        <f t="shared" si="10"/>
        <v>2624.375</v>
      </c>
      <c r="G58" s="2"/>
      <c r="H58" s="3"/>
      <c r="I58" s="15">
        <v>8000.0</v>
      </c>
      <c r="J58" s="15">
        <f t="shared" si="11"/>
        <v>2000</v>
      </c>
      <c r="K58" s="15">
        <f t="shared" si="12"/>
        <v>375</v>
      </c>
      <c r="L58" s="22"/>
      <c r="M58" s="20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5.0</v>
      </c>
      <c r="B59" s="12" t="s">
        <v>5</v>
      </c>
      <c r="C59" s="14" t="s">
        <v>69</v>
      </c>
      <c r="D59" s="15">
        <v>900.0</v>
      </c>
      <c r="E59" s="16">
        <f t="shared" si="9"/>
        <v>4500</v>
      </c>
      <c r="F59" s="16">
        <f t="shared" si="10"/>
        <v>4972.5</v>
      </c>
      <c r="G59" s="2"/>
      <c r="H59" s="3"/>
      <c r="I59" s="15">
        <v>560.0</v>
      </c>
      <c r="J59" s="15">
        <f t="shared" si="11"/>
        <v>2800</v>
      </c>
      <c r="K59" s="15">
        <f t="shared" si="12"/>
        <v>1700</v>
      </c>
      <c r="L59" s="22"/>
      <c r="M59" s="20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5.0</v>
      </c>
      <c r="B60" s="12" t="s">
        <v>17</v>
      </c>
      <c r="C60" s="14" t="s">
        <v>45</v>
      </c>
      <c r="D60" s="15">
        <v>2700.0</v>
      </c>
      <c r="E60" s="16">
        <f t="shared" si="9"/>
        <v>13500</v>
      </c>
      <c r="F60" s="16">
        <f t="shared" si="10"/>
        <v>14917.5</v>
      </c>
      <c r="G60" s="2"/>
      <c r="H60" s="3"/>
      <c r="I60" s="15">
        <f>30000/15</f>
        <v>2000</v>
      </c>
      <c r="J60" s="15">
        <f t="shared" si="11"/>
        <v>10000</v>
      </c>
      <c r="K60" s="15">
        <f t="shared" si="12"/>
        <v>3500</v>
      </c>
      <c r="L60" s="22"/>
      <c r="M60" s="20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2.0</v>
      </c>
      <c r="B61" s="12" t="s">
        <v>13</v>
      </c>
      <c r="C61" s="14" t="s">
        <v>307</v>
      </c>
      <c r="D61" s="15">
        <v>75000.0</v>
      </c>
      <c r="E61" s="16">
        <f t="shared" si="9"/>
        <v>150000</v>
      </c>
      <c r="F61" s="16">
        <f t="shared" si="10"/>
        <v>165750</v>
      </c>
      <c r="G61" s="2"/>
      <c r="H61" s="3"/>
      <c r="I61" s="15">
        <v>57000.0</v>
      </c>
      <c r="J61" s="15">
        <f t="shared" si="11"/>
        <v>114000</v>
      </c>
      <c r="K61" s="15">
        <f t="shared" si="12"/>
        <v>36000</v>
      </c>
      <c r="L61" s="4"/>
      <c r="M61" s="17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/>
      <c r="B62" s="12"/>
      <c r="C62" s="14"/>
      <c r="D62" s="15"/>
      <c r="E62" s="16"/>
      <c r="F62" s="15"/>
      <c r="G62" s="2"/>
      <c r="H62" s="3"/>
      <c r="I62" s="3"/>
      <c r="J62" s="3"/>
      <c r="K62" s="15"/>
      <c r="L62" s="22"/>
      <c r="M62" s="20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/>
      <c r="B63" s="12"/>
      <c r="C63" s="14"/>
      <c r="D63" s="15"/>
      <c r="E63" s="16">
        <f t="shared" ref="E63:F63" si="13">SUM(E44:E61)</f>
        <v>271225</v>
      </c>
      <c r="F63" s="16">
        <f t="shared" si="13"/>
        <v>299703.625</v>
      </c>
      <c r="G63" s="2"/>
      <c r="H63" s="3"/>
      <c r="I63" s="3"/>
      <c r="J63" s="3"/>
      <c r="K63" s="15">
        <f>SUM(K44:K61)</f>
        <v>61925</v>
      </c>
      <c r="L63" s="22">
        <f>K63/E63</f>
        <v>0.2283159738</v>
      </c>
      <c r="M63" s="20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/>
      <c r="B64" s="83"/>
      <c r="C64" s="14"/>
      <c r="D64" s="15"/>
      <c r="E64" s="16"/>
      <c r="F64" s="15"/>
      <c r="G64" s="2"/>
      <c r="H64" s="3"/>
      <c r="I64" s="16"/>
      <c r="J64" s="15"/>
      <c r="K64" s="15"/>
      <c r="L64" s="25"/>
      <c r="M64" s="20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 t="s">
        <v>284</v>
      </c>
      <c r="B65" s="83">
        <v>0.04</v>
      </c>
      <c r="C65" s="14"/>
      <c r="D65" s="15"/>
      <c r="E65" s="16">
        <f>E63*0.04</f>
        <v>10849</v>
      </c>
      <c r="F65" s="15"/>
      <c r="G65" s="2"/>
      <c r="H65" s="3"/>
      <c r="I65" s="16"/>
      <c r="J65" s="15"/>
      <c r="K65" s="15"/>
      <c r="L65" s="25"/>
      <c r="M65" s="20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/>
      <c r="B66" s="12"/>
      <c r="C66" s="14"/>
      <c r="D66" s="15"/>
      <c r="E66" s="16"/>
      <c r="F66" s="15"/>
      <c r="G66" s="2"/>
      <c r="H66" s="3"/>
      <c r="I66" s="16"/>
      <c r="J66" s="15"/>
      <c r="K66" s="15"/>
      <c r="L66" s="25"/>
      <c r="M66" s="20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5"/>
      <c r="B67" s="5"/>
      <c r="C67" s="5"/>
      <c r="D67" s="6"/>
      <c r="E67" s="25"/>
      <c r="F67" s="7"/>
      <c r="G67" s="3"/>
      <c r="H67" s="3"/>
      <c r="I67" s="8"/>
      <c r="J67" s="8"/>
      <c r="K67" s="8"/>
      <c r="L67" s="4"/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5"/>
      <c r="B68" s="5"/>
      <c r="C68" s="5"/>
      <c r="D68" s="6"/>
      <c r="E68" s="25"/>
      <c r="F68" s="7"/>
      <c r="G68" s="3"/>
      <c r="H68" s="3"/>
      <c r="I68" s="8"/>
      <c r="J68" s="8"/>
      <c r="K68" s="8"/>
      <c r="L68" s="4"/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5" t="s">
        <v>285</v>
      </c>
      <c r="B69" s="5"/>
      <c r="C69" s="5"/>
      <c r="D69" s="6"/>
      <c r="E69" s="25" t="s">
        <v>167</v>
      </c>
      <c r="F69" s="7">
        <v>46051.0</v>
      </c>
      <c r="G69" s="3" t="s">
        <v>2</v>
      </c>
      <c r="H69" s="3"/>
      <c r="I69" s="8" t="s">
        <v>3</v>
      </c>
      <c r="L69" s="4"/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"/>
      <c r="B70" s="3"/>
      <c r="C70" s="9"/>
      <c r="D70" s="3"/>
      <c r="E70" s="3"/>
      <c r="F70" s="3"/>
      <c r="G70" s="3"/>
      <c r="H70" s="3"/>
      <c r="I70" s="3"/>
      <c r="J70" s="3"/>
      <c r="K70" s="3"/>
      <c r="L70" s="4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5" t="s">
        <v>4</v>
      </c>
      <c r="B71" s="10" t="s">
        <v>5</v>
      </c>
      <c r="C71" s="11" t="s">
        <v>6</v>
      </c>
      <c r="D71" s="10" t="s">
        <v>7</v>
      </c>
      <c r="E71" s="10" t="s">
        <v>8</v>
      </c>
      <c r="F71" s="10" t="s">
        <v>2</v>
      </c>
      <c r="G71" s="3"/>
      <c r="H71" s="3"/>
      <c r="I71" s="10" t="s">
        <v>7</v>
      </c>
      <c r="J71" s="10" t="s">
        <v>8</v>
      </c>
      <c r="K71" s="10" t="s">
        <v>10</v>
      </c>
      <c r="L71" s="4"/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78">
        <v>1.0</v>
      </c>
      <c r="B72" s="10" t="s">
        <v>17</v>
      </c>
      <c r="C72" s="11" t="s">
        <v>278</v>
      </c>
      <c r="D72" s="15">
        <v>3000.0</v>
      </c>
      <c r="E72" s="15">
        <f t="shared" ref="E72:E79" si="14">A72*D72</f>
        <v>3000</v>
      </c>
      <c r="F72" s="15"/>
      <c r="G72" s="3"/>
      <c r="H72" s="6"/>
      <c r="I72" s="15">
        <f>7000/4</f>
        <v>1750</v>
      </c>
      <c r="J72" s="15">
        <f t="shared" ref="J72:J79" si="15">I72*A72</f>
        <v>1750</v>
      </c>
      <c r="K72" s="15">
        <f t="shared" ref="K72:K79" si="16">E72-J72</f>
        <v>1250</v>
      </c>
      <c r="L72" s="4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78">
        <v>3.0</v>
      </c>
      <c r="B73" s="10" t="s">
        <v>28</v>
      </c>
      <c r="C73" s="11" t="s">
        <v>147</v>
      </c>
      <c r="D73" s="15">
        <v>350.0</v>
      </c>
      <c r="E73" s="15">
        <f t="shared" si="14"/>
        <v>1050</v>
      </c>
      <c r="F73" s="15"/>
      <c r="G73" s="3"/>
      <c r="H73" s="6"/>
      <c r="I73" s="15">
        <f>2000/6</f>
        <v>333.3333333</v>
      </c>
      <c r="J73" s="15">
        <f t="shared" si="15"/>
        <v>1000</v>
      </c>
      <c r="K73" s="15">
        <f t="shared" si="16"/>
        <v>50</v>
      </c>
      <c r="L73" s="4"/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78">
        <v>12.0</v>
      </c>
      <c r="B74" s="10" t="s">
        <v>5</v>
      </c>
      <c r="C74" s="11" t="s">
        <v>38</v>
      </c>
      <c r="D74" s="15">
        <v>1200.0</v>
      </c>
      <c r="E74" s="15">
        <f t="shared" si="14"/>
        <v>14400</v>
      </c>
      <c r="F74" s="15"/>
      <c r="G74" s="3"/>
      <c r="H74" s="3" t="s">
        <v>2</v>
      </c>
      <c r="I74" s="15">
        <f>57000/70</f>
        <v>814.2857143</v>
      </c>
      <c r="J74" s="15">
        <f t="shared" si="15"/>
        <v>9771.428571</v>
      </c>
      <c r="K74" s="15">
        <f t="shared" si="16"/>
        <v>4628.571429</v>
      </c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78">
        <v>1.5</v>
      </c>
      <c r="B75" s="10" t="s">
        <v>17</v>
      </c>
      <c r="C75" s="11" t="s">
        <v>192</v>
      </c>
      <c r="D75" s="15">
        <v>3500.0</v>
      </c>
      <c r="E75" s="15">
        <f t="shared" si="14"/>
        <v>5250</v>
      </c>
      <c r="F75" s="15"/>
      <c r="G75" s="3"/>
      <c r="H75" s="3" t="s">
        <v>2</v>
      </c>
      <c r="I75" s="15">
        <f>23000/8</f>
        <v>2875</v>
      </c>
      <c r="J75" s="15">
        <f t="shared" si="15"/>
        <v>4312.5</v>
      </c>
      <c r="K75" s="15">
        <f t="shared" si="16"/>
        <v>937.5</v>
      </c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78">
        <v>1.0</v>
      </c>
      <c r="B76" s="10" t="s">
        <v>32</v>
      </c>
      <c r="C76" s="11" t="s">
        <v>20</v>
      </c>
      <c r="D76" s="15">
        <v>15000.0</v>
      </c>
      <c r="E76" s="15">
        <f t="shared" si="14"/>
        <v>15000</v>
      </c>
      <c r="F76" s="15"/>
      <c r="G76" s="3"/>
      <c r="H76" s="3"/>
      <c r="I76" s="15">
        <v>11000.0</v>
      </c>
      <c r="J76" s="15">
        <f t="shared" si="15"/>
        <v>11000</v>
      </c>
      <c r="K76" s="15">
        <f t="shared" si="16"/>
        <v>4000</v>
      </c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78">
        <v>1.0</v>
      </c>
      <c r="B77" s="10" t="s">
        <v>17</v>
      </c>
      <c r="C77" s="11" t="s">
        <v>164</v>
      </c>
      <c r="D77" s="15">
        <v>6000.0</v>
      </c>
      <c r="E77" s="15">
        <f t="shared" si="14"/>
        <v>6000</v>
      </c>
      <c r="F77" s="15"/>
      <c r="G77" s="3"/>
      <c r="H77" s="3"/>
      <c r="I77" s="15">
        <f>20000/4</f>
        <v>5000</v>
      </c>
      <c r="J77" s="15">
        <f t="shared" si="15"/>
        <v>5000</v>
      </c>
      <c r="K77" s="15">
        <f t="shared" si="16"/>
        <v>1000</v>
      </c>
      <c r="L77" s="4"/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78">
        <v>0.4</v>
      </c>
      <c r="B78" s="10" t="s">
        <v>17</v>
      </c>
      <c r="C78" s="11" t="s">
        <v>37</v>
      </c>
      <c r="D78" s="15">
        <v>6500.0</v>
      </c>
      <c r="E78" s="15">
        <f t="shared" si="14"/>
        <v>2600</v>
      </c>
      <c r="F78" s="15"/>
      <c r="G78" s="3"/>
      <c r="H78" s="3" t="s">
        <v>2</v>
      </c>
      <c r="I78" s="15">
        <v>7000.0</v>
      </c>
      <c r="J78" s="15">
        <f t="shared" si="15"/>
        <v>2800</v>
      </c>
      <c r="K78" s="15">
        <f t="shared" si="16"/>
        <v>-200</v>
      </c>
      <c r="L78" s="4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78">
        <v>3.0</v>
      </c>
      <c r="B79" s="10" t="s">
        <v>17</v>
      </c>
      <c r="C79" s="11" t="s">
        <v>45</v>
      </c>
      <c r="D79" s="15">
        <v>2700.0</v>
      </c>
      <c r="E79" s="15">
        <f t="shared" si="14"/>
        <v>8100</v>
      </c>
      <c r="F79" s="15"/>
      <c r="G79" s="3"/>
      <c r="H79" s="3" t="s">
        <v>2</v>
      </c>
      <c r="I79" s="15">
        <f>30000/15</f>
        <v>2000</v>
      </c>
      <c r="J79" s="15">
        <f t="shared" si="15"/>
        <v>6000</v>
      </c>
      <c r="K79" s="15">
        <f t="shared" si="16"/>
        <v>2100</v>
      </c>
      <c r="L79" s="4"/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"/>
      <c r="B80" s="3"/>
      <c r="C80" s="2"/>
      <c r="D80" s="3"/>
      <c r="E80" s="3"/>
      <c r="F80" s="3"/>
      <c r="G80" s="3"/>
      <c r="H80" s="3"/>
      <c r="I80" s="3"/>
      <c r="J80" s="3"/>
      <c r="K80" s="3"/>
      <c r="L80" s="4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"/>
      <c r="B81" s="3"/>
      <c r="C81" s="2"/>
      <c r="D81" s="3"/>
      <c r="E81" s="15">
        <f>SUM(E72:E79)</f>
        <v>55400</v>
      </c>
      <c r="F81" s="15"/>
      <c r="G81" s="3"/>
      <c r="H81" s="3"/>
      <c r="I81" s="3"/>
      <c r="J81" s="3"/>
      <c r="K81" s="15">
        <f>SUM(K72:K79)</f>
        <v>13766.07143</v>
      </c>
      <c r="L81" s="22">
        <f>K81/E81</f>
        <v>0.2484850438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/>
      <c r="B82" s="12"/>
      <c r="C82" s="14"/>
      <c r="D82" s="15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 t="s">
        <v>284</v>
      </c>
      <c r="B83" s="83">
        <v>0.04</v>
      </c>
      <c r="C83" s="14"/>
      <c r="D83" s="15"/>
      <c r="E83" s="16">
        <f>E81*0.04</f>
        <v>2216</v>
      </c>
      <c r="F83" s="15"/>
      <c r="G83" s="2"/>
      <c r="H83" s="3"/>
      <c r="I83" s="16"/>
      <c r="J83" s="15"/>
      <c r="K83" s="15"/>
      <c r="L83" s="25"/>
      <c r="M83" s="20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5"/>
      <c r="B84" s="5"/>
      <c r="C84" s="5"/>
      <c r="D84" s="6"/>
      <c r="E84" s="25"/>
      <c r="F84" s="7"/>
      <c r="G84" s="3"/>
      <c r="H84" s="3"/>
      <c r="I84" s="8"/>
      <c r="J84" s="8"/>
      <c r="K84" s="8"/>
      <c r="L84" s="4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5"/>
      <c r="B85" s="5"/>
      <c r="C85" s="5"/>
      <c r="D85" s="6"/>
      <c r="E85" s="25"/>
      <c r="F85" s="7"/>
      <c r="G85" s="3"/>
      <c r="H85" s="3"/>
      <c r="I85" s="8"/>
      <c r="J85" s="8"/>
      <c r="K85" s="8"/>
      <c r="L85" s="4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5" t="s">
        <v>308</v>
      </c>
      <c r="B86" s="5"/>
      <c r="C86" s="5"/>
      <c r="D86" s="6"/>
      <c r="E86" s="25" t="s">
        <v>48</v>
      </c>
      <c r="F86" s="7">
        <v>46051.0</v>
      </c>
      <c r="G86" s="3" t="s">
        <v>2</v>
      </c>
      <c r="H86" s="3"/>
      <c r="I86" s="8" t="s">
        <v>3</v>
      </c>
      <c r="L86" s="4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"/>
      <c r="B87" s="3"/>
      <c r="C87" s="9"/>
      <c r="D87" s="3"/>
      <c r="E87" s="3"/>
      <c r="F87" s="3"/>
      <c r="G87" s="3"/>
      <c r="H87" s="3"/>
      <c r="I87" s="3"/>
      <c r="J87" s="3"/>
      <c r="K87" s="3"/>
      <c r="L87" s="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5" t="s">
        <v>4</v>
      </c>
      <c r="B88" s="10" t="s">
        <v>5</v>
      </c>
      <c r="C88" s="11" t="s">
        <v>6</v>
      </c>
      <c r="D88" s="10" t="s">
        <v>7</v>
      </c>
      <c r="E88" s="10" t="s">
        <v>8</v>
      </c>
      <c r="F88" s="10" t="s">
        <v>2</v>
      </c>
      <c r="G88" s="3"/>
      <c r="H88" s="3"/>
      <c r="I88" s="10" t="s">
        <v>7</v>
      </c>
      <c r="J88" s="10" t="s">
        <v>8</v>
      </c>
      <c r="K88" s="10" t="s">
        <v>10</v>
      </c>
      <c r="L88" s="4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78">
        <v>1.0</v>
      </c>
      <c r="B89" s="10" t="s">
        <v>32</v>
      </c>
      <c r="C89" s="11" t="s">
        <v>309</v>
      </c>
      <c r="D89" s="15">
        <v>16000.0</v>
      </c>
      <c r="E89" s="15">
        <f>A89*D89</f>
        <v>16000</v>
      </c>
      <c r="F89" s="15"/>
      <c r="G89" s="3"/>
      <c r="H89" s="6"/>
      <c r="I89" s="15">
        <v>11000.0</v>
      </c>
      <c r="J89" s="15">
        <f>I89*A89</f>
        <v>11000</v>
      </c>
      <c r="K89" s="15">
        <f>E89-J89</f>
        <v>5000</v>
      </c>
      <c r="L89" s="4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"/>
      <c r="B90" s="3"/>
      <c r="C90" s="2"/>
      <c r="D90" s="3"/>
      <c r="E90" s="3"/>
      <c r="F90" s="3"/>
      <c r="G90" s="3"/>
      <c r="H90" s="3"/>
      <c r="I90" s="3"/>
      <c r="J90" s="3"/>
      <c r="K90" s="3"/>
      <c r="L90" s="4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"/>
      <c r="B91" s="3"/>
      <c r="C91" s="2"/>
      <c r="D91" s="3"/>
      <c r="E91" s="15">
        <f>SUM(E89)</f>
        <v>16000</v>
      </c>
      <c r="F91" s="15"/>
      <c r="G91" s="3"/>
      <c r="H91" s="3"/>
      <c r="I91" s="3"/>
      <c r="J91" s="3"/>
      <c r="K91" s="15">
        <f>SUM(K89)</f>
        <v>5000</v>
      </c>
      <c r="L91" s="22">
        <f>K91/E91</f>
        <v>0.3125</v>
      </c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/>
      <c r="B92" s="12"/>
      <c r="C92" s="14"/>
      <c r="D92" s="15"/>
      <c r="E92" s="3"/>
      <c r="F92" s="3"/>
      <c r="G92" s="2"/>
      <c r="H92" s="2"/>
      <c r="I92" s="2"/>
      <c r="J92" s="2"/>
      <c r="K92" s="3"/>
      <c r="L92" s="4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 t="s">
        <v>284</v>
      </c>
      <c r="B93" s="83">
        <v>0.04</v>
      </c>
      <c r="C93" s="14"/>
      <c r="D93" s="15"/>
      <c r="E93" s="16">
        <f>E91*0.04</f>
        <v>640</v>
      </c>
      <c r="F93" s="15"/>
      <c r="G93" s="2"/>
      <c r="H93" s="3"/>
      <c r="I93" s="16"/>
      <c r="J93" s="15"/>
      <c r="K93" s="15"/>
      <c r="L93" s="25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33"/>
      <c r="B94" s="34"/>
      <c r="C94" s="2"/>
      <c r="D94" s="3"/>
      <c r="E94" s="3"/>
      <c r="F94" s="3"/>
      <c r="G94" s="2"/>
      <c r="H94" s="2"/>
      <c r="I94" s="2"/>
      <c r="J94" s="2"/>
      <c r="K94" s="3"/>
      <c r="L94" s="4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33"/>
      <c r="B95" s="34"/>
      <c r="C95" s="2"/>
      <c r="D95" s="3"/>
      <c r="E95" s="3"/>
      <c r="F95" s="3"/>
      <c r="G95" s="2"/>
      <c r="H95" s="2"/>
      <c r="I95" s="2"/>
      <c r="J95" s="2"/>
      <c r="K95" s="3"/>
      <c r="L95" s="4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33"/>
      <c r="B96" s="34"/>
      <c r="C96" s="2"/>
      <c r="D96" s="3"/>
      <c r="E96" s="3"/>
      <c r="F96" s="3"/>
      <c r="G96" s="2"/>
      <c r="H96" s="2"/>
      <c r="I96" s="2"/>
      <c r="J96" s="2"/>
      <c r="K96" s="3"/>
      <c r="L96" s="4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33" t="s">
        <v>88</v>
      </c>
      <c r="B97" s="34">
        <f>E91+E81+F63+F38+E18</f>
        <v>677412.625</v>
      </c>
      <c r="C97" s="2"/>
      <c r="D97" s="3"/>
      <c r="E97" s="3"/>
      <c r="F97" s="3"/>
      <c r="G97" s="2"/>
      <c r="H97" s="2"/>
      <c r="I97" s="2"/>
      <c r="J97" s="2"/>
      <c r="K97" s="3"/>
      <c r="L97" s="4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"/>
      <c r="B98" s="2"/>
      <c r="C98" s="2"/>
      <c r="D98" s="3"/>
      <c r="E98" s="3"/>
      <c r="F98" s="3"/>
      <c r="G98" s="2"/>
      <c r="H98" s="2"/>
      <c r="I98" s="2"/>
      <c r="J98" s="2"/>
      <c r="K98" s="3"/>
      <c r="L98" s="4"/>
      <c r="M98" s="2"/>
      <c r="N98" s="2"/>
      <c r="O98" s="2"/>
      <c r="P98" s="2"/>
      <c r="Q98" s="3"/>
      <c r="R98" s="9"/>
      <c r="S98" s="3"/>
      <c r="T98" s="3"/>
      <c r="U98" s="1"/>
      <c r="V98" s="3"/>
      <c r="W98" s="3"/>
      <c r="X98" s="3"/>
      <c r="Y98" s="3"/>
      <c r="Z98" s="3"/>
    </row>
    <row r="99">
      <c r="A99" s="33" t="s">
        <v>89</v>
      </c>
      <c r="B99" s="34">
        <f>K91+K81+K63+K38+K18</f>
        <v>156147.123</v>
      </c>
      <c r="C99" s="2"/>
      <c r="D99" s="3"/>
      <c r="E99" s="3"/>
      <c r="F99" s="3"/>
      <c r="G99" s="2"/>
      <c r="H99" s="2"/>
      <c r="I99" s="2"/>
      <c r="J99" s="2"/>
      <c r="K99" s="3"/>
      <c r="L99" s="4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"/>
      <c r="B100" s="2"/>
      <c r="C100" s="2"/>
      <c r="D100" s="3"/>
      <c r="E100" s="3"/>
      <c r="F100" s="3"/>
      <c r="G100" s="2"/>
      <c r="H100" s="2"/>
      <c r="I100" s="2"/>
      <c r="J100" s="2"/>
      <c r="K100" s="3"/>
      <c r="L100" s="4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33" t="s">
        <v>90</v>
      </c>
      <c r="B101" s="35">
        <f>B99/B97</f>
        <v>0.2305051858</v>
      </c>
      <c r="C101" s="2"/>
      <c r="D101" s="3"/>
      <c r="E101" s="3"/>
      <c r="F101" s="3"/>
      <c r="G101" s="2"/>
      <c r="H101" s="2"/>
      <c r="I101" s="2"/>
      <c r="J101" s="2"/>
      <c r="K101" s="3"/>
      <c r="L101" s="4"/>
      <c r="M101" s="2"/>
      <c r="N101" s="2"/>
      <c r="O101" s="2"/>
      <c r="P101" s="2"/>
      <c r="Q101" s="2"/>
      <c r="R101" s="2"/>
      <c r="S101" s="3"/>
      <c r="T101" s="3"/>
      <c r="U101" s="1"/>
      <c r="V101" s="3"/>
      <c r="W101" s="3"/>
      <c r="X101" s="2"/>
      <c r="Y101" s="2"/>
      <c r="Z101" s="2"/>
    </row>
    <row r="102">
      <c r="A102" s="1"/>
      <c r="B102" s="2"/>
      <c r="C102" s="2"/>
      <c r="D102" s="3"/>
      <c r="E102" s="3"/>
      <c r="F102" s="3"/>
      <c r="G102" s="2"/>
      <c r="H102" s="2"/>
      <c r="I102" s="2"/>
      <c r="J102" s="2"/>
      <c r="K102" s="3"/>
      <c r="L102" s="4"/>
      <c r="M102" s="2"/>
      <c r="N102" s="2"/>
      <c r="O102" s="2"/>
      <c r="P102" s="2"/>
      <c r="Q102" s="3"/>
      <c r="R102" s="9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36" t="s">
        <v>91</v>
      </c>
      <c r="C103" s="37"/>
      <c r="D103" s="6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9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"/>
      <c r="B105" s="2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"/>
      <c r="B106" s="1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X107" s="3"/>
      <c r="Y107" s="3"/>
      <c r="Z107" s="3"/>
    </row>
    <row r="108" ht="15.75" customHeight="1">
      <c r="A108" s="39"/>
      <c r="B108" s="40" t="s">
        <v>92</v>
      </c>
      <c r="C108" s="41" t="s">
        <v>93</v>
      </c>
      <c r="D108" s="42" t="s">
        <v>94</v>
      </c>
      <c r="E108" s="42" t="s">
        <v>95</v>
      </c>
      <c r="F108" s="42" t="s">
        <v>96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9"/>
      <c r="X108" s="3"/>
      <c r="Y108" s="3"/>
      <c r="Z108" s="3"/>
    </row>
    <row r="109" ht="15.75" customHeight="1">
      <c r="A109" s="43"/>
      <c r="B109" s="44">
        <f>'22-01-2026 '!B126</f>
        <v>213537.25</v>
      </c>
      <c r="C109" s="44">
        <f>'22-01-2026 '!C126</f>
        <v>1338479.728</v>
      </c>
      <c r="D109" s="44">
        <f>'22-01-2026 '!D126</f>
        <v>2388443.928</v>
      </c>
      <c r="E109" s="44">
        <f>'22-01-2026 '!E126</f>
        <v>0</v>
      </c>
      <c r="F109" s="44">
        <f>'22-01-2026 '!F126</f>
        <v>637428.4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1"/>
      <c r="B110" s="46"/>
      <c r="C110" s="46"/>
      <c r="D110" s="46"/>
      <c r="E110" s="4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40" t="s">
        <v>97</v>
      </c>
      <c r="B111" s="47"/>
      <c r="C111" s="47"/>
      <c r="D111" s="47"/>
      <c r="E111" s="47"/>
      <c r="F111" s="4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98</v>
      </c>
      <c r="B112" s="49">
        <v>0.0</v>
      </c>
      <c r="C112" s="49">
        <v>0.0</v>
      </c>
      <c r="D112" s="49">
        <v>0.0</v>
      </c>
      <c r="E112" s="49">
        <v>0.0</v>
      </c>
      <c r="F112" s="49">
        <v>964956.69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99</v>
      </c>
      <c r="B113" s="49">
        <v>0.0</v>
      </c>
      <c r="C113" s="49">
        <v>1008.47</v>
      </c>
      <c r="D113" s="49">
        <v>0.0</v>
      </c>
      <c r="E113" s="49">
        <v>0.0</v>
      </c>
      <c r="F113" s="49">
        <v>0.0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100</v>
      </c>
      <c r="B114" s="49">
        <v>0.0</v>
      </c>
      <c r="C114" s="49">
        <v>0.0</v>
      </c>
      <c r="D114" s="49">
        <v>0.0</v>
      </c>
      <c r="E114" s="49">
        <v>0.0</v>
      </c>
      <c r="F114" s="49">
        <v>0.0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101</v>
      </c>
      <c r="B115" s="49">
        <v>0.0</v>
      </c>
      <c r="C115" s="49">
        <v>0.0</v>
      </c>
      <c r="D115" s="49">
        <v>0.0</v>
      </c>
      <c r="E115" s="49">
        <v>0.0</v>
      </c>
      <c r="F115" s="49">
        <v>0.0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13" t="s">
        <v>102</v>
      </c>
      <c r="B116" s="49">
        <v>0.0</v>
      </c>
      <c r="C116" s="49">
        <v>0.0</v>
      </c>
      <c r="D116" s="49">
        <v>0.0</v>
      </c>
      <c r="E116" s="49">
        <v>0.0</v>
      </c>
      <c r="F116" s="49">
        <v>0.0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202</v>
      </c>
      <c r="B117" s="49">
        <v>0.0</v>
      </c>
      <c r="C117" s="49">
        <v>0.0</v>
      </c>
      <c r="D117" s="49">
        <v>0.0</v>
      </c>
      <c r="E117" s="49">
        <v>0.0</v>
      </c>
      <c r="F117" s="49">
        <v>0.0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203</v>
      </c>
      <c r="B118" s="49">
        <v>0.0</v>
      </c>
      <c r="C118" s="50">
        <f>C112*2%</f>
        <v>0</v>
      </c>
      <c r="D118" s="49">
        <f>SUM(D112:D113)*2%</f>
        <v>0</v>
      </c>
      <c r="E118" s="49">
        <v>0.0</v>
      </c>
      <c r="F118" s="49">
        <v>0.0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103</v>
      </c>
      <c r="B119" s="49">
        <v>0.0</v>
      </c>
      <c r="C119" s="50">
        <f>C112*0.6%+C115*0.6%</f>
        <v>0</v>
      </c>
      <c r="D119" s="49">
        <f>SUM(D112:D114)*0.6%</f>
        <v>0</v>
      </c>
      <c r="E119" s="49">
        <v>0.0</v>
      </c>
      <c r="F119" s="49">
        <v>0.0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1"/>
      <c r="B120" s="46"/>
      <c r="C120" s="46"/>
      <c r="D120" s="46"/>
      <c r="E120" s="4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51" t="s">
        <v>8</v>
      </c>
      <c r="B121" s="52">
        <f>SUM(B109:B119)</f>
        <v>213537.25</v>
      </c>
      <c r="C121" s="52">
        <f>C109+C112+C115+C116-C119+C113-C118</f>
        <v>1339488.198</v>
      </c>
      <c r="D121" s="53">
        <f>D109+D112+D115+D116-D119+D114-D118-D117</f>
        <v>2388443.928</v>
      </c>
      <c r="E121" s="52">
        <f>E109+E112+E115+E116-E119</f>
        <v>0</v>
      </c>
      <c r="F121" s="54">
        <f>F109+F112+F115+F116-F119-D114</f>
        <v>1602385.09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"/>
      <c r="B122" s="1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40" t="s">
        <v>104</v>
      </c>
      <c r="B123" s="47"/>
      <c r="C123" s="47"/>
      <c r="D123" s="47"/>
      <c r="E123" s="47"/>
      <c r="F123" s="4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105</v>
      </c>
      <c r="B124" s="55">
        <v>1000.0</v>
      </c>
      <c r="C124" s="55">
        <v>0.0</v>
      </c>
      <c r="D124" s="55">
        <v>0.0</v>
      </c>
      <c r="E124" s="55">
        <v>0.0</v>
      </c>
      <c r="F124" s="2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106</v>
      </c>
      <c r="B125" s="49">
        <v>0.0</v>
      </c>
      <c r="C125" s="49">
        <v>0.0</v>
      </c>
      <c r="D125" s="49">
        <v>0.0</v>
      </c>
      <c r="E125" s="49">
        <v>0.0</v>
      </c>
      <c r="F125" s="2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107</v>
      </c>
      <c r="B126" s="55">
        <v>0.0</v>
      </c>
      <c r="C126" s="55">
        <v>0.0</v>
      </c>
      <c r="D126" s="49">
        <v>900000.0</v>
      </c>
      <c r="E126" s="55">
        <v>0.0</v>
      </c>
      <c r="F126" s="2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3" t="s">
        <v>108</v>
      </c>
      <c r="B127" s="55">
        <v>2800.0</v>
      </c>
      <c r="C127" s="55">
        <v>0.0</v>
      </c>
      <c r="D127" s="55">
        <v>0.0</v>
      </c>
      <c r="E127" s="55">
        <v>0.0</v>
      </c>
      <c r="F127" s="2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13" t="s">
        <v>109</v>
      </c>
      <c r="B128" s="55">
        <v>0.0</v>
      </c>
      <c r="C128" s="55">
        <v>235800.0</v>
      </c>
      <c r="D128" s="55">
        <v>0.0</v>
      </c>
      <c r="E128" s="55">
        <v>0.0</v>
      </c>
      <c r="F128" s="2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110</v>
      </c>
      <c r="B129" s="55">
        <v>0.0</v>
      </c>
      <c r="C129" s="55">
        <v>65000.0</v>
      </c>
      <c r="D129" s="55">
        <v>0.0</v>
      </c>
      <c r="E129" s="55">
        <v>0.0</v>
      </c>
      <c r="F129" s="26"/>
      <c r="G129" s="2"/>
      <c r="H129" s="56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111</v>
      </c>
      <c r="B130" s="49">
        <v>0.0</v>
      </c>
      <c r="C130" s="49">
        <v>0.0</v>
      </c>
      <c r="D130" s="49">
        <v>0.0</v>
      </c>
      <c r="E130" s="49">
        <v>0.0</v>
      </c>
      <c r="F130" s="2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112</v>
      </c>
      <c r="B131" s="49">
        <v>0.0</v>
      </c>
      <c r="C131" s="49">
        <v>0.0</v>
      </c>
      <c r="D131" s="49">
        <v>0.0</v>
      </c>
      <c r="E131" s="49">
        <v>0.0</v>
      </c>
      <c r="F131" s="26"/>
      <c r="G131" s="2"/>
      <c r="H131" s="56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113</v>
      </c>
      <c r="B132" s="49">
        <v>0.0</v>
      </c>
      <c r="C132" s="49">
        <v>0.0</v>
      </c>
      <c r="D132" s="49">
        <v>0.0</v>
      </c>
      <c r="E132" s="49">
        <v>0.0</v>
      </c>
      <c r="F132" s="26"/>
      <c r="G132" s="2"/>
      <c r="H132" s="56"/>
      <c r="I132" s="2"/>
      <c r="J132" s="2"/>
      <c r="K132" s="2"/>
      <c r="L132" s="2"/>
      <c r="M132" s="2"/>
      <c r="N132" s="2"/>
      <c r="O132" s="2"/>
      <c r="P132" s="2"/>
      <c r="Q132" s="3"/>
      <c r="R132" s="9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114</v>
      </c>
      <c r="B133" s="55">
        <v>0.0</v>
      </c>
      <c r="C133" s="55">
        <v>0.0</v>
      </c>
      <c r="D133" s="55">
        <v>0.0</v>
      </c>
      <c r="E133" s="55">
        <v>0.0</v>
      </c>
      <c r="F133" s="26"/>
      <c r="G133" s="2"/>
      <c r="H133" s="56"/>
      <c r="I133" s="2"/>
      <c r="J133" s="2"/>
      <c r="K133" s="2"/>
      <c r="L133" s="2"/>
      <c r="M133" s="2"/>
      <c r="N133" s="2"/>
      <c r="O133" s="2"/>
      <c r="P133" s="2"/>
      <c r="Q133" s="3"/>
      <c r="R133" s="9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115</v>
      </c>
      <c r="B134" s="55">
        <v>0.0</v>
      </c>
      <c r="C134" s="55">
        <v>0.0</v>
      </c>
      <c r="D134" s="55">
        <v>0.0</v>
      </c>
      <c r="E134" s="55">
        <v>0.0</v>
      </c>
      <c r="F134" s="26"/>
      <c r="G134" s="2"/>
      <c r="H134" s="56"/>
      <c r="I134" s="2"/>
      <c r="J134" s="2"/>
      <c r="K134" s="2"/>
      <c r="L134" s="2"/>
      <c r="M134" s="2"/>
      <c r="N134" s="2"/>
      <c r="O134" s="2"/>
      <c r="P134" s="2"/>
      <c r="Q134" s="3"/>
      <c r="R134" s="9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3" t="s">
        <v>116</v>
      </c>
      <c r="B135" s="50">
        <v>0.0</v>
      </c>
      <c r="C135" s="50">
        <v>0.0</v>
      </c>
      <c r="D135" s="49">
        <v>0.0</v>
      </c>
      <c r="E135" s="49">
        <v>0.0</v>
      </c>
      <c r="F135" s="2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13" t="s">
        <v>117</v>
      </c>
      <c r="B136" s="50">
        <v>0.0</v>
      </c>
      <c r="C136" s="50">
        <v>0.0</v>
      </c>
      <c r="D136" s="49">
        <v>0.0</v>
      </c>
      <c r="E136" s="49">
        <v>0.0</v>
      </c>
      <c r="F136" s="26"/>
      <c r="G136" s="2"/>
      <c r="H136" s="56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3" t="s">
        <v>118</v>
      </c>
      <c r="B137" s="50">
        <v>0.0</v>
      </c>
      <c r="C137" s="50">
        <v>0.0</v>
      </c>
      <c r="D137" s="49">
        <v>0.0</v>
      </c>
      <c r="E137" s="49">
        <v>0.0</v>
      </c>
      <c r="F137" s="2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13" t="s">
        <v>119</v>
      </c>
      <c r="B138" s="50">
        <v>0.0</v>
      </c>
      <c r="C138" s="50">
        <v>0.0</v>
      </c>
      <c r="D138" s="49">
        <v>0.0</v>
      </c>
      <c r="E138" s="49">
        <v>0.0</v>
      </c>
      <c r="F138" s="2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9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13" t="s">
        <v>120</v>
      </c>
      <c r="B139" s="50">
        <v>0.0</v>
      </c>
      <c r="C139" s="50">
        <v>0.0</v>
      </c>
      <c r="D139" s="49">
        <v>0.0</v>
      </c>
      <c r="E139" s="49">
        <v>0.0</v>
      </c>
      <c r="F139" s="2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9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13" t="s">
        <v>121</v>
      </c>
      <c r="B140" s="50">
        <v>0.0</v>
      </c>
      <c r="C140" s="50">
        <v>0.0</v>
      </c>
      <c r="D140" s="49">
        <v>0.0</v>
      </c>
      <c r="E140" s="49">
        <v>0.0</v>
      </c>
      <c r="F140" s="2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13" t="s">
        <v>122</v>
      </c>
      <c r="B141" s="49">
        <v>0.0</v>
      </c>
      <c r="C141" s="49">
        <v>0.0</v>
      </c>
      <c r="D141" s="49">
        <v>0.0</v>
      </c>
      <c r="E141" s="49">
        <v>0.0</v>
      </c>
      <c r="F141" s="2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13" t="s">
        <v>123</v>
      </c>
      <c r="B142" s="49">
        <v>0.0</v>
      </c>
      <c r="C142" s="49">
        <v>0.0</v>
      </c>
      <c r="D142" s="49">
        <v>0.0</v>
      </c>
      <c r="E142" s="49">
        <v>0.0</v>
      </c>
      <c r="F142" s="2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13" t="s">
        <v>286</v>
      </c>
      <c r="B143" s="49">
        <v>0.0</v>
      </c>
      <c r="C143" s="49">
        <v>0.0</v>
      </c>
      <c r="D143" s="49">
        <v>114359.0</v>
      </c>
      <c r="E143" s="49">
        <v>0.0</v>
      </c>
      <c r="F143" s="2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13" t="s">
        <v>124</v>
      </c>
      <c r="B144" s="49">
        <v>0.0</v>
      </c>
      <c r="C144" s="49">
        <v>0.0</v>
      </c>
      <c r="D144" s="49">
        <v>0.0</v>
      </c>
      <c r="E144" s="49">
        <v>0.0</v>
      </c>
      <c r="F144" s="2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13" t="s">
        <v>125</v>
      </c>
      <c r="B145" s="50">
        <v>0.0</v>
      </c>
      <c r="C145" s="50">
        <v>0.0</v>
      </c>
      <c r="D145" s="49">
        <v>0.0</v>
      </c>
      <c r="E145" s="49">
        <v>0.0</v>
      </c>
      <c r="F145" s="2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13" t="s">
        <v>126</v>
      </c>
      <c r="B146" s="49">
        <v>0.0</v>
      </c>
      <c r="C146" s="49">
        <v>0.0</v>
      </c>
      <c r="D146" s="49">
        <v>0.0</v>
      </c>
      <c r="E146" s="49">
        <v>0.0</v>
      </c>
      <c r="F146" s="2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13" t="s">
        <v>127</v>
      </c>
      <c r="B147" s="49">
        <v>0.0</v>
      </c>
      <c r="C147" s="49">
        <v>0.0</v>
      </c>
      <c r="D147" s="49">
        <v>0.0</v>
      </c>
      <c r="E147" s="49">
        <v>0.0</v>
      </c>
      <c r="F147" s="2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13" t="s">
        <v>128</v>
      </c>
      <c r="B148" s="49">
        <v>0.0</v>
      </c>
      <c r="C148" s="49">
        <v>0.0</v>
      </c>
      <c r="D148" s="49">
        <v>0.0</v>
      </c>
      <c r="E148" s="49">
        <v>0.0</v>
      </c>
      <c r="F148" s="2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13" t="s">
        <v>129</v>
      </c>
      <c r="B149" s="49">
        <v>0.0</v>
      </c>
      <c r="C149" s="49">
        <v>0.0</v>
      </c>
      <c r="D149" s="49">
        <v>0.0</v>
      </c>
      <c r="E149" s="49">
        <v>0.0</v>
      </c>
      <c r="F149" s="2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57"/>
      <c r="B150" s="49"/>
      <c r="C150" s="49"/>
      <c r="D150" s="49"/>
      <c r="E150" s="49"/>
      <c r="F150" s="2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13" t="s">
        <v>130</v>
      </c>
      <c r="B151" s="50">
        <v>0.0</v>
      </c>
      <c r="C151" s="50">
        <f>SUM(C124:C148)*0.6%</f>
        <v>1804.8</v>
      </c>
      <c r="D151" s="50">
        <f>SUM(D124:D149)*0.6%</f>
        <v>6086.154</v>
      </c>
      <c r="E151" s="50">
        <f>(E128*0.6%)+(E129*0.6%)+(E130*0.6%)+(E133*0.6%)+(E134*0.6%)</f>
        <v>0</v>
      </c>
      <c r="F151" s="2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13" t="s">
        <v>131</v>
      </c>
      <c r="B152" s="50">
        <v>0.0</v>
      </c>
      <c r="C152" s="50">
        <v>0.0</v>
      </c>
      <c r="D152" s="50">
        <v>0.0</v>
      </c>
      <c r="E152" s="50">
        <f>SUM(E125:E150)*0.6%+(E153*0.6%)</f>
        <v>0</v>
      </c>
      <c r="F152" s="5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57"/>
      <c r="B153" s="57"/>
      <c r="C153" s="26"/>
      <c r="D153" s="2"/>
      <c r="E153" s="26"/>
      <c r="F153" s="2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59" t="s">
        <v>132</v>
      </c>
      <c r="B154" s="60">
        <f>SUM(B124:B153)</f>
        <v>3800</v>
      </c>
      <c r="C154" s="60">
        <f>SUM(C124:C151)</f>
        <v>302604.8</v>
      </c>
      <c r="D154" s="60">
        <f>SUM(D124:D152)</f>
        <v>1020445.154</v>
      </c>
      <c r="E154" s="60">
        <f>E135+E139+E151-E152</f>
        <v>0</v>
      </c>
      <c r="F154" s="61" t="str">
        <f>F128</f>
        <v/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57"/>
      <c r="B155" s="57"/>
      <c r="C155" s="26"/>
      <c r="D155" s="26"/>
      <c r="E155" s="26"/>
      <c r="F155" s="2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59" t="s">
        <v>133</v>
      </c>
      <c r="B156" s="62">
        <f>B121-B154</f>
        <v>209737.25</v>
      </c>
      <c r="C156" s="63">
        <f>C121-C154+C152</f>
        <v>1036883.398</v>
      </c>
      <c r="D156" s="63">
        <f>D121-D154-29.2</f>
        <v>1367969.574</v>
      </c>
      <c r="E156" s="64">
        <f t="shared" ref="E156:F156" si="17">E121-E154</f>
        <v>0</v>
      </c>
      <c r="F156" s="64">
        <f t="shared" si="17"/>
        <v>1602385.09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65" t="s">
        <v>134</v>
      </c>
      <c r="B158" s="66">
        <f>75177.25-B124-B127</f>
        <v>71377.25</v>
      </c>
      <c r="C158" s="46"/>
      <c r="D158" s="46"/>
      <c r="E158" s="46"/>
      <c r="F158" s="4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9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65" t="s">
        <v>135</v>
      </c>
      <c r="B159" s="66">
        <v>138360.0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46" t="s">
        <v>2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46">
        <f>SUM(B158:B159)</f>
        <v>209737.25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9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9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9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9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9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9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9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9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9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9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9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9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9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9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9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3"/>
      <c r="T235" s="3"/>
      <c r="U235" s="9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9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9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9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9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9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3"/>
      <c r="T277" s="3"/>
      <c r="U277" s="9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9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9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9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46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46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46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46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46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46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46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46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46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46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46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46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46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46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46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46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46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46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46"/>
      <c r="R322" s="46"/>
      <c r="S322" s="3"/>
      <c r="T322" s="3"/>
      <c r="U322" s="9"/>
      <c r="V322" s="3"/>
      <c r="W322" s="3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9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9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46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46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46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46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46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46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46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9"/>
      <c r="T368" s="3"/>
      <c r="U368" s="2"/>
      <c r="V368" s="3"/>
      <c r="W368" s="3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9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9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9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9"/>
      <c r="T385" s="3"/>
      <c r="U385" s="2"/>
      <c r="V385" s="3"/>
      <c r="W385" s="3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9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9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9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9"/>
      <c r="T396" s="3"/>
      <c r="U396" s="2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9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3"/>
      <c r="T412" s="3"/>
      <c r="U412" s="9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9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3"/>
      <c r="T426" s="9"/>
      <c r="U426" s="2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9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9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9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9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3"/>
      <c r="T438" s="9"/>
      <c r="U438" s="2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9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9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67"/>
      <c r="R453" s="2"/>
      <c r="S453" s="2"/>
      <c r="T453" s="3"/>
      <c r="U453" s="2"/>
      <c r="V453" s="2"/>
      <c r="W453" s="2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3"/>
      <c r="T454" s="3"/>
      <c r="U454" s="3"/>
      <c r="V454" s="2"/>
      <c r="W454" s="2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8"/>
      <c r="R456" s="38"/>
      <c r="S456" s="38"/>
      <c r="T456" s="38"/>
      <c r="U456" s="38"/>
      <c r="V456" s="38"/>
      <c r="W456" s="38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3"/>
      <c r="T457" s="3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"/>
      <c r="R458" s="2"/>
      <c r="S458" s="3"/>
      <c r="T458" s="3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68"/>
      <c r="R460" s="69"/>
      <c r="S460" s="70"/>
      <c r="T460" s="70"/>
      <c r="U460" s="70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1"/>
      <c r="R461" s="71"/>
      <c r="S461" s="71"/>
      <c r="T461" s="71"/>
      <c r="U461" s="71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6"/>
      <c r="R462" s="46"/>
      <c r="S462" s="46"/>
      <c r="T462" s="46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46"/>
      <c r="R464" s="46"/>
      <c r="S464" s="46"/>
      <c r="T464" s="46"/>
      <c r="U464" s="46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46"/>
      <c r="R465" s="46"/>
      <c r="S465" s="46"/>
      <c r="T465" s="46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46"/>
      <c r="R466" s="46"/>
      <c r="S466" s="46"/>
      <c r="T466" s="46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6"/>
      <c r="R467" s="46"/>
      <c r="S467" s="46"/>
      <c r="T467" s="46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46"/>
      <c r="R468" s="46"/>
      <c r="S468" s="46"/>
      <c r="T468" s="46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2"/>
      <c r="R469" s="72"/>
      <c r="S469" s="72"/>
      <c r="T469" s="72"/>
      <c r="U469" s="73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"/>
      <c r="R470" s="2"/>
      <c r="S470" s="3"/>
      <c r="T470" s="3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6"/>
      <c r="R472" s="56"/>
      <c r="S472" s="56"/>
      <c r="T472" s="56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6"/>
      <c r="R473" s="56"/>
      <c r="S473" s="56"/>
      <c r="T473" s="56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6"/>
      <c r="R474" s="56"/>
      <c r="S474" s="56"/>
      <c r="T474" s="56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56"/>
      <c r="R475" s="56"/>
      <c r="S475" s="56"/>
      <c r="T475" s="56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56"/>
      <c r="R476" s="56"/>
      <c r="S476" s="56"/>
      <c r="T476" s="56"/>
      <c r="U476" s="2"/>
      <c r="V476" s="2"/>
      <c r="W476" s="56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56"/>
      <c r="R477" s="56"/>
      <c r="S477" s="56"/>
      <c r="T477" s="56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56"/>
      <c r="R478" s="56"/>
      <c r="S478" s="56"/>
      <c r="T478" s="56"/>
      <c r="U478" s="2"/>
      <c r="V478" s="2"/>
      <c r="W478" s="56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56"/>
      <c r="R479" s="56"/>
      <c r="S479" s="56"/>
      <c r="T479" s="56"/>
      <c r="U479" s="2"/>
      <c r="V479" s="2"/>
      <c r="W479" s="56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46"/>
      <c r="R480" s="46"/>
      <c r="S480" s="46"/>
      <c r="T480" s="46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46"/>
      <c r="R481" s="46"/>
      <c r="S481" s="46"/>
      <c r="T481" s="46"/>
      <c r="U481" s="2"/>
      <c r="V481" s="2"/>
      <c r="W481" s="56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46"/>
      <c r="R482" s="46"/>
      <c r="S482" s="46"/>
      <c r="T482" s="46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6"/>
      <c r="R483" s="46"/>
      <c r="S483" s="46"/>
      <c r="T483" s="46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46"/>
      <c r="R484" s="46"/>
      <c r="S484" s="46"/>
      <c r="T484" s="46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46"/>
      <c r="R485" s="46"/>
      <c r="S485" s="46"/>
      <c r="T485" s="46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46"/>
      <c r="R486" s="46"/>
      <c r="S486" s="46"/>
      <c r="T486" s="46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46"/>
      <c r="R487" s="46"/>
      <c r="S487" s="46"/>
      <c r="T487" s="46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46"/>
      <c r="R488" s="46"/>
      <c r="S488" s="46"/>
      <c r="T488" s="46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"/>
      <c r="R489" s="46"/>
      <c r="S489" s="46"/>
      <c r="T489" s="46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2"/>
      <c r="R491" s="72"/>
      <c r="S491" s="72"/>
      <c r="T491" s="72"/>
      <c r="U491" s="73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1"/>
      <c r="R493" s="72"/>
      <c r="S493" s="72"/>
      <c r="T493" s="74"/>
      <c r="U493" s="74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46"/>
      <c r="R495" s="46"/>
      <c r="S495" s="46"/>
      <c r="T495" s="46"/>
      <c r="U495" s="46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46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</sheetData>
  <mergeCells count="10">
    <mergeCell ref="U107:W107"/>
    <mergeCell ref="U164:W164"/>
    <mergeCell ref="U199:W199"/>
    <mergeCell ref="I41:K41"/>
    <mergeCell ref="I69:K69"/>
    <mergeCell ref="I86:K86"/>
    <mergeCell ref="A103:B103"/>
    <mergeCell ref="A108:A109"/>
    <mergeCell ref="A111:F111"/>
    <mergeCell ref="A123:F123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23"/>
      <c r="B2" s="23"/>
      <c r="C2" s="23"/>
      <c r="D2" s="7"/>
      <c r="E2" s="24"/>
      <c r="F2" s="7"/>
      <c r="G2" s="6"/>
      <c r="H2" s="3"/>
      <c r="I2" s="8"/>
      <c r="J2" s="8"/>
      <c r="K2" s="8"/>
      <c r="L2" s="4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23" t="s">
        <v>47</v>
      </c>
      <c r="B3" s="23"/>
      <c r="C3" s="23"/>
      <c r="D3" s="25" t="s">
        <v>266</v>
      </c>
      <c r="E3" s="7">
        <v>46052.0</v>
      </c>
      <c r="F3" s="7"/>
      <c r="G3" s="6"/>
      <c r="H3" s="3"/>
      <c r="I3" s="8" t="s">
        <v>3</v>
      </c>
      <c r="L3" s="4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B4" s="24"/>
      <c r="C4" s="26"/>
      <c r="D4" s="7"/>
      <c r="E4" s="24"/>
      <c r="F4" s="3"/>
      <c r="G4" s="3"/>
      <c r="H4" s="3"/>
      <c r="I4" s="3"/>
      <c r="J4" s="3"/>
      <c r="K4" s="3"/>
      <c r="L4" s="4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/>
      <c r="G5" s="3"/>
      <c r="H5" s="3"/>
      <c r="I5" s="27" t="s">
        <v>7</v>
      </c>
      <c r="J5" s="10" t="s">
        <v>8</v>
      </c>
      <c r="K5" s="10" t="s">
        <v>10</v>
      </c>
      <c r="L5" s="4"/>
      <c r="M5" s="19"/>
      <c r="N5" s="18"/>
      <c r="O5" s="19"/>
      <c r="P5" s="18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1.0</v>
      </c>
      <c r="B6" s="12" t="s">
        <v>5</v>
      </c>
      <c r="C6" s="14" t="s">
        <v>49</v>
      </c>
      <c r="D6" s="15">
        <v>2000.0</v>
      </c>
      <c r="E6" s="16">
        <f t="shared" ref="E6:E17" si="1">A6*D6</f>
        <v>2000</v>
      </c>
      <c r="F6" s="15"/>
      <c r="G6" s="65"/>
      <c r="H6" s="6"/>
      <c r="I6" s="15">
        <v>1500.0</v>
      </c>
      <c r="J6" s="15">
        <f t="shared" ref="J6:J17" si="2">I6*A6</f>
        <v>1500</v>
      </c>
      <c r="K6" s="15">
        <f t="shared" ref="K6:K17" si="3">E6-J6</f>
        <v>500</v>
      </c>
      <c r="L6" s="22"/>
      <c r="N6" s="21"/>
      <c r="P6" s="21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1.0</v>
      </c>
      <c r="B7" s="12" t="s">
        <v>32</v>
      </c>
      <c r="C7" s="14" t="s">
        <v>162</v>
      </c>
      <c r="D7" s="15">
        <v>22000.0</v>
      </c>
      <c r="E7" s="16">
        <f t="shared" si="1"/>
        <v>22000</v>
      </c>
      <c r="F7" s="15"/>
      <c r="G7" s="65"/>
      <c r="H7" s="6"/>
      <c r="I7" s="15">
        <v>15000.0</v>
      </c>
      <c r="J7" s="15">
        <f t="shared" si="2"/>
        <v>15000</v>
      </c>
      <c r="K7" s="15">
        <f t="shared" si="3"/>
        <v>7000</v>
      </c>
      <c r="L7" s="22"/>
      <c r="N7" s="21"/>
      <c r="P7" s="21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39</v>
      </c>
      <c r="C8" s="14" t="s">
        <v>192</v>
      </c>
      <c r="D8" s="15">
        <v>15000.0</v>
      </c>
      <c r="E8" s="16">
        <f t="shared" si="1"/>
        <v>15000</v>
      </c>
      <c r="F8" s="15"/>
      <c r="G8" s="65"/>
      <c r="H8" s="6"/>
      <c r="I8" s="15">
        <v>10000.0</v>
      </c>
      <c r="J8" s="15">
        <f t="shared" si="2"/>
        <v>10000</v>
      </c>
      <c r="K8" s="15">
        <f t="shared" si="3"/>
        <v>5000</v>
      </c>
      <c r="L8" s="22"/>
      <c r="N8" s="21"/>
      <c r="P8" s="21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1.0</v>
      </c>
      <c r="B9" s="12" t="s">
        <v>13</v>
      </c>
      <c r="C9" s="14" t="s">
        <v>38</v>
      </c>
      <c r="D9" s="15">
        <v>65000.0</v>
      </c>
      <c r="E9" s="16">
        <f t="shared" si="1"/>
        <v>65000</v>
      </c>
      <c r="F9" s="15"/>
      <c r="G9" s="65"/>
      <c r="H9" s="6"/>
      <c r="I9" s="15">
        <v>55000.0</v>
      </c>
      <c r="J9" s="15">
        <f t="shared" si="2"/>
        <v>55000</v>
      </c>
      <c r="K9" s="15">
        <f t="shared" si="3"/>
        <v>10000</v>
      </c>
      <c r="L9" s="22"/>
      <c r="N9" s="21"/>
      <c r="P9" s="21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4.0</v>
      </c>
      <c r="B10" s="12" t="s">
        <v>28</v>
      </c>
      <c r="C10" s="14" t="s">
        <v>78</v>
      </c>
      <c r="D10" s="15">
        <v>5000.0</v>
      </c>
      <c r="E10" s="16">
        <f t="shared" si="1"/>
        <v>20000</v>
      </c>
      <c r="F10" s="15"/>
      <c r="G10" s="65"/>
      <c r="H10" s="6"/>
      <c r="I10" s="15">
        <v>4000.0</v>
      </c>
      <c r="J10" s="15">
        <f t="shared" si="2"/>
        <v>16000</v>
      </c>
      <c r="K10" s="15">
        <f t="shared" si="3"/>
        <v>4000</v>
      </c>
      <c r="L10" s="22"/>
      <c r="N10" s="21"/>
      <c r="P10" s="21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3.0</v>
      </c>
      <c r="B11" s="12" t="s">
        <v>13</v>
      </c>
      <c r="C11" s="14" t="s">
        <v>45</v>
      </c>
      <c r="D11" s="15">
        <v>26000.0</v>
      </c>
      <c r="E11" s="16">
        <f t="shared" si="1"/>
        <v>78000</v>
      </c>
      <c r="F11" s="15"/>
      <c r="G11" s="65"/>
      <c r="H11" s="6"/>
      <c r="I11" s="15">
        <v>20000.0</v>
      </c>
      <c r="J11" s="15">
        <f t="shared" si="2"/>
        <v>60000</v>
      </c>
      <c r="K11" s="15">
        <f t="shared" si="3"/>
        <v>18000</v>
      </c>
      <c r="L11" s="22"/>
      <c r="N11" s="21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42</v>
      </c>
      <c r="C12" s="14" t="s">
        <v>227</v>
      </c>
      <c r="D12" s="15">
        <v>12000.0</v>
      </c>
      <c r="E12" s="16">
        <f t="shared" si="1"/>
        <v>24000</v>
      </c>
      <c r="F12" s="15"/>
      <c r="G12" s="65"/>
      <c r="H12" s="6"/>
      <c r="I12" s="15">
        <v>8000.0</v>
      </c>
      <c r="J12" s="15">
        <f t="shared" si="2"/>
        <v>16000</v>
      </c>
      <c r="K12" s="15">
        <f t="shared" si="3"/>
        <v>8000</v>
      </c>
      <c r="L12" s="22"/>
      <c r="N12" s="21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3.0</v>
      </c>
      <c r="B13" s="12" t="s">
        <v>42</v>
      </c>
      <c r="C13" s="14" t="s">
        <v>70</v>
      </c>
      <c r="D13" s="15">
        <v>22000.0</v>
      </c>
      <c r="E13" s="16">
        <f t="shared" si="1"/>
        <v>66000</v>
      </c>
      <c r="F13" s="15"/>
      <c r="G13" s="65"/>
      <c r="H13" s="6"/>
      <c r="I13" s="15">
        <v>18500.0</v>
      </c>
      <c r="J13" s="15">
        <f t="shared" si="2"/>
        <v>55500</v>
      </c>
      <c r="K13" s="15">
        <f t="shared" si="3"/>
        <v>10500</v>
      </c>
      <c r="L13" s="22"/>
      <c r="N13" s="21"/>
      <c r="P13" s="21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42</v>
      </c>
      <c r="C14" s="14" t="s">
        <v>159</v>
      </c>
      <c r="D14" s="15">
        <v>26000.0</v>
      </c>
      <c r="E14" s="16">
        <f t="shared" si="1"/>
        <v>26000</v>
      </c>
      <c r="F14" s="15"/>
      <c r="G14" s="65"/>
      <c r="H14" s="6"/>
      <c r="I14" s="15">
        <v>23000.0</v>
      </c>
      <c r="J14" s="15">
        <f t="shared" si="2"/>
        <v>23000</v>
      </c>
      <c r="K14" s="15">
        <f t="shared" si="3"/>
        <v>3000</v>
      </c>
      <c r="L14" s="22"/>
      <c r="N14" s="21"/>
      <c r="P14" s="21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42</v>
      </c>
      <c r="C15" s="14" t="s">
        <v>226</v>
      </c>
      <c r="D15" s="15">
        <v>18000.0</v>
      </c>
      <c r="E15" s="16">
        <f t="shared" si="1"/>
        <v>18000</v>
      </c>
      <c r="F15" s="15"/>
      <c r="G15" s="65"/>
      <c r="H15" s="6"/>
      <c r="I15" s="15">
        <v>14000.0</v>
      </c>
      <c r="J15" s="15">
        <f t="shared" si="2"/>
        <v>14000</v>
      </c>
      <c r="K15" s="15">
        <f t="shared" si="3"/>
        <v>4000</v>
      </c>
      <c r="L15" s="22"/>
      <c r="N15" s="21"/>
      <c r="P15" s="21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42</v>
      </c>
      <c r="C16" s="14" t="s">
        <v>76</v>
      </c>
      <c r="D16" s="15">
        <v>13000.0</v>
      </c>
      <c r="E16" s="16">
        <f t="shared" si="1"/>
        <v>13000</v>
      </c>
      <c r="F16" s="15"/>
      <c r="G16" s="65"/>
      <c r="H16" s="6"/>
      <c r="I16" s="15">
        <v>10000.0</v>
      </c>
      <c r="J16" s="15">
        <f t="shared" si="2"/>
        <v>10000</v>
      </c>
      <c r="K16" s="15">
        <f t="shared" si="3"/>
        <v>3000</v>
      </c>
      <c r="L16" s="22"/>
      <c r="N16" s="21"/>
      <c r="P16" s="21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32</v>
      </c>
      <c r="C17" s="14" t="s">
        <v>44</v>
      </c>
      <c r="D17" s="15">
        <v>26000.0</v>
      </c>
      <c r="E17" s="16">
        <f t="shared" si="1"/>
        <v>26000</v>
      </c>
      <c r="F17" s="15"/>
      <c r="G17" s="65"/>
      <c r="H17" s="6"/>
      <c r="I17" s="15">
        <v>20000.0</v>
      </c>
      <c r="J17" s="15">
        <f t="shared" si="2"/>
        <v>20000</v>
      </c>
      <c r="K17" s="15">
        <f t="shared" si="3"/>
        <v>6000</v>
      </c>
      <c r="L17" s="22"/>
      <c r="N17" s="21"/>
      <c r="P17" s="21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/>
      <c r="B18" s="12"/>
      <c r="C18" s="14"/>
      <c r="D18" s="15"/>
      <c r="E18" s="16"/>
      <c r="F18" s="10"/>
      <c r="G18" s="3"/>
      <c r="H18" s="3"/>
      <c r="I18" s="6"/>
      <c r="J18" s="3"/>
      <c r="K18" s="3"/>
      <c r="L18" s="4"/>
      <c r="M18" s="17"/>
      <c r="N18" s="18"/>
      <c r="O18" s="19"/>
      <c r="P18" s="18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/>
      <c r="B19" s="12"/>
      <c r="C19" s="14"/>
      <c r="D19" s="15"/>
      <c r="E19" s="16">
        <f>SUM(E6:E17)</f>
        <v>375000</v>
      </c>
      <c r="F19" s="15"/>
      <c r="G19" s="2"/>
      <c r="H19" s="3"/>
      <c r="I19" s="3"/>
      <c r="J19" s="3"/>
      <c r="K19" s="15">
        <f>SUM(K6:K17)</f>
        <v>79000</v>
      </c>
      <c r="L19" s="22">
        <f>K19/E19</f>
        <v>0.2106666667</v>
      </c>
      <c r="M19" s="20"/>
      <c r="N19" s="21"/>
      <c r="P19" s="21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/>
      <c r="B20" s="12"/>
      <c r="C20" s="14"/>
      <c r="D20" s="15"/>
      <c r="E20" s="16"/>
      <c r="F20" s="15"/>
      <c r="G20" s="2"/>
      <c r="H20" s="3"/>
      <c r="I20" s="16"/>
      <c r="J20" s="15"/>
      <c r="K20" s="15"/>
      <c r="L20" s="25"/>
      <c r="M20" s="20"/>
      <c r="N20" s="21"/>
      <c r="P20" s="21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"/>
      <c r="B21" s="2"/>
      <c r="C21" s="2"/>
      <c r="D21" s="3"/>
      <c r="E21" s="3"/>
      <c r="F21" s="3"/>
      <c r="G21" s="2"/>
      <c r="H21" s="2"/>
      <c r="I21" s="2"/>
      <c r="J21" s="2"/>
      <c r="K21" s="3"/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23" t="s">
        <v>57</v>
      </c>
      <c r="B22" s="23"/>
      <c r="C22" s="23"/>
      <c r="D22" s="25" t="s">
        <v>310</v>
      </c>
      <c r="E22" s="7">
        <v>46052.0</v>
      </c>
      <c r="F22" s="28"/>
      <c r="G22" s="24"/>
      <c r="H22" s="24"/>
      <c r="I22" s="16"/>
      <c r="J22" s="16"/>
      <c r="K22" s="16"/>
      <c r="L22" s="29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B23" s="24"/>
      <c r="C23" s="26"/>
      <c r="D23" s="24"/>
      <c r="E23" s="24"/>
      <c r="F23" s="24"/>
      <c r="G23" s="24"/>
      <c r="H23" s="24"/>
      <c r="I23" s="16"/>
      <c r="J23" s="16"/>
      <c r="K23" s="16"/>
      <c r="L23" s="29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5" t="s">
        <v>4</v>
      </c>
      <c r="B24" s="10" t="s">
        <v>5</v>
      </c>
      <c r="C24" s="11" t="s">
        <v>6</v>
      </c>
      <c r="D24" s="12" t="s">
        <v>7</v>
      </c>
      <c r="E24" s="10" t="s">
        <v>8</v>
      </c>
      <c r="F24" s="12"/>
      <c r="G24" s="24"/>
      <c r="H24" s="24"/>
      <c r="I24" s="12" t="s">
        <v>7</v>
      </c>
      <c r="J24" s="12" t="s">
        <v>8</v>
      </c>
      <c r="K24" s="12" t="s">
        <v>10</v>
      </c>
      <c r="L24" s="29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2.0</v>
      </c>
      <c r="B25" s="12" t="s">
        <v>42</v>
      </c>
      <c r="C25" s="14" t="s">
        <v>180</v>
      </c>
      <c r="D25" s="15">
        <v>22000.0</v>
      </c>
      <c r="E25" s="15">
        <f t="shared" ref="E25:E40" si="4">A25*D25</f>
        <v>44000</v>
      </c>
      <c r="F25" s="16"/>
      <c r="G25" s="24"/>
      <c r="H25" s="24"/>
      <c r="I25" s="16">
        <v>18500.0</v>
      </c>
      <c r="J25" s="16">
        <f t="shared" ref="J25:J40" si="5">I25*A25</f>
        <v>37000</v>
      </c>
      <c r="K25" s="16">
        <f t="shared" ref="K25:K40" si="6">E25-J25</f>
        <v>7000</v>
      </c>
      <c r="L25" s="30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1.0</v>
      </c>
      <c r="B26" s="12" t="s">
        <v>17</v>
      </c>
      <c r="C26" s="14" t="s">
        <v>186</v>
      </c>
      <c r="D26" s="15">
        <v>20000.0</v>
      </c>
      <c r="E26" s="15">
        <f t="shared" si="4"/>
        <v>20000</v>
      </c>
      <c r="F26" s="16"/>
      <c r="G26" s="24"/>
      <c r="H26" s="24"/>
      <c r="I26" s="16">
        <v>17000.0</v>
      </c>
      <c r="J26" s="16">
        <f t="shared" si="5"/>
        <v>17000</v>
      </c>
      <c r="K26" s="16">
        <f t="shared" si="6"/>
        <v>3000</v>
      </c>
      <c r="L26" s="30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17</v>
      </c>
      <c r="C27" s="14" t="s">
        <v>211</v>
      </c>
      <c r="D27" s="15">
        <v>22000.0</v>
      </c>
      <c r="E27" s="15">
        <f t="shared" si="4"/>
        <v>22000</v>
      </c>
      <c r="F27" s="16"/>
      <c r="G27" s="24"/>
      <c r="H27" s="24"/>
      <c r="I27" s="16">
        <v>19000.0</v>
      </c>
      <c r="J27" s="16">
        <f t="shared" si="5"/>
        <v>19000</v>
      </c>
      <c r="K27" s="16">
        <f t="shared" si="6"/>
        <v>3000</v>
      </c>
      <c r="L27" s="30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1.0</v>
      </c>
      <c r="B28" s="12" t="s">
        <v>32</v>
      </c>
      <c r="C28" s="14" t="s">
        <v>192</v>
      </c>
      <c r="D28" s="15">
        <v>28000.0</v>
      </c>
      <c r="E28" s="15">
        <f t="shared" si="4"/>
        <v>28000</v>
      </c>
      <c r="F28" s="16"/>
      <c r="G28" s="24"/>
      <c r="H28" s="24"/>
      <c r="I28" s="16">
        <v>20000.0</v>
      </c>
      <c r="J28" s="16">
        <f t="shared" si="5"/>
        <v>20000</v>
      </c>
      <c r="K28" s="16">
        <f t="shared" si="6"/>
        <v>8000</v>
      </c>
      <c r="L28" s="30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28</v>
      </c>
      <c r="C29" s="14" t="s">
        <v>63</v>
      </c>
      <c r="D29" s="15">
        <v>3000.0</v>
      </c>
      <c r="E29" s="15">
        <f t="shared" si="4"/>
        <v>3000</v>
      </c>
      <c r="F29" s="16"/>
      <c r="G29" s="24"/>
      <c r="H29" s="24"/>
      <c r="I29" s="16">
        <v>2000.0</v>
      </c>
      <c r="J29" s="16">
        <f t="shared" si="5"/>
        <v>2000</v>
      </c>
      <c r="K29" s="16">
        <f t="shared" si="6"/>
        <v>1000</v>
      </c>
      <c r="L29" s="30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28</v>
      </c>
      <c r="C30" s="14" t="s">
        <v>197</v>
      </c>
      <c r="D30" s="15">
        <v>3000.0</v>
      </c>
      <c r="E30" s="15">
        <f t="shared" si="4"/>
        <v>3000</v>
      </c>
      <c r="F30" s="16"/>
      <c r="G30" s="24"/>
      <c r="H30" s="24"/>
      <c r="I30" s="16">
        <v>2000.0</v>
      </c>
      <c r="J30" s="16">
        <f t="shared" si="5"/>
        <v>2000</v>
      </c>
      <c r="K30" s="16">
        <f t="shared" si="6"/>
        <v>1000</v>
      </c>
      <c r="L30" s="30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2.0</v>
      </c>
      <c r="B31" s="12" t="s">
        <v>17</v>
      </c>
      <c r="C31" s="14" t="s">
        <v>144</v>
      </c>
      <c r="D31" s="15">
        <v>3500.0</v>
      </c>
      <c r="E31" s="15">
        <f t="shared" si="4"/>
        <v>7000</v>
      </c>
      <c r="F31" s="16"/>
      <c r="G31" s="24"/>
      <c r="H31" s="24"/>
      <c r="I31" s="16">
        <v>2500.0</v>
      </c>
      <c r="J31" s="16">
        <f t="shared" si="5"/>
        <v>5000</v>
      </c>
      <c r="K31" s="16">
        <f t="shared" si="6"/>
        <v>2000</v>
      </c>
      <c r="L31" s="30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39</v>
      </c>
      <c r="C32" s="14" t="s">
        <v>217</v>
      </c>
      <c r="D32" s="15">
        <v>2500.0</v>
      </c>
      <c r="E32" s="15">
        <f t="shared" si="4"/>
        <v>2500</v>
      </c>
      <c r="F32" s="16"/>
      <c r="G32" s="24"/>
      <c r="H32" s="24"/>
      <c r="I32" s="16">
        <v>1500.0</v>
      </c>
      <c r="J32" s="16">
        <f t="shared" si="5"/>
        <v>1500</v>
      </c>
      <c r="K32" s="16">
        <f t="shared" si="6"/>
        <v>1000</v>
      </c>
      <c r="L32" s="30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17</v>
      </c>
      <c r="C33" s="14" t="s">
        <v>86</v>
      </c>
      <c r="D33" s="15">
        <v>1600.0</v>
      </c>
      <c r="E33" s="15">
        <f t="shared" si="4"/>
        <v>1600</v>
      </c>
      <c r="F33" s="16"/>
      <c r="G33" s="24"/>
      <c r="H33" s="24"/>
      <c r="I33" s="16">
        <v>1000.0</v>
      </c>
      <c r="J33" s="16">
        <f t="shared" si="5"/>
        <v>1000</v>
      </c>
      <c r="K33" s="16">
        <f t="shared" si="6"/>
        <v>600</v>
      </c>
      <c r="L33" s="30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32</v>
      </c>
      <c r="C34" s="14" t="s">
        <v>147</v>
      </c>
      <c r="D34" s="15">
        <v>10000.0</v>
      </c>
      <c r="E34" s="15">
        <f t="shared" si="4"/>
        <v>10000</v>
      </c>
      <c r="F34" s="16"/>
      <c r="G34" s="24"/>
      <c r="H34" s="24"/>
      <c r="I34" s="16">
        <v>5000.0</v>
      </c>
      <c r="J34" s="16">
        <f t="shared" si="5"/>
        <v>5000</v>
      </c>
      <c r="K34" s="16">
        <f t="shared" si="6"/>
        <v>5000</v>
      </c>
      <c r="L34" s="30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0.5</v>
      </c>
      <c r="B35" s="12" t="s">
        <v>32</v>
      </c>
      <c r="C35" s="14" t="s">
        <v>196</v>
      </c>
      <c r="D35" s="15">
        <v>10000.0</v>
      </c>
      <c r="E35" s="15">
        <f t="shared" si="4"/>
        <v>5000</v>
      </c>
      <c r="F35" s="16"/>
      <c r="G35" s="24"/>
      <c r="H35" s="24"/>
      <c r="I35" s="16">
        <v>6000.0</v>
      </c>
      <c r="J35" s="16">
        <f t="shared" si="5"/>
        <v>3000</v>
      </c>
      <c r="K35" s="16">
        <f t="shared" si="6"/>
        <v>2000</v>
      </c>
      <c r="L35" s="30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0.5</v>
      </c>
      <c r="B36" s="12" t="s">
        <v>32</v>
      </c>
      <c r="C36" s="14" t="s">
        <v>168</v>
      </c>
      <c r="D36" s="15">
        <v>14000.0</v>
      </c>
      <c r="E36" s="15">
        <f t="shared" si="4"/>
        <v>7000</v>
      </c>
      <c r="F36" s="16"/>
      <c r="G36" s="24"/>
      <c r="H36" s="24"/>
      <c r="I36" s="16">
        <v>10000.0</v>
      </c>
      <c r="J36" s="16">
        <f t="shared" si="5"/>
        <v>5000</v>
      </c>
      <c r="K36" s="16">
        <f t="shared" si="6"/>
        <v>2000</v>
      </c>
      <c r="L36" s="30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3.0</v>
      </c>
      <c r="B37" s="12" t="s">
        <v>17</v>
      </c>
      <c r="C37" s="14" t="s">
        <v>65</v>
      </c>
      <c r="D37" s="15">
        <v>2200.0</v>
      </c>
      <c r="E37" s="15">
        <f t="shared" si="4"/>
        <v>6600</v>
      </c>
      <c r="F37" s="16"/>
      <c r="G37" s="24"/>
      <c r="H37" s="24"/>
      <c r="I37" s="16">
        <v>2000.0</v>
      </c>
      <c r="J37" s="16">
        <f t="shared" si="5"/>
        <v>6000</v>
      </c>
      <c r="K37" s="16">
        <f t="shared" si="6"/>
        <v>600</v>
      </c>
      <c r="L37" s="30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0.5</v>
      </c>
      <c r="B38" s="12" t="s">
        <v>13</v>
      </c>
      <c r="C38" s="14" t="s">
        <v>45</v>
      </c>
      <c r="D38" s="15">
        <v>26000.0</v>
      </c>
      <c r="E38" s="15">
        <f t="shared" si="4"/>
        <v>13000</v>
      </c>
      <c r="F38" s="16"/>
      <c r="G38" s="24"/>
      <c r="H38" s="24"/>
      <c r="I38" s="16">
        <v>20000.0</v>
      </c>
      <c r="J38" s="16">
        <f t="shared" si="5"/>
        <v>10000</v>
      </c>
      <c r="K38" s="16">
        <f t="shared" si="6"/>
        <v>3000</v>
      </c>
      <c r="L38" s="30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0.5</v>
      </c>
      <c r="B39" s="12" t="s">
        <v>32</v>
      </c>
      <c r="C39" s="14" t="s">
        <v>20</v>
      </c>
      <c r="D39" s="15">
        <v>16000.0</v>
      </c>
      <c r="E39" s="15">
        <f t="shared" si="4"/>
        <v>8000</v>
      </c>
      <c r="F39" s="16"/>
      <c r="G39" s="24"/>
      <c r="H39" s="24"/>
      <c r="I39" s="16">
        <v>12000.0</v>
      </c>
      <c r="J39" s="16">
        <f t="shared" si="5"/>
        <v>6000</v>
      </c>
      <c r="K39" s="16">
        <f t="shared" si="6"/>
        <v>2000</v>
      </c>
      <c r="L39" s="30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0.5</v>
      </c>
      <c r="B40" s="12" t="s">
        <v>32</v>
      </c>
      <c r="C40" s="14" t="s">
        <v>182</v>
      </c>
      <c r="D40" s="15">
        <v>32000.0</v>
      </c>
      <c r="E40" s="15">
        <f t="shared" si="4"/>
        <v>16000</v>
      </c>
      <c r="F40" s="16"/>
      <c r="G40" s="24"/>
      <c r="H40" s="24"/>
      <c r="I40" s="16">
        <v>28000.0</v>
      </c>
      <c r="J40" s="16">
        <f t="shared" si="5"/>
        <v>14000</v>
      </c>
      <c r="K40" s="16">
        <f t="shared" si="6"/>
        <v>2000</v>
      </c>
      <c r="L40" s="30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/>
      <c r="B41" s="12"/>
      <c r="C41" s="14"/>
      <c r="D41" s="15"/>
      <c r="E41" s="16"/>
      <c r="F41" s="16"/>
      <c r="G41" s="24"/>
      <c r="H41" s="24"/>
      <c r="I41" s="16"/>
      <c r="J41" s="16"/>
      <c r="K41" s="16"/>
      <c r="L41" s="30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/>
      <c r="B42" s="12"/>
      <c r="C42" s="14"/>
      <c r="D42" s="15"/>
      <c r="E42" s="16">
        <f>SUM(E25:E40)</f>
        <v>196700</v>
      </c>
      <c r="F42" s="16"/>
      <c r="G42" s="24"/>
      <c r="H42" s="24"/>
      <c r="I42" s="16"/>
      <c r="J42" s="16"/>
      <c r="K42" s="16">
        <f>SUM(K25:K40)</f>
        <v>43200</v>
      </c>
      <c r="L42" s="30">
        <f>K42/E42</f>
        <v>0.2196237926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/>
      <c r="B43" s="12"/>
      <c r="C43" s="14"/>
      <c r="D43" s="15"/>
      <c r="E43" s="3"/>
      <c r="F43" s="3"/>
      <c r="G43" s="2"/>
      <c r="H43" s="2"/>
      <c r="I43" s="2"/>
      <c r="J43" s="2"/>
      <c r="K43" s="3"/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33"/>
      <c r="B44" s="34"/>
      <c r="C44" s="2"/>
      <c r="D44" s="3"/>
      <c r="E44" s="3"/>
      <c r="F44" s="3"/>
      <c r="G44" s="2"/>
      <c r="H44" s="2"/>
      <c r="I44" s="2"/>
      <c r="J44" s="2"/>
      <c r="K44" s="3"/>
      <c r="L44" s="4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33"/>
      <c r="B45" s="34"/>
      <c r="C45" s="2"/>
      <c r="E45" s="3"/>
      <c r="F45" s="3"/>
      <c r="G45" s="2"/>
      <c r="H45" s="2"/>
      <c r="I45" s="2"/>
      <c r="J45" s="2"/>
      <c r="K45" s="3"/>
      <c r="L45" s="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23" t="s">
        <v>311</v>
      </c>
      <c r="B46" s="23"/>
      <c r="C46" s="23"/>
      <c r="D46" s="25" t="s">
        <v>48</v>
      </c>
      <c r="E46" s="7">
        <v>46052.0</v>
      </c>
      <c r="G46" s="24"/>
      <c r="H46" s="24"/>
      <c r="I46" s="16"/>
      <c r="J46" s="16"/>
      <c r="K46" s="16"/>
      <c r="L46" s="29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B47" s="24"/>
      <c r="C47" s="26"/>
      <c r="D47" s="24"/>
      <c r="E47" s="24"/>
      <c r="F47" s="24"/>
      <c r="G47" s="24"/>
      <c r="H47" s="24"/>
      <c r="I47" s="16"/>
      <c r="J47" s="16"/>
      <c r="K47" s="16"/>
      <c r="L47" s="29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5" t="s">
        <v>4</v>
      </c>
      <c r="B48" s="10" t="s">
        <v>5</v>
      </c>
      <c r="C48" s="11" t="s">
        <v>6</v>
      </c>
      <c r="D48" s="12" t="s">
        <v>7</v>
      </c>
      <c r="E48" s="10" t="s">
        <v>8</v>
      </c>
      <c r="F48" s="12"/>
      <c r="G48" s="24"/>
      <c r="H48" s="24"/>
      <c r="I48" s="12" t="s">
        <v>7</v>
      </c>
      <c r="J48" s="12" t="s">
        <v>8</v>
      </c>
      <c r="K48" s="12" t="s">
        <v>10</v>
      </c>
      <c r="L48" s="29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10.0</v>
      </c>
      <c r="B49" s="12" t="s">
        <v>32</v>
      </c>
      <c r="C49" s="14" t="s">
        <v>77</v>
      </c>
      <c r="D49" s="15">
        <v>11000.0</v>
      </c>
      <c r="E49" s="15">
        <f t="shared" ref="E49:E60" si="7">A49*D49</f>
        <v>110000</v>
      </c>
      <c r="F49" s="16"/>
      <c r="G49" s="24"/>
      <c r="H49" s="24"/>
      <c r="I49" s="15">
        <f>76000/10</f>
        <v>7600</v>
      </c>
      <c r="J49" s="16">
        <f t="shared" ref="J49:J60" si="8">I49*A49</f>
        <v>76000</v>
      </c>
      <c r="K49" s="16">
        <f t="shared" ref="K49:K60" si="9">E49-J49</f>
        <v>34000</v>
      </c>
      <c r="L49" s="31" t="s">
        <v>2</v>
      </c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4.0</v>
      </c>
      <c r="B50" s="12" t="s">
        <v>42</v>
      </c>
      <c r="C50" s="14" t="s">
        <v>86</v>
      </c>
      <c r="D50" s="15">
        <v>14000.0</v>
      </c>
      <c r="E50" s="15">
        <f t="shared" si="7"/>
        <v>56000</v>
      </c>
      <c r="F50" s="16"/>
      <c r="G50" s="24"/>
      <c r="H50" s="24"/>
      <c r="I50" s="15">
        <v>9000.0</v>
      </c>
      <c r="J50" s="16">
        <f t="shared" si="8"/>
        <v>36000</v>
      </c>
      <c r="K50" s="16">
        <f t="shared" si="9"/>
        <v>20000</v>
      </c>
      <c r="L50" s="31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4.0</v>
      </c>
      <c r="B51" s="12" t="s">
        <v>42</v>
      </c>
      <c r="C51" s="14" t="s">
        <v>159</v>
      </c>
      <c r="D51" s="15">
        <v>30000.0</v>
      </c>
      <c r="E51" s="15">
        <f t="shared" si="7"/>
        <v>120000</v>
      </c>
      <c r="F51" s="16"/>
      <c r="G51" s="24"/>
      <c r="H51" s="24"/>
      <c r="I51" s="15">
        <v>23000.0</v>
      </c>
      <c r="J51" s="16">
        <f t="shared" si="8"/>
        <v>92000</v>
      </c>
      <c r="K51" s="16">
        <f t="shared" si="9"/>
        <v>28000</v>
      </c>
      <c r="L51" s="31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10.0</v>
      </c>
      <c r="B52" s="12" t="s">
        <v>42</v>
      </c>
      <c r="C52" s="14" t="s">
        <v>227</v>
      </c>
      <c r="D52" s="15">
        <v>13000.0</v>
      </c>
      <c r="E52" s="15">
        <f t="shared" si="7"/>
        <v>130000</v>
      </c>
      <c r="F52" s="16"/>
      <c r="G52" s="24"/>
      <c r="H52" s="24"/>
      <c r="I52" s="15">
        <v>8000.0</v>
      </c>
      <c r="J52" s="16">
        <f t="shared" si="8"/>
        <v>80000</v>
      </c>
      <c r="K52" s="16">
        <f t="shared" si="9"/>
        <v>50000</v>
      </c>
      <c r="L52" s="30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1.0</v>
      </c>
      <c r="B53" s="12" t="s">
        <v>32</v>
      </c>
      <c r="C53" s="14" t="s">
        <v>192</v>
      </c>
      <c r="D53" s="15">
        <v>25000.0</v>
      </c>
      <c r="E53" s="15">
        <f t="shared" si="7"/>
        <v>25000</v>
      </c>
      <c r="F53" s="16"/>
      <c r="G53" s="24"/>
      <c r="H53" s="24"/>
      <c r="I53" s="15">
        <v>20000.0</v>
      </c>
      <c r="J53" s="16">
        <f t="shared" si="8"/>
        <v>20000</v>
      </c>
      <c r="K53" s="16">
        <f t="shared" si="9"/>
        <v>5000</v>
      </c>
      <c r="L53" s="30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10.0</v>
      </c>
      <c r="B54" s="12" t="s">
        <v>32</v>
      </c>
      <c r="C54" s="14" t="s">
        <v>160</v>
      </c>
      <c r="D54" s="15">
        <v>15000.0</v>
      </c>
      <c r="E54" s="15">
        <f t="shared" si="7"/>
        <v>150000</v>
      </c>
      <c r="F54" s="16"/>
      <c r="G54" s="24"/>
      <c r="H54" s="24"/>
      <c r="I54" s="15">
        <v>11000.0</v>
      </c>
      <c r="J54" s="16">
        <f t="shared" si="8"/>
        <v>110000</v>
      </c>
      <c r="K54" s="16">
        <f t="shared" si="9"/>
        <v>40000</v>
      </c>
      <c r="L54" s="30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2.0</v>
      </c>
      <c r="B55" s="12" t="s">
        <v>17</v>
      </c>
      <c r="C55" s="14" t="s">
        <v>312</v>
      </c>
      <c r="D55" s="15">
        <v>9500.0</v>
      </c>
      <c r="E55" s="15">
        <f t="shared" si="7"/>
        <v>19000</v>
      </c>
      <c r="F55" s="16"/>
      <c r="G55" s="24"/>
      <c r="H55" s="24"/>
      <c r="I55" s="15">
        <v>8000.0</v>
      </c>
      <c r="J55" s="16">
        <f t="shared" si="8"/>
        <v>16000</v>
      </c>
      <c r="K55" s="16">
        <f t="shared" si="9"/>
        <v>3000</v>
      </c>
      <c r="L55" s="30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20.0</v>
      </c>
      <c r="B56" s="12" t="s">
        <v>42</v>
      </c>
      <c r="C56" s="14" t="s">
        <v>76</v>
      </c>
      <c r="D56" s="15">
        <v>13000.0</v>
      </c>
      <c r="E56" s="15">
        <f t="shared" si="7"/>
        <v>260000</v>
      </c>
      <c r="F56" s="16"/>
      <c r="G56" s="24"/>
      <c r="H56" s="24"/>
      <c r="I56" s="15">
        <v>10000.0</v>
      </c>
      <c r="J56" s="16">
        <f t="shared" si="8"/>
        <v>200000</v>
      </c>
      <c r="K56" s="16">
        <f t="shared" si="9"/>
        <v>60000</v>
      </c>
      <c r="L56" s="30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2.0</v>
      </c>
      <c r="B57" s="12" t="s">
        <v>28</v>
      </c>
      <c r="C57" s="14" t="s">
        <v>53</v>
      </c>
      <c r="D57" s="15">
        <v>3500.0</v>
      </c>
      <c r="E57" s="15">
        <f t="shared" si="7"/>
        <v>7000</v>
      </c>
      <c r="F57" s="16"/>
      <c r="G57" s="24"/>
      <c r="H57" s="24"/>
      <c r="I57" s="15">
        <v>1500.0</v>
      </c>
      <c r="J57" s="16">
        <f t="shared" si="8"/>
        <v>3000</v>
      </c>
      <c r="K57" s="16">
        <f t="shared" si="9"/>
        <v>4000</v>
      </c>
      <c r="L57" s="30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2.0</v>
      </c>
      <c r="B58" s="12" t="s">
        <v>32</v>
      </c>
      <c r="C58" s="14" t="s">
        <v>271</v>
      </c>
      <c r="D58" s="15">
        <v>20000.0</v>
      </c>
      <c r="E58" s="15">
        <f t="shared" si="7"/>
        <v>40000</v>
      </c>
      <c r="F58" s="16"/>
      <c r="G58" s="24"/>
      <c r="H58" s="24"/>
      <c r="I58" s="15">
        <v>20000.0</v>
      </c>
      <c r="J58" s="16">
        <f t="shared" si="8"/>
        <v>40000</v>
      </c>
      <c r="K58" s="16">
        <f t="shared" si="9"/>
        <v>0</v>
      </c>
      <c r="L58" s="3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1.0</v>
      </c>
      <c r="B59" s="12" t="s">
        <v>32</v>
      </c>
      <c r="C59" s="14" t="s">
        <v>178</v>
      </c>
      <c r="D59" s="15">
        <v>20000.0</v>
      </c>
      <c r="E59" s="15">
        <f t="shared" si="7"/>
        <v>20000</v>
      </c>
      <c r="F59" s="16"/>
      <c r="G59" s="24"/>
      <c r="H59" s="24"/>
      <c r="I59" s="15">
        <v>20000.0</v>
      </c>
      <c r="J59" s="16">
        <f t="shared" si="8"/>
        <v>20000</v>
      </c>
      <c r="K59" s="16">
        <f t="shared" si="9"/>
        <v>0</v>
      </c>
      <c r="L59" s="30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6.0</v>
      </c>
      <c r="B60" s="12" t="s">
        <v>42</v>
      </c>
      <c r="C60" s="14" t="s">
        <v>313</v>
      </c>
      <c r="D60" s="15">
        <v>18000.0</v>
      </c>
      <c r="E60" s="15">
        <f t="shared" si="7"/>
        <v>108000</v>
      </c>
      <c r="F60" s="16"/>
      <c r="G60" s="24"/>
      <c r="H60" s="24"/>
      <c r="I60" s="15">
        <f>35000/6</f>
        <v>5833.333333</v>
      </c>
      <c r="J60" s="16">
        <f t="shared" si="8"/>
        <v>35000</v>
      </c>
      <c r="K60" s="16">
        <f t="shared" si="9"/>
        <v>73000</v>
      </c>
      <c r="L60" s="30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/>
      <c r="B61" s="12"/>
      <c r="C61" s="14"/>
      <c r="D61" s="15"/>
      <c r="E61" s="16"/>
      <c r="F61" s="16"/>
      <c r="G61" s="24"/>
      <c r="H61" s="24"/>
      <c r="I61" s="16"/>
      <c r="J61" s="16"/>
      <c r="K61" s="16"/>
      <c r="L61" s="30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/>
      <c r="B62" s="12"/>
      <c r="C62" s="14"/>
      <c r="D62" s="15"/>
      <c r="E62" s="16">
        <f>SUM(E49:E60)</f>
        <v>1045000</v>
      </c>
      <c r="F62" s="16"/>
      <c r="G62" s="24"/>
      <c r="H62" s="24"/>
      <c r="I62" s="16"/>
      <c r="J62" s="16"/>
      <c r="K62" s="16">
        <f>SUM(K49:K60)</f>
        <v>317000</v>
      </c>
      <c r="L62" s="30">
        <f>K62/E62</f>
        <v>0.3033492823</v>
      </c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33"/>
      <c r="B63" s="34"/>
      <c r="C63" s="2"/>
      <c r="D63" s="3"/>
      <c r="E63" s="3"/>
      <c r="F63" s="3"/>
      <c r="G63" s="2"/>
      <c r="H63" s="2"/>
      <c r="I63" s="2"/>
      <c r="J63" s="2"/>
      <c r="K63" s="3"/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33"/>
      <c r="B64" s="34"/>
      <c r="C64" s="2"/>
      <c r="D64" s="3"/>
      <c r="E64" s="3"/>
      <c r="F64" s="3"/>
      <c r="G64" s="2"/>
      <c r="H64" s="2"/>
      <c r="I64" s="2"/>
      <c r="J64" s="2"/>
      <c r="K64" s="3"/>
      <c r="L64" s="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33"/>
      <c r="B65" s="34"/>
      <c r="C65" s="2"/>
      <c r="E65" s="3"/>
      <c r="F65" s="3"/>
      <c r="G65" s="2"/>
      <c r="H65" s="2"/>
      <c r="I65" s="2"/>
      <c r="J65" s="2"/>
      <c r="K65" s="3"/>
      <c r="L65" s="4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23" t="s">
        <v>221</v>
      </c>
      <c r="B66" s="23"/>
      <c r="C66" s="23"/>
      <c r="D66" s="25" t="s">
        <v>58</v>
      </c>
      <c r="E66" s="7">
        <v>46052.0</v>
      </c>
      <c r="G66" s="24"/>
      <c r="H66" s="24"/>
      <c r="I66" s="16"/>
      <c r="J66" s="16"/>
      <c r="K66" s="16"/>
      <c r="L66" s="29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B67" s="24"/>
      <c r="C67" s="26"/>
      <c r="D67" s="24"/>
      <c r="E67" s="24"/>
      <c r="F67" s="24"/>
      <c r="G67" s="24"/>
      <c r="H67" s="24"/>
      <c r="I67" s="16"/>
      <c r="J67" s="16"/>
      <c r="K67" s="16"/>
      <c r="L67" s="29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5" t="s">
        <v>4</v>
      </c>
      <c r="B68" s="10" t="s">
        <v>5</v>
      </c>
      <c r="C68" s="11" t="s">
        <v>6</v>
      </c>
      <c r="D68" s="12" t="s">
        <v>7</v>
      </c>
      <c r="E68" s="10" t="s">
        <v>8</v>
      </c>
      <c r="F68" s="12"/>
      <c r="G68" s="24"/>
      <c r="H68" s="24"/>
      <c r="I68" s="12" t="s">
        <v>7</v>
      </c>
      <c r="J68" s="12" t="s">
        <v>8</v>
      </c>
      <c r="K68" s="12" t="s">
        <v>10</v>
      </c>
      <c r="L68" s="29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2.0</v>
      </c>
      <c r="B69" s="12" t="s">
        <v>17</v>
      </c>
      <c r="C69" s="14" t="s">
        <v>144</v>
      </c>
      <c r="D69" s="15">
        <v>4000.0</v>
      </c>
      <c r="E69" s="15">
        <f t="shared" ref="E69:E81" si="10">A69*D69</f>
        <v>8000</v>
      </c>
      <c r="F69" s="16"/>
      <c r="G69" s="24"/>
      <c r="H69" s="24"/>
      <c r="I69" s="15">
        <v>2500.0</v>
      </c>
      <c r="J69" s="16">
        <f t="shared" ref="J69:J81" si="11">I69*A69</f>
        <v>5000</v>
      </c>
      <c r="K69" s="16">
        <f t="shared" ref="K69:K81" si="12">E69-J69</f>
        <v>3000</v>
      </c>
      <c r="L69" s="30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1.0</v>
      </c>
      <c r="B70" s="12" t="s">
        <v>17</v>
      </c>
      <c r="C70" s="14" t="s">
        <v>246</v>
      </c>
      <c r="D70" s="15">
        <v>9000.0</v>
      </c>
      <c r="E70" s="15">
        <f t="shared" si="10"/>
        <v>9000</v>
      </c>
      <c r="F70" s="16"/>
      <c r="G70" s="24"/>
      <c r="H70" s="24"/>
      <c r="I70" s="15">
        <f>34000/4</f>
        <v>8500</v>
      </c>
      <c r="J70" s="16">
        <f t="shared" si="11"/>
        <v>8500</v>
      </c>
      <c r="K70" s="16">
        <f t="shared" si="12"/>
        <v>500</v>
      </c>
      <c r="L70" s="30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2.0</v>
      </c>
      <c r="B71" s="12" t="s">
        <v>32</v>
      </c>
      <c r="C71" s="14" t="s">
        <v>314</v>
      </c>
      <c r="D71" s="15">
        <v>22000.0</v>
      </c>
      <c r="E71" s="15">
        <f t="shared" si="10"/>
        <v>44000</v>
      </c>
      <c r="F71" s="16"/>
      <c r="G71" s="24"/>
      <c r="H71" s="24"/>
      <c r="I71" s="15">
        <v>29000.0</v>
      </c>
      <c r="J71" s="16">
        <f t="shared" si="11"/>
        <v>58000</v>
      </c>
      <c r="K71" s="16">
        <f t="shared" si="12"/>
        <v>-14000</v>
      </c>
      <c r="L71" s="30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1.0</v>
      </c>
      <c r="B72" s="12" t="s">
        <v>32</v>
      </c>
      <c r="C72" s="14" t="s">
        <v>182</v>
      </c>
      <c r="D72" s="15">
        <v>32000.0</v>
      </c>
      <c r="E72" s="15">
        <f t="shared" si="10"/>
        <v>32000</v>
      </c>
      <c r="F72" s="16"/>
      <c r="G72" s="24"/>
      <c r="H72" s="24"/>
      <c r="I72" s="15">
        <v>28000.0</v>
      </c>
      <c r="J72" s="16">
        <f t="shared" si="11"/>
        <v>28000</v>
      </c>
      <c r="K72" s="16">
        <f t="shared" si="12"/>
        <v>4000</v>
      </c>
      <c r="L72" s="30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>
        <v>6.0</v>
      </c>
      <c r="B73" s="12" t="s">
        <v>17</v>
      </c>
      <c r="C73" s="14" t="s">
        <v>19</v>
      </c>
      <c r="D73" s="15">
        <v>3000.0</v>
      </c>
      <c r="E73" s="15">
        <f t="shared" si="10"/>
        <v>18000</v>
      </c>
      <c r="F73" s="16"/>
      <c r="G73" s="24"/>
      <c r="H73" s="24"/>
      <c r="I73" s="15">
        <f>25000/16</f>
        <v>1562.5</v>
      </c>
      <c r="J73" s="16">
        <f t="shared" si="11"/>
        <v>9375</v>
      </c>
      <c r="K73" s="16">
        <f t="shared" si="12"/>
        <v>8625</v>
      </c>
      <c r="L73" s="30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1.0</v>
      </c>
      <c r="B74" s="12" t="s">
        <v>146</v>
      </c>
      <c r="C74" s="14" t="s">
        <v>137</v>
      </c>
      <c r="D74" s="15">
        <v>3000.0</v>
      </c>
      <c r="E74" s="15">
        <f t="shared" si="10"/>
        <v>3000</v>
      </c>
      <c r="F74" s="16"/>
      <c r="G74" s="24"/>
      <c r="H74" s="24"/>
      <c r="I74" s="15">
        <v>2000.0</v>
      </c>
      <c r="J74" s="16">
        <f t="shared" si="11"/>
        <v>2000</v>
      </c>
      <c r="K74" s="16">
        <f t="shared" si="12"/>
        <v>1000</v>
      </c>
      <c r="L74" s="30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4.0</v>
      </c>
      <c r="B75" s="12" t="s">
        <v>17</v>
      </c>
      <c r="C75" s="14" t="s">
        <v>62</v>
      </c>
      <c r="D75" s="15">
        <v>1700.0</v>
      </c>
      <c r="E75" s="15">
        <f t="shared" si="10"/>
        <v>6800</v>
      </c>
      <c r="F75" s="16"/>
      <c r="G75" s="24"/>
      <c r="H75" s="24"/>
      <c r="I75" s="15">
        <v>1000.0</v>
      </c>
      <c r="J75" s="16">
        <f t="shared" si="11"/>
        <v>4000</v>
      </c>
      <c r="K75" s="16">
        <f t="shared" si="12"/>
        <v>2800</v>
      </c>
      <c r="L75" s="30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2.0</v>
      </c>
      <c r="B76" s="12" t="s">
        <v>17</v>
      </c>
      <c r="C76" s="14" t="s">
        <v>192</v>
      </c>
      <c r="D76" s="15">
        <v>3500.0</v>
      </c>
      <c r="E76" s="15">
        <f t="shared" si="10"/>
        <v>7000</v>
      </c>
      <c r="F76" s="16"/>
      <c r="G76" s="24"/>
      <c r="H76" s="24"/>
      <c r="I76" s="15">
        <f>20000/8</f>
        <v>2500</v>
      </c>
      <c r="J76" s="16">
        <f t="shared" si="11"/>
        <v>5000</v>
      </c>
      <c r="K76" s="16">
        <f t="shared" si="12"/>
        <v>2000</v>
      </c>
      <c r="L76" s="30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1.0</v>
      </c>
      <c r="B77" s="12" t="s">
        <v>17</v>
      </c>
      <c r="C77" s="14" t="s">
        <v>186</v>
      </c>
      <c r="D77" s="15">
        <v>20000.0</v>
      </c>
      <c r="E77" s="15">
        <f t="shared" si="10"/>
        <v>20000</v>
      </c>
      <c r="F77" s="16"/>
      <c r="G77" s="24"/>
      <c r="H77" s="24"/>
      <c r="I77" s="15">
        <v>17000.0</v>
      </c>
      <c r="J77" s="16">
        <f t="shared" si="11"/>
        <v>17000</v>
      </c>
      <c r="K77" s="16">
        <f t="shared" si="12"/>
        <v>3000</v>
      </c>
      <c r="L77" s="30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1.0</v>
      </c>
      <c r="B78" s="12" t="s">
        <v>17</v>
      </c>
      <c r="C78" s="14" t="s">
        <v>165</v>
      </c>
      <c r="D78" s="15">
        <v>11500.0</v>
      </c>
      <c r="E78" s="15">
        <f t="shared" si="10"/>
        <v>11500</v>
      </c>
      <c r="F78" s="16"/>
      <c r="G78" s="24"/>
      <c r="H78" s="24"/>
      <c r="I78" s="16">
        <f>50000/7</f>
        <v>7142.857143</v>
      </c>
      <c r="J78" s="16">
        <f t="shared" si="11"/>
        <v>7142.857143</v>
      </c>
      <c r="K78" s="16">
        <f t="shared" si="12"/>
        <v>4357.142857</v>
      </c>
      <c r="L78" s="30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1.0</v>
      </c>
      <c r="B79" s="12" t="s">
        <v>42</v>
      </c>
      <c r="C79" s="14" t="s">
        <v>228</v>
      </c>
      <c r="D79" s="15">
        <v>14000.0</v>
      </c>
      <c r="E79" s="15">
        <f t="shared" si="10"/>
        <v>14000</v>
      </c>
      <c r="F79" s="16"/>
      <c r="G79" s="24"/>
      <c r="H79" s="24"/>
      <c r="I79" s="15">
        <v>12000.0</v>
      </c>
      <c r="J79" s="16">
        <f t="shared" si="11"/>
        <v>12000</v>
      </c>
      <c r="K79" s="16">
        <f t="shared" si="12"/>
        <v>2000</v>
      </c>
      <c r="L79" s="30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>
        <v>12.0</v>
      </c>
      <c r="B80" s="12" t="s">
        <v>146</v>
      </c>
      <c r="C80" s="14" t="s">
        <v>147</v>
      </c>
      <c r="D80" s="15">
        <v>350.0</v>
      </c>
      <c r="E80" s="15">
        <f t="shared" si="10"/>
        <v>4200</v>
      </c>
      <c r="F80" s="16"/>
      <c r="G80" s="24"/>
      <c r="H80" s="24"/>
      <c r="I80" s="15">
        <f>5000/24</f>
        <v>208.3333333</v>
      </c>
      <c r="J80" s="16">
        <f t="shared" si="11"/>
        <v>2500</v>
      </c>
      <c r="K80" s="16">
        <f t="shared" si="12"/>
        <v>1700</v>
      </c>
      <c r="L80" s="30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4.0</v>
      </c>
      <c r="B81" s="12" t="s">
        <v>184</v>
      </c>
      <c r="C81" s="14" t="s">
        <v>149</v>
      </c>
      <c r="D81" s="15">
        <v>2400.0</v>
      </c>
      <c r="E81" s="15">
        <f t="shared" si="10"/>
        <v>9600</v>
      </c>
      <c r="F81" s="16"/>
      <c r="G81" s="24"/>
      <c r="H81" s="24"/>
      <c r="I81" s="15">
        <f>23000/12</f>
        <v>1916.666667</v>
      </c>
      <c r="J81" s="16">
        <f t="shared" si="11"/>
        <v>7666.666667</v>
      </c>
      <c r="K81" s="16">
        <f t="shared" si="12"/>
        <v>1933.333333</v>
      </c>
      <c r="L81" s="30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/>
      <c r="B82" s="12"/>
      <c r="C82" s="14"/>
      <c r="D82" s="15"/>
      <c r="E82" s="16"/>
      <c r="F82" s="16"/>
      <c r="G82" s="24"/>
      <c r="H82" s="24"/>
      <c r="I82" s="16"/>
      <c r="J82" s="16"/>
      <c r="K82" s="16"/>
      <c r="L82" s="30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/>
      <c r="B83" s="12"/>
      <c r="C83" s="14"/>
      <c r="D83" s="15"/>
      <c r="E83" s="16">
        <f>SUM(E69:E81)</f>
        <v>187100</v>
      </c>
      <c r="F83" s="16"/>
      <c r="G83" s="24"/>
      <c r="H83" s="24"/>
      <c r="I83" s="16"/>
      <c r="J83" s="16"/>
      <c r="K83" s="16">
        <f>SUM(K69:K81)</f>
        <v>20915.47619</v>
      </c>
      <c r="L83" s="30">
        <f>K83/E83</f>
        <v>0.1117876867</v>
      </c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33"/>
      <c r="B84" s="34"/>
      <c r="C84" s="2"/>
      <c r="D84" s="3"/>
      <c r="E84" s="3"/>
      <c r="F84" s="3"/>
      <c r="G84" s="2"/>
      <c r="H84" s="2"/>
      <c r="I84" s="2"/>
      <c r="J84" s="2"/>
      <c r="K84" s="3"/>
      <c r="L84" s="4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1"/>
      <c r="P85" s="21"/>
      <c r="Q85" s="21"/>
      <c r="R85" s="2"/>
      <c r="S85" s="3"/>
      <c r="T85" s="3"/>
      <c r="U85" s="1"/>
      <c r="V85" s="3"/>
      <c r="W85" s="3"/>
      <c r="X85" s="3"/>
      <c r="Y85" s="3"/>
      <c r="Z85" s="3"/>
    </row>
    <row r="86">
      <c r="A86" s="33"/>
      <c r="B86" s="34"/>
      <c r="C86" s="2"/>
      <c r="D86" s="3"/>
      <c r="E86" s="3"/>
      <c r="F86" s="3"/>
      <c r="G86" s="2"/>
      <c r="H86" s="2"/>
      <c r="I86" s="2"/>
      <c r="J86" s="2"/>
      <c r="K86" s="3"/>
      <c r="L86" s="4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23" t="s">
        <v>83</v>
      </c>
      <c r="B87" s="23"/>
      <c r="C87" s="23"/>
      <c r="D87" s="25" t="s">
        <v>259</v>
      </c>
      <c r="E87" s="7">
        <v>46052.0</v>
      </c>
      <c r="F87" s="28"/>
      <c r="G87" s="24"/>
      <c r="H87" s="24"/>
      <c r="I87" s="16"/>
      <c r="J87" s="16"/>
      <c r="K87" s="16"/>
      <c r="L87" s="29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B88" s="24"/>
      <c r="C88" s="26"/>
      <c r="D88" s="24"/>
      <c r="E88" s="24"/>
      <c r="F88" s="24"/>
      <c r="G88" s="24"/>
      <c r="H88" s="24"/>
      <c r="I88" s="16"/>
      <c r="J88" s="16"/>
      <c r="K88" s="16"/>
      <c r="L88" s="29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5" t="s">
        <v>4</v>
      </c>
      <c r="B89" s="10" t="s">
        <v>5</v>
      </c>
      <c r="C89" s="11" t="s">
        <v>6</v>
      </c>
      <c r="D89" s="12" t="s">
        <v>7</v>
      </c>
      <c r="E89" s="10" t="s">
        <v>8</v>
      </c>
      <c r="F89" s="12"/>
      <c r="G89" s="24"/>
      <c r="H89" s="24"/>
      <c r="I89" s="12" t="s">
        <v>7</v>
      </c>
      <c r="J89" s="12" t="s">
        <v>8</v>
      </c>
      <c r="K89" s="12" t="s">
        <v>10</v>
      </c>
      <c r="L89" s="29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1.0</v>
      </c>
      <c r="B90" s="12" t="s">
        <v>28</v>
      </c>
      <c r="C90" s="14" t="s">
        <v>63</v>
      </c>
      <c r="D90" s="15">
        <v>3000.0</v>
      </c>
      <c r="E90" s="15">
        <f t="shared" ref="E90:E99" si="13">A90*D90</f>
        <v>3000</v>
      </c>
      <c r="F90" s="16"/>
      <c r="G90" s="24"/>
      <c r="H90" s="24"/>
      <c r="I90" s="16">
        <v>2000.0</v>
      </c>
      <c r="J90" s="16">
        <f t="shared" ref="J90:J99" si="14">I90*A90</f>
        <v>2000</v>
      </c>
      <c r="K90" s="16">
        <f t="shared" ref="K90:K99" si="15">E90-J90</f>
        <v>1000</v>
      </c>
      <c r="L90" s="30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2.0</v>
      </c>
      <c r="B91" s="12" t="s">
        <v>17</v>
      </c>
      <c r="C91" s="14" t="s">
        <v>66</v>
      </c>
      <c r="D91" s="15">
        <v>900.0</v>
      </c>
      <c r="E91" s="15">
        <f t="shared" si="13"/>
        <v>1800</v>
      </c>
      <c r="F91" s="16"/>
      <c r="G91" s="24"/>
      <c r="H91" s="24"/>
      <c r="I91" s="16">
        <f>9500/17</f>
        <v>558.8235294</v>
      </c>
      <c r="J91" s="16">
        <f t="shared" si="14"/>
        <v>1117.647059</v>
      </c>
      <c r="K91" s="16">
        <f t="shared" si="15"/>
        <v>682.3529412</v>
      </c>
      <c r="L91" s="30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1.0</v>
      </c>
      <c r="B92" s="12" t="s">
        <v>39</v>
      </c>
      <c r="C92" s="14" t="s">
        <v>217</v>
      </c>
      <c r="D92" s="15">
        <v>2500.0</v>
      </c>
      <c r="E92" s="15">
        <f t="shared" si="13"/>
        <v>2500</v>
      </c>
      <c r="F92" s="16"/>
      <c r="G92" s="24"/>
      <c r="H92" s="24"/>
      <c r="I92" s="16">
        <v>1500.0</v>
      </c>
      <c r="J92" s="16">
        <f t="shared" si="14"/>
        <v>1500</v>
      </c>
      <c r="K92" s="16">
        <f t="shared" si="15"/>
        <v>1000</v>
      </c>
      <c r="L92" s="30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6.0</v>
      </c>
      <c r="B93" s="12" t="s">
        <v>146</v>
      </c>
      <c r="C93" s="14" t="s">
        <v>67</v>
      </c>
      <c r="D93" s="15">
        <v>2000.0</v>
      </c>
      <c r="E93" s="15">
        <f t="shared" si="13"/>
        <v>12000</v>
      </c>
      <c r="F93" s="16"/>
      <c r="G93" s="24"/>
      <c r="H93" s="24"/>
      <c r="I93" s="16">
        <f>7200/6</f>
        <v>1200</v>
      </c>
      <c r="J93" s="16">
        <f t="shared" si="14"/>
        <v>7200</v>
      </c>
      <c r="K93" s="16">
        <f t="shared" si="15"/>
        <v>4800</v>
      </c>
      <c r="L93" s="30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0.5</v>
      </c>
      <c r="B94" s="12" t="s">
        <v>32</v>
      </c>
      <c r="C94" s="14" t="s">
        <v>168</v>
      </c>
      <c r="D94" s="15">
        <v>14000.0</v>
      </c>
      <c r="E94" s="15">
        <f t="shared" si="13"/>
        <v>7000</v>
      </c>
      <c r="F94" s="16"/>
      <c r="G94" s="24"/>
      <c r="H94" s="24"/>
      <c r="I94" s="16">
        <v>10000.0</v>
      </c>
      <c r="J94" s="16">
        <f t="shared" si="14"/>
        <v>5000</v>
      </c>
      <c r="K94" s="16">
        <f t="shared" si="15"/>
        <v>2000</v>
      </c>
      <c r="L94" s="30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0.5</v>
      </c>
      <c r="B95" s="12" t="s">
        <v>32</v>
      </c>
      <c r="C95" s="14" t="s">
        <v>147</v>
      </c>
      <c r="D95" s="15">
        <v>10000.0</v>
      </c>
      <c r="E95" s="15">
        <f t="shared" si="13"/>
        <v>5000</v>
      </c>
      <c r="F95" s="16"/>
      <c r="G95" s="24"/>
      <c r="H95" s="24"/>
      <c r="I95" s="16">
        <v>5000.0</v>
      </c>
      <c r="J95" s="16">
        <f t="shared" si="14"/>
        <v>2500</v>
      </c>
      <c r="K95" s="16">
        <f t="shared" si="15"/>
        <v>2500</v>
      </c>
      <c r="L95" s="30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1.0</v>
      </c>
      <c r="B96" s="12" t="s">
        <v>28</v>
      </c>
      <c r="C96" s="14" t="s">
        <v>197</v>
      </c>
      <c r="D96" s="15">
        <v>3000.0</v>
      </c>
      <c r="E96" s="15">
        <f t="shared" si="13"/>
        <v>3000</v>
      </c>
      <c r="F96" s="16"/>
      <c r="G96" s="24"/>
      <c r="H96" s="24"/>
      <c r="I96" s="16">
        <v>2000.0</v>
      </c>
      <c r="J96" s="16">
        <f t="shared" si="14"/>
        <v>2000</v>
      </c>
      <c r="K96" s="16">
        <f t="shared" si="15"/>
        <v>1000</v>
      </c>
      <c r="L96" s="30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0.5</v>
      </c>
      <c r="B97" s="12" t="s">
        <v>13</v>
      </c>
      <c r="C97" s="14" t="s">
        <v>45</v>
      </c>
      <c r="D97" s="15">
        <v>26000.0</v>
      </c>
      <c r="E97" s="15">
        <f t="shared" si="13"/>
        <v>13000</v>
      </c>
      <c r="F97" s="16"/>
      <c r="G97" s="24"/>
      <c r="H97" s="24"/>
      <c r="I97" s="16">
        <v>20000.0</v>
      </c>
      <c r="J97" s="16">
        <f t="shared" si="14"/>
        <v>10000</v>
      </c>
      <c r="K97" s="16">
        <f t="shared" si="15"/>
        <v>3000</v>
      </c>
      <c r="L97" s="30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3.75</v>
      </c>
      <c r="B98" s="12" t="s">
        <v>17</v>
      </c>
      <c r="C98" s="14" t="s">
        <v>239</v>
      </c>
      <c r="D98" s="15">
        <v>2000.0</v>
      </c>
      <c r="E98" s="15">
        <f t="shared" si="13"/>
        <v>7500</v>
      </c>
      <c r="F98" s="16"/>
      <c r="G98" s="24"/>
      <c r="H98" s="24"/>
      <c r="I98" s="16">
        <v>1200.0</v>
      </c>
      <c r="J98" s="16">
        <f t="shared" si="14"/>
        <v>4500</v>
      </c>
      <c r="K98" s="16">
        <f t="shared" si="15"/>
        <v>3000</v>
      </c>
      <c r="L98" s="30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>
        <v>0.5</v>
      </c>
      <c r="B99" s="12" t="s">
        <v>42</v>
      </c>
      <c r="C99" s="14" t="s">
        <v>76</v>
      </c>
      <c r="D99" s="15">
        <v>14000.0</v>
      </c>
      <c r="E99" s="15">
        <f t="shared" si="13"/>
        <v>7000</v>
      </c>
      <c r="F99" s="16"/>
      <c r="G99" s="24"/>
      <c r="H99" s="24"/>
      <c r="I99" s="16">
        <v>10000.0</v>
      </c>
      <c r="J99" s="16">
        <f t="shared" si="14"/>
        <v>5000</v>
      </c>
      <c r="K99" s="16">
        <f t="shared" si="15"/>
        <v>2000</v>
      </c>
      <c r="L99" s="30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/>
      <c r="B100" s="12"/>
      <c r="C100" s="14"/>
      <c r="D100" s="15"/>
      <c r="E100" s="16"/>
      <c r="F100" s="16"/>
      <c r="H100" s="24"/>
      <c r="I100" s="16"/>
      <c r="J100" s="16"/>
      <c r="K100" s="16"/>
      <c r="L100" s="30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/>
      <c r="B101" s="12"/>
      <c r="C101" s="14"/>
      <c r="D101" s="15"/>
      <c r="E101" s="16">
        <f>SUM(E90:E100)</f>
        <v>61800</v>
      </c>
      <c r="F101" s="16"/>
      <c r="G101" s="24"/>
      <c r="H101" s="24"/>
      <c r="I101" s="16"/>
      <c r="J101" s="16"/>
      <c r="K101" s="16">
        <f>SUM(K90:K99)</f>
        <v>20982.35294</v>
      </c>
      <c r="L101" s="30">
        <f>K101/E101</f>
        <v>0.3395202741</v>
      </c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/>
      <c r="B102" s="12"/>
      <c r="C102" s="14"/>
      <c r="D102" s="15"/>
      <c r="E102" s="3"/>
      <c r="F102" s="3"/>
      <c r="G102" s="2"/>
      <c r="H102" s="2"/>
      <c r="I102" s="2"/>
      <c r="J102" s="2"/>
      <c r="K102" s="3"/>
      <c r="L102" s="4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/>
      <c r="B103" s="12"/>
      <c r="C103" s="14"/>
      <c r="D103" s="15"/>
      <c r="E103" s="3"/>
      <c r="F103" s="3"/>
      <c r="G103" s="2"/>
      <c r="H103" s="2"/>
      <c r="I103" s="2"/>
      <c r="J103" s="2"/>
      <c r="K103" s="3"/>
      <c r="L103" s="4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/>
      <c r="B104" s="12"/>
      <c r="C104" s="14"/>
      <c r="D104" s="15"/>
      <c r="E104" s="3"/>
      <c r="F104" s="3"/>
      <c r="G104" s="2"/>
      <c r="H104" s="2"/>
      <c r="I104" s="2"/>
      <c r="J104" s="2"/>
      <c r="K104" s="3"/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23" t="s">
        <v>80</v>
      </c>
      <c r="B105" s="23"/>
      <c r="C105" s="23"/>
      <c r="D105" s="25" t="s">
        <v>200</v>
      </c>
      <c r="E105" s="7">
        <v>46052.0</v>
      </c>
      <c r="F105" s="28"/>
      <c r="G105" s="24"/>
      <c r="H105" s="24"/>
      <c r="I105" s="16"/>
      <c r="J105" s="16"/>
      <c r="K105" s="16"/>
      <c r="L105" s="29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B106" s="24"/>
      <c r="C106" s="26"/>
      <c r="D106" s="24"/>
      <c r="E106" s="24"/>
      <c r="F106" s="24"/>
      <c r="G106" s="24"/>
      <c r="H106" s="24"/>
      <c r="I106" s="16"/>
      <c r="J106" s="16"/>
      <c r="K106" s="16"/>
      <c r="L106" s="29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5" t="s">
        <v>4</v>
      </c>
      <c r="B107" s="10" t="s">
        <v>5</v>
      </c>
      <c r="C107" s="11" t="s">
        <v>6</v>
      </c>
      <c r="D107" s="12" t="s">
        <v>7</v>
      </c>
      <c r="E107" s="10" t="s">
        <v>8</v>
      </c>
      <c r="F107" s="12"/>
      <c r="G107" s="24"/>
      <c r="H107" s="24"/>
      <c r="I107" s="12" t="s">
        <v>7</v>
      </c>
      <c r="J107" s="12" t="s">
        <v>8</v>
      </c>
      <c r="K107" s="12" t="s">
        <v>10</v>
      </c>
      <c r="L107" s="29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13">
        <v>1.0</v>
      </c>
      <c r="B108" s="12" t="s">
        <v>32</v>
      </c>
      <c r="C108" s="14" t="s">
        <v>147</v>
      </c>
      <c r="D108" s="15">
        <v>10000.0</v>
      </c>
      <c r="E108" s="15">
        <f t="shared" ref="E108:E120" si="16">A108*D108</f>
        <v>10000</v>
      </c>
      <c r="F108" s="16"/>
      <c r="G108" s="24"/>
      <c r="H108" s="24"/>
      <c r="I108" s="16">
        <v>5000.0</v>
      </c>
      <c r="J108" s="16">
        <f t="shared" ref="J108:J120" si="17">I108*A108</f>
        <v>5000</v>
      </c>
      <c r="K108" s="16">
        <f t="shared" ref="K108:K120" si="18">E108-J108</f>
        <v>5000</v>
      </c>
      <c r="L108" s="30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13">
        <v>1.5</v>
      </c>
      <c r="B109" s="12" t="s">
        <v>17</v>
      </c>
      <c r="C109" s="14" t="s">
        <v>168</v>
      </c>
      <c r="D109" s="15">
        <v>3500.0</v>
      </c>
      <c r="E109" s="15">
        <f t="shared" si="16"/>
        <v>5250</v>
      </c>
      <c r="F109" s="16"/>
      <c r="G109" s="24"/>
      <c r="H109" s="24"/>
      <c r="I109" s="16">
        <f>10000/5</f>
        <v>2000</v>
      </c>
      <c r="J109" s="16">
        <f t="shared" si="17"/>
        <v>3000</v>
      </c>
      <c r="K109" s="16">
        <f t="shared" si="18"/>
        <v>2250</v>
      </c>
      <c r="L109" s="30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13">
        <v>4.0</v>
      </c>
      <c r="B110" s="12" t="s">
        <v>17</v>
      </c>
      <c r="C110" s="14" t="s">
        <v>35</v>
      </c>
      <c r="D110" s="15">
        <v>1400.0</v>
      </c>
      <c r="E110" s="15">
        <f t="shared" si="16"/>
        <v>5600</v>
      </c>
      <c r="F110" s="16"/>
      <c r="G110" s="24"/>
      <c r="H110" s="24"/>
      <c r="I110" s="16">
        <f>15000/16</f>
        <v>937.5</v>
      </c>
      <c r="J110" s="16">
        <f t="shared" si="17"/>
        <v>3750</v>
      </c>
      <c r="K110" s="16">
        <f t="shared" si="18"/>
        <v>1850</v>
      </c>
      <c r="L110" s="30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>
        <v>4.0</v>
      </c>
      <c r="B111" s="12" t="s">
        <v>5</v>
      </c>
      <c r="C111" s="14" t="s">
        <v>38</v>
      </c>
      <c r="D111" s="15">
        <v>1300.0</v>
      </c>
      <c r="E111" s="15">
        <f t="shared" si="16"/>
        <v>5200</v>
      </c>
      <c r="F111" s="16"/>
      <c r="G111" s="24"/>
      <c r="H111" s="24"/>
      <c r="I111" s="16">
        <f>57000/70</f>
        <v>814.2857143</v>
      </c>
      <c r="J111" s="16">
        <f t="shared" si="17"/>
        <v>3257.142857</v>
      </c>
      <c r="K111" s="16">
        <f t="shared" si="18"/>
        <v>1942.857143</v>
      </c>
      <c r="L111" s="30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0.5</v>
      </c>
      <c r="B112" s="12" t="s">
        <v>17</v>
      </c>
      <c r="C112" s="14" t="s">
        <v>68</v>
      </c>
      <c r="D112" s="15">
        <v>1500.0</v>
      </c>
      <c r="E112" s="15">
        <f t="shared" si="16"/>
        <v>750</v>
      </c>
      <c r="F112" s="16"/>
      <c r="G112" s="24"/>
      <c r="H112" s="24"/>
      <c r="I112" s="16">
        <f>9000/8</f>
        <v>1125</v>
      </c>
      <c r="J112" s="16">
        <f t="shared" si="17"/>
        <v>562.5</v>
      </c>
      <c r="K112" s="16">
        <f t="shared" si="18"/>
        <v>187.5</v>
      </c>
      <c r="L112" s="30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1.0</v>
      </c>
      <c r="B113" s="12" t="s">
        <v>17</v>
      </c>
      <c r="C113" s="14" t="s">
        <v>72</v>
      </c>
      <c r="D113" s="15">
        <v>4500.0</v>
      </c>
      <c r="E113" s="15">
        <f t="shared" si="16"/>
        <v>4500</v>
      </c>
      <c r="F113" s="16"/>
      <c r="G113" s="24"/>
      <c r="H113" s="24"/>
      <c r="I113" s="16">
        <f>56000/17</f>
        <v>3294.117647</v>
      </c>
      <c r="J113" s="16">
        <f t="shared" si="17"/>
        <v>3294.117647</v>
      </c>
      <c r="K113" s="16">
        <f t="shared" si="18"/>
        <v>1205.882353</v>
      </c>
      <c r="L113" s="30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2.0</v>
      </c>
      <c r="B114" s="12" t="s">
        <v>17</v>
      </c>
      <c r="C114" s="14" t="s">
        <v>20</v>
      </c>
      <c r="D114" s="15">
        <v>1200.0</v>
      </c>
      <c r="E114" s="15">
        <f t="shared" si="16"/>
        <v>2400</v>
      </c>
      <c r="F114" s="16"/>
      <c r="G114" s="24"/>
      <c r="H114" s="24"/>
      <c r="I114" s="16">
        <f>12000/15</f>
        <v>800</v>
      </c>
      <c r="J114" s="16">
        <f t="shared" si="17"/>
        <v>1600</v>
      </c>
      <c r="K114" s="16">
        <f t="shared" si="18"/>
        <v>800</v>
      </c>
      <c r="L114" s="30"/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1.0</v>
      </c>
      <c r="B115" s="12" t="s">
        <v>17</v>
      </c>
      <c r="C115" s="14" t="s">
        <v>164</v>
      </c>
      <c r="D115" s="15">
        <v>9000.0</v>
      </c>
      <c r="E115" s="15">
        <f t="shared" si="16"/>
        <v>9000</v>
      </c>
      <c r="F115" s="16"/>
      <c r="G115" s="24"/>
      <c r="H115" s="24"/>
      <c r="I115" s="15">
        <f>34000/4</f>
        <v>8500</v>
      </c>
      <c r="J115" s="16">
        <f t="shared" si="17"/>
        <v>8500</v>
      </c>
      <c r="K115" s="16">
        <f t="shared" si="18"/>
        <v>500</v>
      </c>
      <c r="L115" s="30"/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0.3</v>
      </c>
      <c r="B116" s="12" t="s">
        <v>17</v>
      </c>
      <c r="C116" s="14" t="s">
        <v>165</v>
      </c>
      <c r="D116" s="15">
        <v>12000.0</v>
      </c>
      <c r="E116" s="15">
        <f t="shared" si="16"/>
        <v>3600</v>
      </c>
      <c r="F116" s="16"/>
      <c r="G116" s="24"/>
      <c r="H116" s="24"/>
      <c r="I116" s="16">
        <f>50000/7</f>
        <v>7142.857143</v>
      </c>
      <c r="J116" s="16">
        <f t="shared" si="17"/>
        <v>2142.857143</v>
      </c>
      <c r="K116" s="16">
        <f t="shared" si="18"/>
        <v>1457.142857</v>
      </c>
      <c r="L116" s="30"/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>
        <v>2.0</v>
      </c>
      <c r="B117" s="12" t="s">
        <v>184</v>
      </c>
      <c r="C117" s="14" t="s">
        <v>185</v>
      </c>
      <c r="D117" s="15">
        <v>2500.0</v>
      </c>
      <c r="E117" s="15">
        <f t="shared" si="16"/>
        <v>5000</v>
      </c>
      <c r="F117" s="16"/>
      <c r="G117" s="24"/>
      <c r="H117" s="24"/>
      <c r="I117" s="16">
        <f>23000/12</f>
        <v>1916.666667</v>
      </c>
      <c r="J117" s="16">
        <f t="shared" si="17"/>
        <v>3833.333333</v>
      </c>
      <c r="K117" s="16">
        <f t="shared" si="18"/>
        <v>1166.666667</v>
      </c>
      <c r="L117" s="30"/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>
        <v>1.0</v>
      </c>
      <c r="B118" s="12" t="s">
        <v>17</v>
      </c>
      <c r="C118" s="14" t="s">
        <v>154</v>
      </c>
      <c r="D118" s="15">
        <v>4500.0</v>
      </c>
      <c r="E118" s="15">
        <f t="shared" si="16"/>
        <v>4500</v>
      </c>
      <c r="F118" s="16"/>
      <c r="G118" s="24"/>
      <c r="H118" s="24"/>
      <c r="I118" s="16">
        <v>4000.0</v>
      </c>
      <c r="J118" s="16">
        <f t="shared" si="17"/>
        <v>4000</v>
      </c>
      <c r="K118" s="16">
        <f t="shared" si="18"/>
        <v>500</v>
      </c>
      <c r="L118" s="30"/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3">
        <v>2.0</v>
      </c>
      <c r="B119" s="12" t="s">
        <v>17</v>
      </c>
      <c r="C119" s="14" t="s">
        <v>19</v>
      </c>
      <c r="D119" s="15">
        <v>2800.0</v>
      </c>
      <c r="E119" s="15">
        <f t="shared" si="16"/>
        <v>5600</v>
      </c>
      <c r="F119" s="16"/>
      <c r="G119" s="24"/>
      <c r="H119" s="24"/>
      <c r="I119" s="15">
        <f>25000/16</f>
        <v>1562.5</v>
      </c>
      <c r="J119" s="16">
        <f t="shared" si="17"/>
        <v>3125</v>
      </c>
      <c r="K119" s="16">
        <f t="shared" si="18"/>
        <v>2475</v>
      </c>
      <c r="L119" s="30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>
        <v>0.5</v>
      </c>
      <c r="B120" s="12" t="s">
        <v>17</v>
      </c>
      <c r="C120" s="14" t="s">
        <v>220</v>
      </c>
      <c r="D120" s="15">
        <v>3500.0</v>
      </c>
      <c r="E120" s="15">
        <f t="shared" si="16"/>
        <v>1750</v>
      </c>
      <c r="F120" s="16"/>
      <c r="G120" s="24"/>
      <c r="H120" s="24"/>
      <c r="I120" s="16">
        <f>25000/9</f>
        <v>2777.777778</v>
      </c>
      <c r="J120" s="16">
        <f t="shared" si="17"/>
        <v>1388.888889</v>
      </c>
      <c r="K120" s="16">
        <f t="shared" si="18"/>
        <v>361.1111111</v>
      </c>
      <c r="L120" s="30"/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/>
      <c r="B121" s="12"/>
      <c r="C121" s="14"/>
      <c r="D121" s="15"/>
      <c r="E121" s="16"/>
      <c r="F121" s="16"/>
      <c r="G121" s="24"/>
      <c r="H121" s="24"/>
      <c r="I121" s="16"/>
      <c r="J121" s="16"/>
      <c r="K121" s="16"/>
      <c r="L121" s="30"/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3"/>
      <c r="B122" s="12"/>
      <c r="C122" s="14"/>
      <c r="D122" s="15"/>
      <c r="E122" s="16">
        <f>SUM(E108:E120)</f>
        <v>63150</v>
      </c>
      <c r="F122" s="16"/>
      <c r="G122" s="24"/>
      <c r="H122" s="24"/>
      <c r="I122" s="16"/>
      <c r="J122" s="16"/>
      <c r="K122" s="16">
        <f>SUM(K108:K120)</f>
        <v>19696.16013</v>
      </c>
      <c r="L122" s="30">
        <f>K122/E122</f>
        <v>0.3118948556</v>
      </c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/>
      <c r="B123" s="12"/>
      <c r="C123" s="14"/>
      <c r="D123" s="15"/>
      <c r="E123" s="3"/>
      <c r="F123" s="3"/>
      <c r="G123" s="2"/>
      <c r="H123" s="2"/>
      <c r="I123" s="2"/>
      <c r="J123" s="2"/>
      <c r="K123" s="3"/>
      <c r="L123" s="4"/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/>
      <c r="B124" s="12"/>
      <c r="C124" s="14"/>
      <c r="D124" s="15"/>
      <c r="E124" s="3"/>
      <c r="F124" s="3"/>
      <c r="G124" s="2"/>
      <c r="H124" s="2"/>
      <c r="I124" s="2"/>
      <c r="J124" s="2"/>
      <c r="K124" s="3"/>
      <c r="L124" s="4"/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/>
      <c r="B125" s="12"/>
      <c r="C125" s="14"/>
      <c r="D125" s="15"/>
      <c r="E125" s="3"/>
      <c r="F125" s="3"/>
      <c r="G125" s="2"/>
      <c r="H125" s="2"/>
      <c r="I125" s="2"/>
      <c r="J125" s="2"/>
      <c r="K125" s="3"/>
      <c r="L125" s="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23" t="s">
        <v>315</v>
      </c>
      <c r="B126" s="23"/>
      <c r="C126" s="23"/>
      <c r="D126" s="25" t="s">
        <v>171</v>
      </c>
      <c r="E126" s="7">
        <v>46052.0</v>
      </c>
      <c r="F126" s="28"/>
      <c r="G126" s="24"/>
      <c r="H126" s="24"/>
      <c r="I126" s="16"/>
      <c r="J126" s="16"/>
      <c r="K126" s="16"/>
      <c r="L126" s="29"/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B127" s="24"/>
      <c r="C127" s="26"/>
      <c r="D127" s="24"/>
      <c r="E127" s="24"/>
      <c r="F127" s="24"/>
      <c r="G127" s="24"/>
      <c r="H127" s="24"/>
      <c r="I127" s="16"/>
      <c r="J127" s="16"/>
      <c r="K127" s="16"/>
      <c r="L127" s="29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5" t="s">
        <v>4</v>
      </c>
      <c r="B128" s="10" t="s">
        <v>5</v>
      </c>
      <c r="C128" s="11" t="s">
        <v>6</v>
      </c>
      <c r="D128" s="12" t="s">
        <v>7</v>
      </c>
      <c r="E128" s="10" t="s">
        <v>8</v>
      </c>
      <c r="F128" s="12"/>
      <c r="G128" s="24"/>
      <c r="H128" s="24"/>
      <c r="I128" s="12" t="s">
        <v>7</v>
      </c>
      <c r="J128" s="12" t="s">
        <v>8</v>
      </c>
      <c r="K128" s="12" t="s">
        <v>10</v>
      </c>
      <c r="L128" s="29"/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3">
        <v>1.0</v>
      </c>
      <c r="B129" s="12" t="s">
        <v>32</v>
      </c>
      <c r="C129" s="14" t="s">
        <v>20</v>
      </c>
      <c r="D129" s="15">
        <v>15000.0</v>
      </c>
      <c r="E129" s="15">
        <f t="shared" ref="E129:E135" si="19">A129*D129</f>
        <v>15000</v>
      </c>
      <c r="F129" s="16"/>
      <c r="G129" s="24"/>
      <c r="H129" s="24"/>
      <c r="I129" s="16">
        <v>12000.0</v>
      </c>
      <c r="J129" s="16">
        <f t="shared" ref="J129:J135" si="20">I129*A129</f>
        <v>12000</v>
      </c>
      <c r="K129" s="16">
        <f t="shared" ref="K129:K135" si="21">E129-J129</f>
        <v>3000</v>
      </c>
      <c r="L129" s="30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13">
        <v>1.0</v>
      </c>
      <c r="B130" s="12" t="s">
        <v>17</v>
      </c>
      <c r="C130" s="14" t="s">
        <v>45</v>
      </c>
      <c r="D130" s="15">
        <v>2700.0</v>
      </c>
      <c r="E130" s="15">
        <f t="shared" si="19"/>
        <v>2700</v>
      </c>
      <c r="F130" s="16"/>
      <c r="G130" s="24"/>
      <c r="H130" s="24"/>
      <c r="I130" s="16">
        <f>28000/16</f>
        <v>1750</v>
      </c>
      <c r="J130" s="16">
        <f t="shared" si="20"/>
        <v>1750</v>
      </c>
      <c r="K130" s="16">
        <f t="shared" si="21"/>
        <v>950</v>
      </c>
      <c r="L130" s="30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3">
        <v>0.5</v>
      </c>
      <c r="B131" s="12" t="s">
        <v>17</v>
      </c>
      <c r="C131" s="14" t="s">
        <v>19</v>
      </c>
      <c r="D131" s="15">
        <v>2600.0</v>
      </c>
      <c r="E131" s="15">
        <f t="shared" si="19"/>
        <v>1300</v>
      </c>
      <c r="F131" s="16"/>
      <c r="G131" s="24"/>
      <c r="H131" s="24"/>
      <c r="I131" s="15">
        <f>25000/16</f>
        <v>1562.5</v>
      </c>
      <c r="J131" s="16">
        <f t="shared" si="20"/>
        <v>781.25</v>
      </c>
      <c r="K131" s="16">
        <f t="shared" si="21"/>
        <v>518.75</v>
      </c>
      <c r="L131" s="30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13">
        <v>0.5</v>
      </c>
      <c r="B132" s="12" t="s">
        <v>17</v>
      </c>
      <c r="C132" s="14" t="s">
        <v>164</v>
      </c>
      <c r="D132" s="15">
        <v>6000.0</v>
      </c>
      <c r="E132" s="15">
        <f t="shared" si="19"/>
        <v>3000</v>
      </c>
      <c r="F132" s="16"/>
      <c r="G132" s="24"/>
      <c r="H132" s="24"/>
      <c r="I132" s="15">
        <f>34000/4</f>
        <v>8500</v>
      </c>
      <c r="J132" s="16">
        <f t="shared" si="20"/>
        <v>4250</v>
      </c>
      <c r="K132" s="16">
        <f t="shared" si="21"/>
        <v>-1250</v>
      </c>
      <c r="L132" s="30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3">
        <v>0.2</v>
      </c>
      <c r="B133" s="12" t="s">
        <v>17</v>
      </c>
      <c r="C133" s="14" t="s">
        <v>165</v>
      </c>
      <c r="D133" s="15">
        <v>11500.0</v>
      </c>
      <c r="E133" s="15">
        <f t="shared" si="19"/>
        <v>2300</v>
      </c>
      <c r="F133" s="16"/>
      <c r="G133" s="24"/>
      <c r="H133" s="24"/>
      <c r="I133" s="16">
        <f>50000/7</f>
        <v>7142.857143</v>
      </c>
      <c r="J133" s="16">
        <f t="shared" si="20"/>
        <v>1428.571429</v>
      </c>
      <c r="K133" s="16">
        <f t="shared" si="21"/>
        <v>871.4285714</v>
      </c>
      <c r="L133" s="30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3">
        <v>0.25</v>
      </c>
      <c r="B134" s="12" t="s">
        <v>17</v>
      </c>
      <c r="C134" s="14" t="s">
        <v>166</v>
      </c>
      <c r="D134" s="15">
        <v>2500.0</v>
      </c>
      <c r="E134" s="15">
        <f t="shared" si="19"/>
        <v>625</v>
      </c>
      <c r="F134" s="16"/>
      <c r="G134" s="24"/>
      <c r="H134" s="24"/>
      <c r="I134" s="16">
        <f>56000/17</f>
        <v>3294.117647</v>
      </c>
      <c r="J134" s="16">
        <f t="shared" si="20"/>
        <v>823.5294118</v>
      </c>
      <c r="K134" s="16">
        <f t="shared" si="21"/>
        <v>-198.5294118</v>
      </c>
      <c r="L134" s="30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13">
        <v>3.0</v>
      </c>
      <c r="B135" s="12" t="s">
        <v>17</v>
      </c>
      <c r="C135" s="84" t="s">
        <v>316</v>
      </c>
      <c r="D135" s="15">
        <v>0.0</v>
      </c>
      <c r="E135" s="15">
        <f t="shared" si="19"/>
        <v>0</v>
      </c>
      <c r="F135" s="16"/>
      <c r="G135" s="24"/>
      <c r="H135" s="24"/>
      <c r="I135" s="16"/>
      <c r="J135" s="16">
        <f t="shared" si="20"/>
        <v>0</v>
      </c>
      <c r="K135" s="16">
        <f t="shared" si="21"/>
        <v>0</v>
      </c>
      <c r="L135" s="30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/>
      <c r="B136" s="12"/>
      <c r="C136" s="14"/>
      <c r="D136" s="15"/>
      <c r="E136" s="16"/>
      <c r="F136" s="16"/>
      <c r="H136" s="24"/>
      <c r="I136" s="16"/>
      <c r="J136" s="16"/>
      <c r="K136" s="16"/>
      <c r="L136" s="30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/>
      <c r="B137" s="12"/>
      <c r="C137" s="14"/>
      <c r="D137" s="15"/>
      <c r="E137" s="16">
        <f>SUM(E129:E136)</f>
        <v>24925</v>
      </c>
      <c r="F137" s="16"/>
      <c r="G137" s="24"/>
      <c r="H137" s="24"/>
      <c r="I137" s="16"/>
      <c r="J137" s="16"/>
      <c r="K137" s="16">
        <f>SUM(K129:K135)</f>
        <v>3891.64916</v>
      </c>
      <c r="L137" s="30">
        <f>K137/E137</f>
        <v>0.1561343695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/>
      <c r="B138" s="12"/>
      <c r="C138" s="14"/>
      <c r="D138" s="15"/>
      <c r="E138" s="3"/>
      <c r="F138" s="3"/>
      <c r="G138" s="2"/>
      <c r="H138" s="2"/>
      <c r="I138" s="2"/>
      <c r="J138" s="2"/>
      <c r="K138" s="3"/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 t="s">
        <v>284</v>
      </c>
      <c r="B139" s="83">
        <v>0.04</v>
      </c>
      <c r="C139" s="14"/>
      <c r="D139" s="15"/>
      <c r="E139" s="16">
        <f>E137*0.04</f>
        <v>997</v>
      </c>
      <c r="F139" s="15"/>
      <c r="G139" s="2"/>
      <c r="H139" s="3"/>
      <c r="I139" s="16"/>
      <c r="J139" s="15"/>
      <c r="K139" s="15"/>
      <c r="L139" s="25"/>
      <c r="M139" s="20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/>
      <c r="B140" s="12"/>
      <c r="C140" s="14"/>
      <c r="D140" s="15"/>
      <c r="E140" s="3"/>
      <c r="F140" s="3"/>
      <c r="G140" s="2"/>
      <c r="H140" s="2"/>
      <c r="I140" s="2"/>
      <c r="J140" s="2"/>
      <c r="K140" s="3"/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13"/>
      <c r="B141" s="12"/>
      <c r="C141" s="14"/>
      <c r="D141" s="15"/>
      <c r="E141" s="3"/>
      <c r="F141" s="3"/>
      <c r="G141" s="2"/>
      <c r="H141" s="2"/>
      <c r="I141" s="2"/>
      <c r="J141" s="2"/>
      <c r="K141" s="3"/>
      <c r="L141" s="4"/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33" t="s">
        <v>88</v>
      </c>
      <c r="B142" s="34">
        <f>E122+E101+E83+E62+E42+E19+E137</f>
        <v>1953675</v>
      </c>
      <c r="C142" s="2"/>
      <c r="D142" s="3"/>
      <c r="E142" s="3"/>
      <c r="F142" s="3"/>
      <c r="G142" s="2"/>
      <c r="H142" s="2"/>
      <c r="I142" s="2"/>
      <c r="J142" s="2"/>
      <c r="K142" s="3"/>
      <c r="L142" s="4"/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1"/>
      <c r="B143" s="2"/>
      <c r="C143" s="2"/>
      <c r="D143" s="3"/>
      <c r="E143" s="3"/>
      <c r="F143" s="3"/>
      <c r="G143" s="2"/>
      <c r="H143" s="2"/>
      <c r="I143" s="2"/>
      <c r="J143" s="2"/>
      <c r="K143" s="3"/>
      <c r="L143" s="4"/>
      <c r="M143" s="2"/>
      <c r="N143" s="2"/>
      <c r="O143" s="2"/>
      <c r="P143" s="2"/>
      <c r="Q143" s="3"/>
      <c r="R143" s="9"/>
      <c r="S143" s="3"/>
      <c r="T143" s="3"/>
      <c r="U143" s="1"/>
      <c r="V143" s="3"/>
      <c r="W143" s="3"/>
      <c r="X143" s="3"/>
      <c r="Y143" s="3"/>
      <c r="Z143" s="3"/>
    </row>
    <row r="144">
      <c r="A144" s="33" t="s">
        <v>89</v>
      </c>
      <c r="B144" s="34">
        <f>K122+K101+K83+K62+K42+K19</f>
        <v>500793.9893</v>
      </c>
      <c r="C144" s="2"/>
      <c r="D144" s="3"/>
      <c r="E144" s="3"/>
      <c r="F144" s="3"/>
      <c r="G144" s="2"/>
      <c r="H144" s="2"/>
      <c r="I144" s="2"/>
      <c r="J144" s="2"/>
      <c r="K144" s="3"/>
      <c r="L144" s="4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1"/>
      <c r="B145" s="2"/>
      <c r="C145" s="2"/>
      <c r="D145" s="3"/>
      <c r="E145" s="3"/>
      <c r="F145" s="3"/>
      <c r="G145" s="2"/>
      <c r="H145" s="2"/>
      <c r="I145" s="2"/>
      <c r="J145" s="2"/>
      <c r="K145" s="3"/>
      <c r="L145" s="4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33" t="s">
        <v>90</v>
      </c>
      <c r="B146" s="35">
        <f>B144/B142</f>
        <v>0.2563343388</v>
      </c>
      <c r="C146" s="2"/>
      <c r="D146" s="3"/>
      <c r="E146" s="3"/>
      <c r="F146" s="3"/>
      <c r="G146" s="2"/>
      <c r="H146" s="2"/>
      <c r="I146" s="2"/>
      <c r="J146" s="2"/>
      <c r="K146" s="3"/>
      <c r="L146" s="4"/>
      <c r="M146" s="2"/>
      <c r="N146" s="2"/>
      <c r="O146" s="2"/>
      <c r="P146" s="2"/>
      <c r="Q146" s="2"/>
      <c r="R146" s="2"/>
      <c r="S146" s="3"/>
      <c r="T146" s="3"/>
      <c r="U146" s="1"/>
      <c r="V146" s="3"/>
      <c r="W146" s="3"/>
      <c r="X146" s="2"/>
      <c r="Y146" s="2"/>
      <c r="Z146" s="2"/>
    </row>
    <row r="147">
      <c r="A147" s="1"/>
      <c r="B147" s="2"/>
      <c r="C147" s="2"/>
      <c r="D147" s="3"/>
      <c r="E147" s="3"/>
      <c r="F147" s="3"/>
      <c r="G147" s="2"/>
      <c r="H147" s="2"/>
      <c r="I147" s="2"/>
      <c r="J147" s="2"/>
      <c r="K147" s="3"/>
      <c r="L147" s="4"/>
      <c r="M147" s="2"/>
      <c r="N147" s="2"/>
      <c r="O147" s="2"/>
      <c r="P147" s="2"/>
      <c r="Q147" s="3"/>
      <c r="R147" s="9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36" t="s">
        <v>91</v>
      </c>
      <c r="C148" s="37"/>
      <c r="D148" s="6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1"/>
      <c r="B150" s="2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1"/>
      <c r="B151" s="1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X152" s="3"/>
      <c r="Y152" s="3"/>
      <c r="Z152" s="3"/>
    </row>
    <row r="153" ht="15.75" customHeight="1">
      <c r="A153" s="39"/>
      <c r="B153" s="40" t="s">
        <v>92</v>
      </c>
      <c r="C153" s="41" t="s">
        <v>93</v>
      </c>
      <c r="D153" s="42" t="s">
        <v>94</v>
      </c>
      <c r="E153" s="42" t="s">
        <v>95</v>
      </c>
      <c r="F153" s="42" t="s">
        <v>96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9"/>
      <c r="X153" s="3"/>
      <c r="Y153" s="3"/>
      <c r="Z153" s="3"/>
    </row>
    <row r="154" ht="15.75" customHeight="1">
      <c r="A154" s="43"/>
      <c r="B154" s="44">
        <f>'22-01-2026 '!B126</f>
        <v>213537.25</v>
      </c>
      <c r="C154" s="44">
        <f>'22-01-2026 '!C126</f>
        <v>1338479.728</v>
      </c>
      <c r="D154" s="44">
        <f>'22-01-2026 '!D126</f>
        <v>2388443.928</v>
      </c>
      <c r="E154" s="44">
        <f>'22-01-2026 '!E126</f>
        <v>0</v>
      </c>
      <c r="F154" s="44">
        <f>'22-01-2026 '!F126</f>
        <v>637428.4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1"/>
      <c r="B155" s="46"/>
      <c r="C155" s="46"/>
      <c r="D155" s="46"/>
      <c r="E155" s="4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40" t="s">
        <v>97</v>
      </c>
      <c r="B156" s="47"/>
      <c r="C156" s="47"/>
      <c r="D156" s="47"/>
      <c r="E156" s="47"/>
      <c r="F156" s="4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13" t="s">
        <v>98</v>
      </c>
      <c r="B157" s="49">
        <v>0.0</v>
      </c>
      <c r="C157" s="49">
        <v>0.0</v>
      </c>
      <c r="D157" s="49">
        <v>0.0</v>
      </c>
      <c r="E157" s="49">
        <v>0.0</v>
      </c>
      <c r="F157" s="49">
        <v>964956.69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99</v>
      </c>
      <c r="B158" s="49">
        <v>0.0</v>
      </c>
      <c r="C158" s="49">
        <v>1008.47</v>
      </c>
      <c r="D158" s="49">
        <v>0.0</v>
      </c>
      <c r="E158" s="49">
        <v>0.0</v>
      </c>
      <c r="F158" s="49">
        <v>0.0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3" t="s">
        <v>100</v>
      </c>
      <c r="B159" s="49">
        <v>0.0</v>
      </c>
      <c r="C159" s="49">
        <v>0.0</v>
      </c>
      <c r="D159" s="49">
        <v>0.0</v>
      </c>
      <c r="E159" s="49">
        <v>0.0</v>
      </c>
      <c r="F159" s="49">
        <v>0.0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3" t="s">
        <v>101</v>
      </c>
      <c r="B160" s="49">
        <v>0.0</v>
      </c>
      <c r="C160" s="49">
        <v>0.0</v>
      </c>
      <c r="D160" s="49">
        <v>0.0</v>
      </c>
      <c r="E160" s="49">
        <v>0.0</v>
      </c>
      <c r="F160" s="49">
        <v>0.0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13" t="s">
        <v>102</v>
      </c>
      <c r="B161" s="49">
        <v>0.0</v>
      </c>
      <c r="C161" s="49">
        <v>0.0</v>
      </c>
      <c r="D161" s="49">
        <v>0.0</v>
      </c>
      <c r="E161" s="49">
        <v>0.0</v>
      </c>
      <c r="F161" s="49">
        <v>0.0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13" t="s">
        <v>202</v>
      </c>
      <c r="B162" s="49">
        <v>0.0</v>
      </c>
      <c r="C162" s="49">
        <v>0.0</v>
      </c>
      <c r="D162" s="49">
        <v>0.0</v>
      </c>
      <c r="E162" s="49">
        <v>0.0</v>
      </c>
      <c r="F162" s="49">
        <v>0.0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3" t="s">
        <v>203</v>
      </c>
      <c r="B163" s="49">
        <v>0.0</v>
      </c>
      <c r="C163" s="50">
        <f>C157*2%</f>
        <v>0</v>
      </c>
      <c r="D163" s="49">
        <f>SUM(D157:D158)*2%</f>
        <v>0</v>
      </c>
      <c r="E163" s="49">
        <v>0.0</v>
      </c>
      <c r="F163" s="49">
        <v>0.0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13" t="s">
        <v>103</v>
      </c>
      <c r="B164" s="49">
        <v>0.0</v>
      </c>
      <c r="C164" s="50">
        <f>C157*0.6%+C160*0.6%</f>
        <v>0</v>
      </c>
      <c r="D164" s="49">
        <f>SUM(D157:D159)*0.6%</f>
        <v>0</v>
      </c>
      <c r="E164" s="49">
        <v>0.0</v>
      </c>
      <c r="F164" s="49">
        <v>0.0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1"/>
      <c r="B165" s="46"/>
      <c r="C165" s="46"/>
      <c r="D165" s="46"/>
      <c r="E165" s="4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51" t="s">
        <v>8</v>
      </c>
      <c r="B166" s="52">
        <f>SUM(B154:B164)</f>
        <v>213537.25</v>
      </c>
      <c r="C166" s="52">
        <f>C154+C157+C160+C161-C164+C158-C163</f>
        <v>1339488.198</v>
      </c>
      <c r="D166" s="53">
        <f>D154+D157+D160+D161-D164+D159-D163-D162</f>
        <v>2388443.928</v>
      </c>
      <c r="E166" s="52">
        <f>E154+E157+E160+E161-E164</f>
        <v>0</v>
      </c>
      <c r="F166" s="54">
        <f>F154+F157+F160+F161-F164-D159</f>
        <v>1602385.09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1"/>
      <c r="B167" s="1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40" t="s">
        <v>104</v>
      </c>
      <c r="B168" s="47"/>
      <c r="C168" s="47"/>
      <c r="D168" s="47"/>
      <c r="E168" s="47"/>
      <c r="F168" s="4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3" t="s">
        <v>105</v>
      </c>
      <c r="B169" s="55">
        <v>1000.0</v>
      </c>
      <c r="C169" s="55">
        <v>0.0</v>
      </c>
      <c r="D169" s="55">
        <v>0.0</v>
      </c>
      <c r="E169" s="55">
        <v>0.0</v>
      </c>
      <c r="F169" s="2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106</v>
      </c>
      <c r="B170" s="49">
        <v>0.0</v>
      </c>
      <c r="C170" s="49">
        <v>0.0</v>
      </c>
      <c r="D170" s="49">
        <v>0.0</v>
      </c>
      <c r="E170" s="49">
        <v>0.0</v>
      </c>
      <c r="F170" s="2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107</v>
      </c>
      <c r="B171" s="55">
        <v>0.0</v>
      </c>
      <c r="C171" s="55">
        <v>0.0</v>
      </c>
      <c r="D171" s="49">
        <v>900000.0</v>
      </c>
      <c r="E171" s="55">
        <v>0.0</v>
      </c>
      <c r="F171" s="2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108</v>
      </c>
      <c r="B172" s="55">
        <v>2800.0</v>
      </c>
      <c r="C172" s="55">
        <v>0.0</v>
      </c>
      <c r="D172" s="55">
        <v>0.0</v>
      </c>
      <c r="E172" s="55">
        <v>0.0</v>
      </c>
      <c r="F172" s="2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109</v>
      </c>
      <c r="B173" s="55">
        <v>0.0</v>
      </c>
      <c r="C173" s="55">
        <v>235800.0</v>
      </c>
      <c r="D173" s="55">
        <v>0.0</v>
      </c>
      <c r="E173" s="55">
        <v>0.0</v>
      </c>
      <c r="F173" s="2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3" t="s">
        <v>110</v>
      </c>
      <c r="B174" s="55">
        <v>0.0</v>
      </c>
      <c r="C174" s="55">
        <v>65000.0</v>
      </c>
      <c r="D174" s="55">
        <v>0.0</v>
      </c>
      <c r="E174" s="55">
        <v>0.0</v>
      </c>
      <c r="F174" s="26"/>
      <c r="G174" s="2"/>
      <c r="H174" s="56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3" t="s">
        <v>111</v>
      </c>
      <c r="B175" s="49">
        <v>0.0</v>
      </c>
      <c r="C175" s="49">
        <v>0.0</v>
      </c>
      <c r="D175" s="49">
        <v>0.0</v>
      </c>
      <c r="E175" s="49">
        <v>0.0</v>
      </c>
      <c r="F175" s="2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 t="s">
        <v>112</v>
      </c>
      <c r="B176" s="49">
        <v>0.0</v>
      </c>
      <c r="C176" s="49">
        <v>0.0</v>
      </c>
      <c r="D176" s="49">
        <v>0.0</v>
      </c>
      <c r="E176" s="49">
        <v>0.0</v>
      </c>
      <c r="F176" s="26"/>
      <c r="G176" s="2"/>
      <c r="H176" s="56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3" t="s">
        <v>113</v>
      </c>
      <c r="B177" s="49">
        <v>0.0</v>
      </c>
      <c r="C177" s="49">
        <v>0.0</v>
      </c>
      <c r="D177" s="49">
        <v>0.0</v>
      </c>
      <c r="E177" s="49">
        <v>0.0</v>
      </c>
      <c r="F177" s="26"/>
      <c r="G177" s="2"/>
      <c r="H177" s="56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114</v>
      </c>
      <c r="B178" s="55">
        <v>0.0</v>
      </c>
      <c r="C178" s="55">
        <v>0.0</v>
      </c>
      <c r="D178" s="55">
        <v>0.0</v>
      </c>
      <c r="E178" s="55">
        <v>0.0</v>
      </c>
      <c r="F178" s="26"/>
      <c r="G178" s="2"/>
      <c r="H178" s="56"/>
      <c r="I178" s="2"/>
      <c r="J178" s="2"/>
      <c r="K178" s="2"/>
      <c r="L178" s="2"/>
      <c r="M178" s="2"/>
      <c r="N178" s="2"/>
      <c r="O178" s="2"/>
      <c r="P178" s="2"/>
      <c r="Q178" s="3"/>
      <c r="R178" s="9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115</v>
      </c>
      <c r="B179" s="55">
        <v>0.0</v>
      </c>
      <c r="C179" s="55">
        <v>0.0</v>
      </c>
      <c r="D179" s="55">
        <v>0.0</v>
      </c>
      <c r="E179" s="55">
        <v>0.0</v>
      </c>
      <c r="F179" s="26"/>
      <c r="G179" s="2"/>
      <c r="H179" s="56"/>
      <c r="I179" s="2"/>
      <c r="J179" s="2"/>
      <c r="K179" s="2"/>
      <c r="L179" s="2"/>
      <c r="M179" s="2"/>
      <c r="N179" s="2"/>
      <c r="O179" s="2"/>
      <c r="P179" s="2"/>
      <c r="Q179" s="3"/>
      <c r="R179" s="9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116</v>
      </c>
      <c r="B180" s="50">
        <v>0.0</v>
      </c>
      <c r="C180" s="50">
        <v>0.0</v>
      </c>
      <c r="D180" s="49">
        <v>0.0</v>
      </c>
      <c r="E180" s="49">
        <v>0.0</v>
      </c>
      <c r="F180" s="2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117</v>
      </c>
      <c r="B181" s="50">
        <v>0.0</v>
      </c>
      <c r="C181" s="50">
        <v>0.0</v>
      </c>
      <c r="D181" s="49">
        <v>0.0</v>
      </c>
      <c r="E181" s="49">
        <v>0.0</v>
      </c>
      <c r="F181" s="26"/>
      <c r="G181" s="2"/>
      <c r="H181" s="56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118</v>
      </c>
      <c r="B182" s="50">
        <v>0.0</v>
      </c>
      <c r="C182" s="50">
        <v>0.0</v>
      </c>
      <c r="D182" s="49">
        <v>0.0</v>
      </c>
      <c r="E182" s="49">
        <v>0.0</v>
      </c>
      <c r="F182" s="2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3" t="s">
        <v>119</v>
      </c>
      <c r="B183" s="50">
        <v>0.0</v>
      </c>
      <c r="C183" s="50">
        <v>0.0</v>
      </c>
      <c r="D183" s="49">
        <v>0.0</v>
      </c>
      <c r="E183" s="49">
        <v>0.0</v>
      </c>
      <c r="F183" s="2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9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13" t="s">
        <v>120</v>
      </c>
      <c r="B184" s="50">
        <v>0.0</v>
      </c>
      <c r="C184" s="50">
        <v>0.0</v>
      </c>
      <c r="D184" s="49">
        <v>0.0</v>
      </c>
      <c r="E184" s="49">
        <v>0.0</v>
      </c>
      <c r="F184" s="2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9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3" t="s">
        <v>121</v>
      </c>
      <c r="B185" s="50">
        <v>0.0</v>
      </c>
      <c r="C185" s="50">
        <v>0.0</v>
      </c>
      <c r="D185" s="49">
        <v>0.0</v>
      </c>
      <c r="E185" s="49">
        <v>0.0</v>
      </c>
      <c r="F185" s="2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13" t="s">
        <v>122</v>
      </c>
      <c r="B186" s="49">
        <v>0.0</v>
      </c>
      <c r="C186" s="49">
        <v>0.0</v>
      </c>
      <c r="D186" s="49">
        <v>0.0</v>
      </c>
      <c r="E186" s="49">
        <v>0.0</v>
      </c>
      <c r="F186" s="2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123</v>
      </c>
      <c r="B187" s="49">
        <v>0.0</v>
      </c>
      <c r="C187" s="49">
        <v>0.0</v>
      </c>
      <c r="D187" s="49">
        <v>0.0</v>
      </c>
      <c r="E187" s="49">
        <v>0.0</v>
      </c>
      <c r="F187" s="2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286</v>
      </c>
      <c r="B188" s="49">
        <v>0.0</v>
      </c>
      <c r="C188" s="49">
        <v>0.0</v>
      </c>
      <c r="D188" s="49">
        <v>114359.0</v>
      </c>
      <c r="E188" s="49">
        <v>0.0</v>
      </c>
      <c r="F188" s="2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124</v>
      </c>
      <c r="B189" s="49">
        <v>0.0</v>
      </c>
      <c r="C189" s="49">
        <v>0.0</v>
      </c>
      <c r="D189" s="49">
        <v>0.0</v>
      </c>
      <c r="E189" s="49">
        <v>0.0</v>
      </c>
      <c r="F189" s="2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13" t="s">
        <v>125</v>
      </c>
      <c r="B190" s="50">
        <v>0.0</v>
      </c>
      <c r="C190" s="50">
        <v>0.0</v>
      </c>
      <c r="D190" s="49">
        <v>0.0</v>
      </c>
      <c r="E190" s="49">
        <v>0.0</v>
      </c>
      <c r="F190" s="2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126</v>
      </c>
      <c r="B191" s="49">
        <v>0.0</v>
      </c>
      <c r="C191" s="49">
        <v>0.0</v>
      </c>
      <c r="D191" s="49">
        <v>0.0</v>
      </c>
      <c r="E191" s="49">
        <v>0.0</v>
      </c>
      <c r="F191" s="2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127</v>
      </c>
      <c r="B192" s="49">
        <v>0.0</v>
      </c>
      <c r="C192" s="49">
        <v>0.0</v>
      </c>
      <c r="D192" s="49">
        <v>0.0</v>
      </c>
      <c r="E192" s="49">
        <v>0.0</v>
      </c>
      <c r="F192" s="2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13" t="s">
        <v>128</v>
      </c>
      <c r="B193" s="49">
        <v>0.0</v>
      </c>
      <c r="C193" s="49">
        <v>0.0</v>
      </c>
      <c r="D193" s="49">
        <v>0.0</v>
      </c>
      <c r="E193" s="49">
        <v>0.0</v>
      </c>
      <c r="F193" s="2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13" t="s">
        <v>129</v>
      </c>
      <c r="B194" s="49">
        <v>0.0</v>
      </c>
      <c r="C194" s="49">
        <v>0.0</v>
      </c>
      <c r="D194" s="49">
        <v>0.0</v>
      </c>
      <c r="E194" s="49">
        <v>0.0</v>
      </c>
      <c r="F194" s="2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57"/>
      <c r="B195" s="49"/>
      <c r="C195" s="49"/>
      <c r="D195" s="49"/>
      <c r="E195" s="49"/>
      <c r="F195" s="2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13" t="s">
        <v>130</v>
      </c>
      <c r="B196" s="50">
        <v>0.0</v>
      </c>
      <c r="C196" s="50">
        <f>SUM(C169:C193)*0.6%</f>
        <v>1804.8</v>
      </c>
      <c r="D196" s="50">
        <f>SUM(D169:D194)*0.6%</f>
        <v>6086.154</v>
      </c>
      <c r="E196" s="50">
        <f>(E173*0.6%)+(E174*0.6%)+(E175*0.6%)+(E178*0.6%)+(E179*0.6%)</f>
        <v>0</v>
      </c>
      <c r="F196" s="2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13" t="s">
        <v>131</v>
      </c>
      <c r="B197" s="50">
        <v>0.0</v>
      </c>
      <c r="C197" s="50">
        <v>0.0</v>
      </c>
      <c r="D197" s="50">
        <v>0.0</v>
      </c>
      <c r="E197" s="50">
        <f>SUM(E170:E195)*0.6%+(E198*0.6%)</f>
        <v>0</v>
      </c>
      <c r="F197" s="5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57"/>
      <c r="B198" s="57"/>
      <c r="C198" s="26"/>
      <c r="D198" s="2"/>
      <c r="E198" s="26"/>
      <c r="F198" s="2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59" t="s">
        <v>132</v>
      </c>
      <c r="B199" s="60">
        <f>SUM(B169:B198)</f>
        <v>3800</v>
      </c>
      <c r="C199" s="60">
        <f>SUM(C169:C196)</f>
        <v>302604.8</v>
      </c>
      <c r="D199" s="60">
        <f>SUM(D169:D197)</f>
        <v>1020445.154</v>
      </c>
      <c r="E199" s="60">
        <f>E180+E184+E196-E197</f>
        <v>0</v>
      </c>
      <c r="F199" s="61" t="str">
        <f>F173</f>
        <v/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57"/>
      <c r="B200" s="57"/>
      <c r="C200" s="26"/>
      <c r="D200" s="26"/>
      <c r="E200" s="26"/>
      <c r="F200" s="2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59" t="s">
        <v>133</v>
      </c>
      <c r="B201" s="62">
        <f>B166-B199</f>
        <v>209737.25</v>
      </c>
      <c r="C201" s="63">
        <f>C166-C199+C197</f>
        <v>1036883.398</v>
      </c>
      <c r="D201" s="63">
        <f>D166-D199-29.2</f>
        <v>1367969.574</v>
      </c>
      <c r="E201" s="64">
        <f t="shared" ref="E201:F201" si="22">E166-E199</f>
        <v>0</v>
      </c>
      <c r="F201" s="64">
        <f t="shared" si="22"/>
        <v>1602385.09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65" t="s">
        <v>134</v>
      </c>
      <c r="B203" s="66">
        <f>75177.25-B169-B172</f>
        <v>71377.25</v>
      </c>
      <c r="C203" s="46"/>
      <c r="D203" s="46"/>
      <c r="E203" s="46"/>
      <c r="F203" s="4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65" t="s">
        <v>135</v>
      </c>
      <c r="B204" s="66">
        <v>138360.0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46" t="s">
        <v>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46">
        <f>SUM(B203:B204)</f>
        <v>209737.25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9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9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9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9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9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9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1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9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9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9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9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9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9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9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9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3"/>
      <c r="T280" s="3"/>
      <c r="U280" s="9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9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9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9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9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9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9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9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9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3"/>
      <c r="T322" s="3"/>
      <c r="U322" s="9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9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9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9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46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46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46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46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46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46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46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46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46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46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46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46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46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46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46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46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9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46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46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46"/>
      <c r="R367" s="46"/>
      <c r="S367" s="3"/>
      <c r="T367" s="3"/>
      <c r="U367" s="9"/>
      <c r="V367" s="3"/>
      <c r="W367" s="3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9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9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46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46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46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46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46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46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46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9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9"/>
      <c r="T413" s="3"/>
      <c r="U413" s="2"/>
      <c r="V413" s="3"/>
      <c r="W413" s="3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9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9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9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9"/>
      <c r="T430" s="3"/>
      <c r="U430" s="2"/>
      <c r="V430" s="3"/>
      <c r="W430" s="3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9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9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9"/>
      <c r="T441" s="3"/>
      <c r="U441" s="2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9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9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3"/>
      <c r="T457" s="3"/>
      <c r="U457" s="9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9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9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3"/>
      <c r="T471" s="9"/>
      <c r="U471" s="2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9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9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9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9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3"/>
      <c r="T483" s="9"/>
      <c r="U483" s="2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9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2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9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2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67"/>
      <c r="R498" s="2"/>
      <c r="S498" s="2"/>
      <c r="T498" s="3"/>
      <c r="U498" s="2"/>
      <c r="V498" s="2"/>
      <c r="W498" s="2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3"/>
      <c r="T499" s="3"/>
      <c r="U499" s="3"/>
      <c r="V499" s="2"/>
      <c r="W499" s="2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8"/>
      <c r="R501" s="38"/>
      <c r="S501" s="38"/>
      <c r="T501" s="38"/>
      <c r="U501" s="38"/>
      <c r="V501" s="38"/>
      <c r="W501" s="38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3"/>
      <c r="T502" s="3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"/>
      <c r="R503" s="2"/>
      <c r="S503" s="3"/>
      <c r="T503" s="3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68"/>
      <c r="R505" s="69"/>
      <c r="S505" s="70"/>
      <c r="T505" s="70"/>
      <c r="U505" s="70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1"/>
      <c r="R506" s="71"/>
      <c r="S506" s="71"/>
      <c r="T506" s="71"/>
      <c r="U506" s="71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46"/>
      <c r="R507" s="46"/>
      <c r="S507" s="46"/>
      <c r="T507" s="46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46"/>
      <c r="R509" s="46"/>
      <c r="S509" s="46"/>
      <c r="T509" s="46"/>
      <c r="U509" s="46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6"/>
      <c r="R510" s="46"/>
      <c r="S510" s="46"/>
      <c r="T510" s="46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46"/>
      <c r="R511" s="46"/>
      <c r="S511" s="46"/>
      <c r="T511" s="46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46"/>
      <c r="R512" s="46"/>
      <c r="S512" s="46"/>
      <c r="T512" s="46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46"/>
      <c r="R513" s="46"/>
      <c r="S513" s="46"/>
      <c r="T513" s="46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2"/>
      <c r="R514" s="72"/>
      <c r="S514" s="72"/>
      <c r="T514" s="72"/>
      <c r="U514" s="73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"/>
      <c r="R515" s="2"/>
      <c r="S515" s="3"/>
      <c r="T515" s="3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6"/>
      <c r="R517" s="56"/>
      <c r="S517" s="56"/>
      <c r="T517" s="56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6"/>
      <c r="R518" s="56"/>
      <c r="S518" s="56"/>
      <c r="T518" s="56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6"/>
      <c r="R519" s="56"/>
      <c r="S519" s="56"/>
      <c r="T519" s="56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6"/>
      <c r="R520" s="56"/>
      <c r="S520" s="56"/>
      <c r="T520" s="56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6"/>
      <c r="R521" s="56"/>
      <c r="S521" s="56"/>
      <c r="T521" s="56"/>
      <c r="U521" s="2"/>
      <c r="V521" s="2"/>
      <c r="W521" s="56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6"/>
      <c r="R522" s="56"/>
      <c r="S522" s="56"/>
      <c r="T522" s="56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56"/>
      <c r="R523" s="56"/>
      <c r="S523" s="56"/>
      <c r="T523" s="56"/>
      <c r="U523" s="2"/>
      <c r="V523" s="2"/>
      <c r="W523" s="56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6"/>
      <c r="R524" s="56"/>
      <c r="S524" s="56"/>
      <c r="T524" s="56"/>
      <c r="U524" s="2"/>
      <c r="V524" s="2"/>
      <c r="W524" s="56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46"/>
      <c r="R525" s="46"/>
      <c r="S525" s="46"/>
      <c r="T525" s="46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6"/>
      <c r="R526" s="46"/>
      <c r="S526" s="46"/>
      <c r="T526" s="46"/>
      <c r="U526" s="2"/>
      <c r="V526" s="2"/>
      <c r="W526" s="56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6"/>
      <c r="R527" s="46"/>
      <c r="S527" s="46"/>
      <c r="T527" s="46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6"/>
      <c r="R528" s="46"/>
      <c r="S528" s="46"/>
      <c r="T528" s="46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46"/>
      <c r="R529" s="46"/>
      <c r="S529" s="46"/>
      <c r="T529" s="46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46"/>
      <c r="R530" s="46"/>
      <c r="S530" s="46"/>
      <c r="T530" s="46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46"/>
      <c r="R531" s="46"/>
      <c r="S531" s="46"/>
      <c r="T531" s="46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46"/>
      <c r="R532" s="46"/>
      <c r="S532" s="46"/>
      <c r="T532" s="46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46"/>
      <c r="R533" s="46"/>
      <c r="S533" s="46"/>
      <c r="T533" s="46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"/>
      <c r="R534" s="46"/>
      <c r="S534" s="46"/>
      <c r="T534" s="46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2"/>
      <c r="R536" s="72"/>
      <c r="S536" s="72"/>
      <c r="T536" s="72"/>
      <c r="U536" s="73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1"/>
      <c r="R538" s="72"/>
      <c r="S538" s="72"/>
      <c r="T538" s="74"/>
      <c r="U538" s="74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46"/>
      <c r="R540" s="46"/>
      <c r="S540" s="46"/>
      <c r="T540" s="46"/>
      <c r="U540" s="46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46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</sheetData>
  <mergeCells count="8">
    <mergeCell ref="I3:K3"/>
    <mergeCell ref="A148:B148"/>
    <mergeCell ref="U152:W152"/>
    <mergeCell ref="A153:A154"/>
    <mergeCell ref="A156:F156"/>
    <mergeCell ref="A168:F168"/>
    <mergeCell ref="U209:W209"/>
    <mergeCell ref="U244:W244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63"/>
    <col customWidth="1" min="3" max="3" width="9.88"/>
    <col customWidth="1" min="4" max="4" width="17.75"/>
    <col customWidth="1" min="7" max="7" width="6.38"/>
    <col customWidth="1" min="8" max="8" width="8.25"/>
    <col customWidth="1" min="9" max="9" width="9.13"/>
    <col customWidth="1" min="10" max="10" width="17.75"/>
    <col customWidth="1" min="11" max="11" width="13.25"/>
    <col customWidth="1" min="13" max="13" width="13.75"/>
    <col customWidth="1" min="16" max="16" width="9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85" t="s">
        <v>317</v>
      </c>
      <c r="C2" s="86"/>
      <c r="D2" s="86"/>
      <c r="E2" s="86"/>
      <c r="F2" s="87"/>
      <c r="G2" s="3"/>
      <c r="H2" s="85" t="s">
        <v>318</v>
      </c>
      <c r="I2" s="86"/>
      <c r="J2" s="86"/>
      <c r="K2" s="86"/>
      <c r="L2" s="86"/>
      <c r="M2" s="87"/>
      <c r="N2" s="2"/>
      <c r="O2" s="2"/>
      <c r="P2" s="2"/>
      <c r="Q2" s="2"/>
    </row>
    <row r="3">
      <c r="A3" s="2"/>
      <c r="B3" s="1"/>
      <c r="C3" s="3"/>
      <c r="D3" s="9"/>
      <c r="E3" s="3"/>
      <c r="F3" s="3"/>
      <c r="G3" s="3"/>
      <c r="H3" s="3"/>
      <c r="I3" s="3"/>
      <c r="J3" s="2"/>
      <c r="K3" s="9"/>
      <c r="L3" s="9"/>
      <c r="M3" s="9"/>
      <c r="N3" s="2"/>
      <c r="O3" s="88"/>
      <c r="P3" s="2"/>
      <c r="Q3" s="2"/>
    </row>
    <row r="4">
      <c r="A4" s="2"/>
      <c r="B4" s="89">
        <v>46027.0</v>
      </c>
      <c r="C4" s="90"/>
      <c r="D4" s="90"/>
      <c r="E4" s="90"/>
      <c r="F4" s="91"/>
      <c r="G4" s="3"/>
      <c r="H4" s="89">
        <v>46027.0</v>
      </c>
      <c r="I4" s="90"/>
      <c r="J4" s="90"/>
      <c r="K4" s="90"/>
      <c r="L4" s="90"/>
      <c r="M4" s="91"/>
      <c r="N4" s="4"/>
      <c r="O4" s="92" t="s">
        <v>319</v>
      </c>
      <c r="P4" s="93"/>
      <c r="Q4" s="94"/>
    </row>
    <row r="5">
      <c r="A5" s="2"/>
      <c r="B5" s="95" t="s">
        <v>4</v>
      </c>
      <c r="C5" s="96" t="s">
        <v>5</v>
      </c>
      <c r="D5" s="97" t="s">
        <v>6</v>
      </c>
      <c r="E5" s="96" t="s">
        <v>7</v>
      </c>
      <c r="F5" s="96" t="s">
        <v>8</v>
      </c>
      <c r="G5" s="3"/>
      <c r="H5" s="98" t="s">
        <v>4</v>
      </c>
      <c r="I5" s="96" t="s">
        <v>5</v>
      </c>
      <c r="J5" s="97" t="s">
        <v>6</v>
      </c>
      <c r="K5" s="96" t="s">
        <v>7</v>
      </c>
      <c r="L5" s="99" t="s">
        <v>8</v>
      </c>
      <c r="M5" s="100" t="s">
        <v>9</v>
      </c>
      <c r="N5" s="4"/>
      <c r="O5" s="101" t="s">
        <v>320</v>
      </c>
      <c r="P5" s="102"/>
      <c r="Q5" s="101">
        <v>842024.0</v>
      </c>
    </row>
    <row r="6">
      <c r="A6" s="2"/>
      <c r="B6" s="103">
        <v>2.0</v>
      </c>
      <c r="C6" s="12" t="s">
        <v>32</v>
      </c>
      <c r="D6" s="14" t="s">
        <v>35</v>
      </c>
      <c r="E6" s="15">
        <v>32000.0</v>
      </c>
      <c r="F6" s="104">
        <f t="shared" ref="F6:F13" si="1">B6*E6</f>
        <v>64000</v>
      </c>
      <c r="G6" s="3"/>
      <c r="H6" s="13">
        <v>2.0</v>
      </c>
      <c r="I6" s="12" t="s">
        <v>32</v>
      </c>
      <c r="J6" s="14" t="s">
        <v>35</v>
      </c>
      <c r="K6" s="15">
        <v>32000.0</v>
      </c>
      <c r="L6" s="15">
        <f t="shared" ref="L6:L14" si="2">H6*K6</f>
        <v>64000</v>
      </c>
      <c r="M6" s="15">
        <f t="shared" ref="M6:M7" si="3">L6*1.105</f>
        <v>70720</v>
      </c>
      <c r="N6" s="3"/>
      <c r="O6" s="102"/>
      <c r="P6" s="102"/>
      <c r="Q6" s="102"/>
    </row>
    <row r="7">
      <c r="A7" s="2"/>
      <c r="B7" s="103">
        <v>1.0</v>
      </c>
      <c r="C7" s="12" t="s">
        <v>13</v>
      </c>
      <c r="D7" s="14" t="s">
        <v>19</v>
      </c>
      <c r="E7" s="15">
        <v>46000.0</v>
      </c>
      <c r="F7" s="104">
        <f t="shared" si="1"/>
        <v>46000</v>
      </c>
      <c r="G7" s="3"/>
      <c r="H7" s="13">
        <v>1.0</v>
      </c>
      <c r="I7" s="12" t="s">
        <v>13</v>
      </c>
      <c r="J7" s="14" t="s">
        <v>19</v>
      </c>
      <c r="K7" s="15">
        <v>46000.0</v>
      </c>
      <c r="L7" s="15">
        <f t="shared" si="2"/>
        <v>46000</v>
      </c>
      <c r="M7" s="15">
        <f t="shared" si="3"/>
        <v>50830</v>
      </c>
      <c r="N7" s="3"/>
      <c r="O7" s="101" t="s">
        <v>321</v>
      </c>
      <c r="P7" s="105" t="s">
        <v>322</v>
      </c>
      <c r="Q7" s="101">
        <v>300000.0</v>
      </c>
    </row>
    <row r="8">
      <c r="A8" s="2"/>
      <c r="B8" s="103">
        <v>0.5</v>
      </c>
      <c r="C8" s="12" t="s">
        <v>32</v>
      </c>
      <c r="D8" s="14" t="s">
        <v>12</v>
      </c>
      <c r="E8" s="15">
        <v>52000.0</v>
      </c>
      <c r="F8" s="104">
        <f t="shared" si="1"/>
        <v>26000</v>
      </c>
      <c r="G8" s="3"/>
      <c r="H8" s="13">
        <v>0.5</v>
      </c>
      <c r="I8" s="12" t="s">
        <v>32</v>
      </c>
      <c r="J8" s="14" t="s">
        <v>12</v>
      </c>
      <c r="K8" s="15">
        <v>52000.0</v>
      </c>
      <c r="L8" s="15">
        <f t="shared" si="2"/>
        <v>26000</v>
      </c>
      <c r="M8" s="15">
        <f>L8*1.21</f>
        <v>31460</v>
      </c>
      <c r="N8" s="3"/>
      <c r="O8" s="101" t="s">
        <v>321</v>
      </c>
      <c r="P8" s="105" t="s">
        <v>323</v>
      </c>
      <c r="Q8" s="101">
        <v>542024.0</v>
      </c>
    </row>
    <row r="9">
      <c r="A9" s="2"/>
      <c r="B9" s="103">
        <v>1.0</v>
      </c>
      <c r="C9" s="12" t="s">
        <v>32</v>
      </c>
      <c r="D9" s="14" t="s">
        <v>36</v>
      </c>
      <c r="E9" s="15">
        <v>35000.0</v>
      </c>
      <c r="F9" s="104">
        <f t="shared" si="1"/>
        <v>35000</v>
      </c>
      <c r="G9" s="3"/>
      <c r="H9" s="13">
        <v>1.0</v>
      </c>
      <c r="I9" s="12" t="s">
        <v>32</v>
      </c>
      <c r="J9" s="14" t="s">
        <v>36</v>
      </c>
      <c r="K9" s="15">
        <v>35000.0</v>
      </c>
      <c r="L9" s="15">
        <f t="shared" si="2"/>
        <v>35000</v>
      </c>
      <c r="M9" s="15">
        <f t="shared" ref="M9:M14" si="4">L9*1.105</f>
        <v>38675</v>
      </c>
      <c r="N9" s="3"/>
      <c r="O9" s="2"/>
      <c r="P9" s="2"/>
      <c r="Q9" s="2"/>
    </row>
    <row r="10">
      <c r="A10" s="2"/>
      <c r="B10" s="103">
        <v>1.0</v>
      </c>
      <c r="C10" s="12" t="s">
        <v>32</v>
      </c>
      <c r="D10" s="14" t="s">
        <v>31</v>
      </c>
      <c r="E10" s="15">
        <v>16000.0</v>
      </c>
      <c r="F10" s="104">
        <f t="shared" si="1"/>
        <v>16000</v>
      </c>
      <c r="G10" s="3"/>
      <c r="H10" s="13">
        <v>1.0</v>
      </c>
      <c r="I10" s="12" t="s">
        <v>32</v>
      </c>
      <c r="J10" s="14" t="s">
        <v>31</v>
      </c>
      <c r="K10" s="15">
        <v>16000.0</v>
      </c>
      <c r="L10" s="15">
        <f t="shared" si="2"/>
        <v>16000</v>
      </c>
      <c r="M10" s="15">
        <f t="shared" si="4"/>
        <v>17680</v>
      </c>
      <c r="N10" s="3"/>
      <c r="O10" s="2"/>
      <c r="P10" s="2"/>
      <c r="Q10" s="2"/>
    </row>
    <row r="11">
      <c r="A11" s="2"/>
      <c r="B11" s="103">
        <v>1.0</v>
      </c>
      <c r="C11" s="12" t="s">
        <v>32</v>
      </c>
      <c r="D11" s="14" t="s">
        <v>43</v>
      </c>
      <c r="E11" s="15">
        <v>19000.0</v>
      </c>
      <c r="F11" s="104">
        <f t="shared" si="1"/>
        <v>19000</v>
      </c>
      <c r="G11" s="2"/>
      <c r="H11" s="13">
        <v>1.0</v>
      </c>
      <c r="I11" s="12" t="s">
        <v>32</v>
      </c>
      <c r="J11" s="14" t="s">
        <v>43</v>
      </c>
      <c r="K11" s="15">
        <v>19000.0</v>
      </c>
      <c r="L11" s="15">
        <f t="shared" si="2"/>
        <v>19000</v>
      </c>
      <c r="M11" s="15">
        <f t="shared" si="4"/>
        <v>20995</v>
      </c>
      <c r="N11" s="3"/>
      <c r="O11" s="106" t="s">
        <v>324</v>
      </c>
      <c r="P11" s="93"/>
      <c r="Q11" s="94"/>
    </row>
    <row r="12">
      <c r="A12" s="2"/>
      <c r="B12" s="103">
        <v>1.0</v>
      </c>
      <c r="C12" s="12" t="s">
        <v>32</v>
      </c>
      <c r="D12" s="14" t="s">
        <v>44</v>
      </c>
      <c r="E12" s="15">
        <v>20000.0</v>
      </c>
      <c r="F12" s="104">
        <f t="shared" si="1"/>
        <v>20000</v>
      </c>
      <c r="G12" s="2"/>
      <c r="H12" s="13">
        <v>1.0</v>
      </c>
      <c r="I12" s="12" t="s">
        <v>32</v>
      </c>
      <c r="J12" s="14" t="s">
        <v>44</v>
      </c>
      <c r="K12" s="15">
        <v>20000.0</v>
      </c>
      <c r="L12" s="15">
        <f t="shared" si="2"/>
        <v>20000</v>
      </c>
      <c r="M12" s="15">
        <f t="shared" si="4"/>
        <v>22100</v>
      </c>
      <c r="N12" s="3"/>
      <c r="O12" s="101" t="s">
        <v>320</v>
      </c>
      <c r="P12" s="105" t="s">
        <v>325</v>
      </c>
      <c r="Q12" s="101">
        <v>802512.0</v>
      </c>
    </row>
    <row r="13">
      <c r="A13" s="2"/>
      <c r="B13" s="103">
        <v>1.0</v>
      </c>
      <c r="C13" s="12" t="s">
        <v>32</v>
      </c>
      <c r="D13" s="14" t="s">
        <v>45</v>
      </c>
      <c r="E13" s="15">
        <v>48000.0</v>
      </c>
      <c r="F13" s="104">
        <f t="shared" si="1"/>
        <v>48000</v>
      </c>
      <c r="G13" s="2"/>
      <c r="H13" s="13">
        <v>1.0</v>
      </c>
      <c r="I13" s="12" t="s">
        <v>32</v>
      </c>
      <c r="J13" s="14" t="s">
        <v>45</v>
      </c>
      <c r="K13" s="15">
        <v>48000.0</v>
      </c>
      <c r="L13" s="15">
        <f t="shared" si="2"/>
        <v>48000</v>
      </c>
      <c r="M13" s="15">
        <f t="shared" si="4"/>
        <v>53040</v>
      </c>
      <c r="N13" s="2"/>
      <c r="O13" s="2"/>
      <c r="P13" s="2"/>
      <c r="Q13" s="2"/>
    </row>
    <row r="14">
      <c r="A14" s="2"/>
      <c r="B14" s="107">
        <v>46028.0</v>
      </c>
      <c r="C14" s="90"/>
      <c r="D14" s="90"/>
      <c r="E14" s="90"/>
      <c r="F14" s="108"/>
      <c r="G14" s="2"/>
      <c r="H14" s="13">
        <v>1.0</v>
      </c>
      <c r="I14" s="12" t="s">
        <v>32</v>
      </c>
      <c r="J14" s="14" t="s">
        <v>14</v>
      </c>
      <c r="K14" s="15">
        <v>77000.0</v>
      </c>
      <c r="L14" s="15">
        <f t="shared" si="2"/>
        <v>77000</v>
      </c>
      <c r="M14" s="15">
        <f t="shared" si="4"/>
        <v>85085</v>
      </c>
      <c r="N14" s="2"/>
      <c r="O14" s="109" t="s">
        <v>326</v>
      </c>
      <c r="P14" s="93"/>
      <c r="Q14" s="94"/>
    </row>
    <row r="15">
      <c r="A15" s="2"/>
      <c r="B15" s="103">
        <v>1.0</v>
      </c>
      <c r="C15" s="12" t="s">
        <v>13</v>
      </c>
      <c r="D15" s="14" t="s">
        <v>14</v>
      </c>
      <c r="E15" s="15">
        <v>77000.0</v>
      </c>
      <c r="F15" s="104">
        <f t="shared" ref="F15:F16" si="5">B15*E15</f>
        <v>77000</v>
      </c>
      <c r="G15" s="3"/>
      <c r="H15" s="89">
        <v>46028.0</v>
      </c>
      <c r="I15" s="90"/>
      <c r="J15" s="90"/>
      <c r="K15" s="90"/>
      <c r="L15" s="90"/>
      <c r="M15" s="91"/>
      <c r="N15" s="2"/>
      <c r="O15" s="101" t="s">
        <v>320</v>
      </c>
      <c r="P15" s="102"/>
      <c r="Q15" s="101">
        <v>722291.0</v>
      </c>
    </row>
    <row r="16">
      <c r="A16" s="2"/>
      <c r="B16" s="103">
        <v>1.0</v>
      </c>
      <c r="C16" s="12" t="s">
        <v>13</v>
      </c>
      <c r="D16" s="14" t="s">
        <v>19</v>
      </c>
      <c r="E16" s="15">
        <v>46000.0</v>
      </c>
      <c r="F16" s="104">
        <f t="shared" si="5"/>
        <v>46000</v>
      </c>
      <c r="G16" s="3"/>
      <c r="H16" s="13">
        <v>1.0</v>
      </c>
      <c r="I16" s="12" t="s">
        <v>13</v>
      </c>
      <c r="J16" s="14" t="s">
        <v>14</v>
      </c>
      <c r="K16" s="15">
        <v>77000.0</v>
      </c>
      <c r="L16" s="15">
        <f t="shared" ref="L16:L18" si="6">H16*K16</f>
        <v>77000</v>
      </c>
      <c r="M16" s="15">
        <f t="shared" ref="M16:M18" si="7">L16*1.105</f>
        <v>85085</v>
      </c>
      <c r="N16" s="2"/>
      <c r="O16" s="3"/>
      <c r="P16" s="3"/>
      <c r="Q16" s="3"/>
    </row>
    <row r="17">
      <c r="A17" s="2"/>
      <c r="B17" s="107">
        <v>46029.0</v>
      </c>
      <c r="C17" s="90"/>
      <c r="D17" s="90"/>
      <c r="E17" s="90"/>
      <c r="F17" s="108"/>
      <c r="G17" s="3"/>
      <c r="H17" s="13">
        <v>1.0</v>
      </c>
      <c r="I17" s="12" t="s">
        <v>13</v>
      </c>
      <c r="J17" s="14" t="s">
        <v>19</v>
      </c>
      <c r="K17" s="15">
        <v>46000.0</v>
      </c>
      <c r="L17" s="15">
        <f t="shared" si="6"/>
        <v>46000</v>
      </c>
      <c r="M17" s="15">
        <f t="shared" si="7"/>
        <v>50830</v>
      </c>
      <c r="N17" s="2"/>
      <c r="O17" s="109" t="s">
        <v>327</v>
      </c>
      <c r="P17" s="93"/>
      <c r="Q17" s="94"/>
    </row>
    <row r="18">
      <c r="A18" s="2"/>
      <c r="B18" s="103">
        <v>1.0</v>
      </c>
      <c r="C18" s="12" t="s">
        <v>32</v>
      </c>
      <c r="D18" s="14" t="s">
        <v>20</v>
      </c>
      <c r="E18" s="15">
        <v>23000.0</v>
      </c>
      <c r="F18" s="104">
        <f t="shared" ref="F18:F24" si="8">B18*E18</f>
        <v>23000</v>
      </c>
      <c r="G18" s="2"/>
      <c r="H18" s="13">
        <v>1.0</v>
      </c>
      <c r="I18" s="12" t="s">
        <v>32</v>
      </c>
      <c r="J18" s="14" t="s">
        <v>35</v>
      </c>
      <c r="K18" s="15">
        <v>32000.0</v>
      </c>
      <c r="L18" s="15">
        <f t="shared" si="6"/>
        <v>32000</v>
      </c>
      <c r="M18" s="15">
        <f t="shared" si="7"/>
        <v>35360</v>
      </c>
      <c r="N18" s="2"/>
      <c r="O18" s="101" t="s">
        <v>320</v>
      </c>
      <c r="P18" s="102"/>
      <c r="Q18" s="101">
        <v>543290.0</v>
      </c>
    </row>
    <row r="19">
      <c r="A19" s="2"/>
      <c r="B19" s="103">
        <v>1.0</v>
      </c>
      <c r="C19" s="12" t="s">
        <v>13</v>
      </c>
      <c r="D19" s="14" t="s">
        <v>19</v>
      </c>
      <c r="E19" s="15">
        <v>46000.0</v>
      </c>
      <c r="F19" s="104">
        <f t="shared" si="8"/>
        <v>46000</v>
      </c>
      <c r="G19" s="2"/>
      <c r="H19" s="89">
        <v>46029.0</v>
      </c>
      <c r="I19" s="90"/>
      <c r="J19" s="90"/>
      <c r="K19" s="90"/>
      <c r="L19" s="90"/>
      <c r="M19" s="91"/>
      <c r="N19" s="2"/>
      <c r="O19" s="3"/>
      <c r="P19" s="3"/>
      <c r="Q19" s="3"/>
    </row>
    <row r="20">
      <c r="A20" s="2"/>
      <c r="B20" s="103">
        <v>1.0</v>
      </c>
      <c r="C20" s="12" t="s">
        <v>13</v>
      </c>
      <c r="D20" s="14" t="s">
        <v>14</v>
      </c>
      <c r="E20" s="15">
        <v>77000.0</v>
      </c>
      <c r="F20" s="104">
        <f t="shared" si="8"/>
        <v>77000</v>
      </c>
      <c r="G20" s="2"/>
      <c r="H20" s="13">
        <v>1.0</v>
      </c>
      <c r="I20" s="12" t="s">
        <v>32</v>
      </c>
      <c r="J20" s="14" t="s">
        <v>20</v>
      </c>
      <c r="K20" s="15">
        <v>23000.0</v>
      </c>
      <c r="L20" s="15">
        <f t="shared" ref="L20:L27" si="9">H20*K20</f>
        <v>23000</v>
      </c>
      <c r="M20" s="15">
        <f t="shared" ref="M20:M25" si="10">L20*1.105</f>
        <v>25415</v>
      </c>
      <c r="N20" s="3"/>
      <c r="O20" s="1"/>
      <c r="P20" s="3"/>
      <c r="Q20" s="3"/>
      <c r="R20" s="15"/>
    </row>
    <row r="21">
      <c r="A21" s="2"/>
      <c r="B21" s="103">
        <v>1.0</v>
      </c>
      <c r="C21" s="12" t="s">
        <v>32</v>
      </c>
      <c r="D21" s="14" t="s">
        <v>153</v>
      </c>
      <c r="E21" s="15">
        <v>45000.0</v>
      </c>
      <c r="F21" s="104">
        <f t="shared" si="8"/>
        <v>45000</v>
      </c>
      <c r="G21" s="3"/>
      <c r="H21" s="13">
        <v>1.0</v>
      </c>
      <c r="I21" s="12" t="s">
        <v>13</v>
      </c>
      <c r="J21" s="14" t="s">
        <v>19</v>
      </c>
      <c r="K21" s="15">
        <v>46000.0</v>
      </c>
      <c r="L21" s="15">
        <f t="shared" si="9"/>
        <v>46000</v>
      </c>
      <c r="M21" s="15">
        <f t="shared" si="10"/>
        <v>50830</v>
      </c>
      <c r="N21" s="3"/>
      <c r="O21" s="1"/>
      <c r="P21" s="3"/>
      <c r="Q21" s="3"/>
      <c r="R21" s="15"/>
    </row>
    <row r="22">
      <c r="A22" s="2"/>
      <c r="B22" s="103">
        <v>1.0</v>
      </c>
      <c r="C22" s="12" t="s">
        <v>32</v>
      </c>
      <c r="D22" s="14" t="s">
        <v>36</v>
      </c>
      <c r="E22" s="15">
        <v>35000.0</v>
      </c>
      <c r="F22" s="104">
        <f t="shared" si="8"/>
        <v>35000</v>
      </c>
      <c r="G22" s="3"/>
      <c r="H22" s="13">
        <v>1.0</v>
      </c>
      <c r="I22" s="12" t="s">
        <v>13</v>
      </c>
      <c r="J22" s="14" t="s">
        <v>14</v>
      </c>
      <c r="K22" s="15">
        <v>77000.0</v>
      </c>
      <c r="L22" s="15">
        <f t="shared" si="9"/>
        <v>77000</v>
      </c>
      <c r="M22" s="15">
        <f t="shared" si="10"/>
        <v>85085</v>
      </c>
      <c r="N22" s="3"/>
      <c r="O22" s="1"/>
      <c r="P22" s="1"/>
      <c r="Q22" s="3"/>
      <c r="R22" s="15"/>
    </row>
    <row r="23">
      <c r="A23" s="2"/>
      <c r="B23" s="103">
        <v>1.0</v>
      </c>
      <c r="C23" s="12" t="s">
        <v>13</v>
      </c>
      <c r="D23" s="14" t="s">
        <v>155</v>
      </c>
      <c r="E23" s="15">
        <v>30000.0</v>
      </c>
      <c r="F23" s="104">
        <f t="shared" si="8"/>
        <v>30000</v>
      </c>
      <c r="G23" s="3"/>
      <c r="H23" s="13">
        <v>1.0</v>
      </c>
      <c r="I23" s="12" t="s">
        <v>32</v>
      </c>
      <c r="J23" s="14" t="s">
        <v>153</v>
      </c>
      <c r="K23" s="15">
        <v>45000.0</v>
      </c>
      <c r="L23" s="15">
        <f t="shared" si="9"/>
        <v>45000</v>
      </c>
      <c r="M23" s="15">
        <f t="shared" si="10"/>
        <v>49725</v>
      </c>
      <c r="N23" s="3"/>
      <c r="O23" s="1"/>
      <c r="P23" s="1"/>
      <c r="Q23" s="3"/>
      <c r="R23" s="15"/>
    </row>
    <row r="24">
      <c r="A24" s="2"/>
      <c r="B24" s="103">
        <v>0.5</v>
      </c>
      <c r="C24" s="12" t="s">
        <v>32</v>
      </c>
      <c r="D24" s="14" t="s">
        <v>152</v>
      </c>
      <c r="E24" s="15">
        <v>52000.0</v>
      </c>
      <c r="F24" s="104">
        <f t="shared" si="8"/>
        <v>26000</v>
      </c>
      <c r="G24" s="3"/>
      <c r="H24" s="13">
        <v>1.0</v>
      </c>
      <c r="I24" s="12" t="s">
        <v>32</v>
      </c>
      <c r="J24" s="14" t="s">
        <v>36</v>
      </c>
      <c r="K24" s="15">
        <v>35000.0</v>
      </c>
      <c r="L24" s="15">
        <f t="shared" si="9"/>
        <v>35000</v>
      </c>
      <c r="M24" s="15">
        <f t="shared" si="10"/>
        <v>38675</v>
      </c>
      <c r="N24" s="2"/>
      <c r="O24" s="1"/>
      <c r="P24" s="1"/>
      <c r="Q24" s="3"/>
    </row>
    <row r="25">
      <c r="A25" s="2"/>
      <c r="B25" s="107">
        <v>46030.0</v>
      </c>
      <c r="C25" s="90"/>
      <c r="D25" s="90"/>
      <c r="E25" s="90"/>
      <c r="F25" s="108"/>
      <c r="G25" s="3"/>
      <c r="H25" s="13">
        <v>1.0</v>
      </c>
      <c r="I25" s="12" t="s">
        <v>13</v>
      </c>
      <c r="J25" s="14" t="s">
        <v>155</v>
      </c>
      <c r="K25" s="15">
        <v>30000.0</v>
      </c>
      <c r="L25" s="15">
        <f t="shared" si="9"/>
        <v>30000</v>
      </c>
      <c r="M25" s="15">
        <f t="shared" si="10"/>
        <v>33150</v>
      </c>
      <c r="N25" s="2"/>
      <c r="O25" s="1"/>
      <c r="P25" s="1"/>
      <c r="Q25" s="3"/>
    </row>
    <row r="26">
      <c r="A26" s="2"/>
      <c r="B26" s="103">
        <v>0.5</v>
      </c>
      <c r="C26" s="12" t="s">
        <v>32</v>
      </c>
      <c r="D26" s="14" t="s">
        <v>152</v>
      </c>
      <c r="E26" s="15">
        <v>52000.0</v>
      </c>
      <c r="F26" s="104">
        <f t="shared" ref="F26:F29" si="11">B26*E26</f>
        <v>26000</v>
      </c>
      <c r="G26" s="3"/>
      <c r="H26" s="13">
        <v>0.5</v>
      </c>
      <c r="I26" s="12" t="s">
        <v>32</v>
      </c>
      <c r="J26" s="14" t="s">
        <v>152</v>
      </c>
      <c r="K26" s="15">
        <v>52000.0</v>
      </c>
      <c r="L26" s="15">
        <f t="shared" si="9"/>
        <v>26000</v>
      </c>
      <c r="M26" s="15">
        <f>L26*1.21</f>
        <v>31460</v>
      </c>
      <c r="N26" s="3"/>
      <c r="O26" s="1"/>
      <c r="P26" s="3"/>
      <c r="Q26" s="3"/>
    </row>
    <row r="27">
      <c r="A27" s="2"/>
      <c r="B27" s="103">
        <v>1.0</v>
      </c>
      <c r="C27" s="12" t="s">
        <v>13</v>
      </c>
      <c r="D27" s="14" t="s">
        <v>19</v>
      </c>
      <c r="E27" s="15">
        <v>46000.0</v>
      </c>
      <c r="F27" s="104">
        <f t="shared" si="11"/>
        <v>46000</v>
      </c>
      <c r="G27" s="3"/>
      <c r="H27" s="13">
        <v>1.0</v>
      </c>
      <c r="I27" s="12" t="s">
        <v>32</v>
      </c>
      <c r="J27" s="14" t="s">
        <v>35</v>
      </c>
      <c r="K27" s="15">
        <v>32000.0</v>
      </c>
      <c r="L27" s="15">
        <f t="shared" si="9"/>
        <v>32000</v>
      </c>
      <c r="M27" s="15">
        <f>L27*1.105</f>
        <v>35360</v>
      </c>
      <c r="N27" s="3"/>
      <c r="O27" s="1"/>
      <c r="P27" s="3"/>
      <c r="Q27" s="3"/>
    </row>
    <row r="28">
      <c r="A28" s="2"/>
      <c r="B28" s="103">
        <v>1.0</v>
      </c>
      <c r="C28" s="12" t="s">
        <v>13</v>
      </c>
      <c r="D28" s="14" t="s">
        <v>170</v>
      </c>
      <c r="E28" s="15">
        <v>37000.0</v>
      </c>
      <c r="F28" s="104">
        <f t="shared" si="11"/>
        <v>37000</v>
      </c>
      <c r="G28" s="3"/>
      <c r="H28" s="89">
        <v>46030.0</v>
      </c>
      <c r="I28" s="90"/>
      <c r="J28" s="90"/>
      <c r="K28" s="90"/>
      <c r="L28" s="90"/>
      <c r="M28" s="91"/>
      <c r="N28" s="3"/>
      <c r="O28" s="1"/>
      <c r="P28" s="1"/>
      <c r="Q28" s="3"/>
    </row>
    <row r="29">
      <c r="A29" s="2"/>
      <c r="B29" s="103">
        <v>1.0</v>
      </c>
      <c r="C29" s="12" t="s">
        <v>13</v>
      </c>
      <c r="D29" s="14" t="s">
        <v>15</v>
      </c>
      <c r="E29" s="15">
        <v>42000.0</v>
      </c>
      <c r="F29" s="104">
        <f t="shared" si="11"/>
        <v>42000</v>
      </c>
      <c r="G29" s="3"/>
      <c r="H29" s="13">
        <v>0.5</v>
      </c>
      <c r="I29" s="12" t="s">
        <v>32</v>
      </c>
      <c r="J29" s="14" t="s">
        <v>152</v>
      </c>
      <c r="K29" s="15">
        <v>52000.0</v>
      </c>
      <c r="L29" s="15">
        <f t="shared" ref="L29:L32" si="12">H29*K29</f>
        <v>26000</v>
      </c>
      <c r="M29" s="15">
        <f>L29*1.21</f>
        <v>31460</v>
      </c>
      <c r="N29" s="3"/>
      <c r="O29" s="1"/>
      <c r="P29" s="1"/>
      <c r="Q29" s="3"/>
    </row>
    <row r="30">
      <c r="A30" s="2"/>
      <c r="B30" s="107">
        <v>46031.0</v>
      </c>
      <c r="C30" s="90"/>
      <c r="D30" s="90"/>
      <c r="E30" s="90"/>
      <c r="F30" s="108"/>
      <c r="G30" s="3"/>
      <c r="H30" s="13">
        <v>1.0</v>
      </c>
      <c r="I30" s="12" t="s">
        <v>13</v>
      </c>
      <c r="J30" s="14" t="s">
        <v>19</v>
      </c>
      <c r="K30" s="15">
        <v>46000.0</v>
      </c>
      <c r="L30" s="15">
        <f t="shared" si="12"/>
        <v>46000</v>
      </c>
      <c r="M30" s="15">
        <f t="shared" ref="M30:M32" si="13">L30*1.105</f>
        <v>50830</v>
      </c>
      <c r="N30" s="2"/>
      <c r="O30" s="1"/>
      <c r="P30" s="1"/>
      <c r="Q30" s="3"/>
    </row>
    <row r="31">
      <c r="A31" s="2"/>
      <c r="B31" s="103">
        <v>2.0</v>
      </c>
      <c r="C31" s="12" t="s">
        <v>13</v>
      </c>
      <c r="D31" s="14" t="s">
        <v>19</v>
      </c>
      <c r="E31" s="15">
        <v>46000.0</v>
      </c>
      <c r="F31" s="104">
        <f t="shared" ref="F31:F33" si="14">B31*E31</f>
        <v>92000</v>
      </c>
      <c r="G31" s="3"/>
      <c r="H31" s="13">
        <v>1.0</v>
      </c>
      <c r="I31" s="12" t="s">
        <v>13</v>
      </c>
      <c r="J31" s="14" t="s">
        <v>170</v>
      </c>
      <c r="K31" s="15">
        <v>37000.0</v>
      </c>
      <c r="L31" s="15">
        <f t="shared" si="12"/>
        <v>37000</v>
      </c>
      <c r="M31" s="15">
        <f t="shared" si="13"/>
        <v>40885</v>
      </c>
      <c r="N31" s="2"/>
      <c r="O31" s="1"/>
      <c r="P31" s="1"/>
      <c r="Q31" s="3"/>
    </row>
    <row r="32">
      <c r="A32" s="2"/>
      <c r="B32" s="103">
        <v>1.0</v>
      </c>
      <c r="C32" s="12" t="s">
        <v>13</v>
      </c>
      <c r="D32" s="14" t="s">
        <v>175</v>
      </c>
      <c r="E32" s="15">
        <v>42000.0</v>
      </c>
      <c r="F32" s="104">
        <f t="shared" si="14"/>
        <v>42000</v>
      </c>
      <c r="G32" s="3"/>
      <c r="H32" s="13">
        <v>1.0</v>
      </c>
      <c r="I32" s="12" t="s">
        <v>13</v>
      </c>
      <c r="J32" s="14" t="s">
        <v>15</v>
      </c>
      <c r="K32" s="15">
        <v>42000.0</v>
      </c>
      <c r="L32" s="15">
        <f t="shared" si="12"/>
        <v>42000</v>
      </c>
      <c r="M32" s="15">
        <f t="shared" si="13"/>
        <v>46410</v>
      </c>
      <c r="N32" s="2"/>
      <c r="O32" s="1"/>
      <c r="P32" s="3"/>
      <c r="Q32" s="3"/>
    </row>
    <row r="33">
      <c r="A33" s="2"/>
      <c r="B33" s="103">
        <v>1.0</v>
      </c>
      <c r="C33" s="12" t="s">
        <v>13</v>
      </c>
      <c r="D33" s="14" t="s">
        <v>176</v>
      </c>
      <c r="E33" s="15">
        <v>45000.0</v>
      </c>
      <c r="F33" s="104">
        <f t="shared" si="14"/>
        <v>45000</v>
      </c>
      <c r="G33" s="3"/>
      <c r="H33" s="89">
        <v>46031.0</v>
      </c>
      <c r="I33" s="90"/>
      <c r="J33" s="90"/>
      <c r="K33" s="90"/>
      <c r="L33" s="90"/>
      <c r="M33" s="91"/>
      <c r="N33" s="2"/>
      <c r="O33" s="1"/>
      <c r="P33" s="3"/>
      <c r="Q33" s="3"/>
    </row>
    <row r="34">
      <c r="A34" s="2"/>
      <c r="B34" s="107">
        <v>46034.0</v>
      </c>
      <c r="C34" s="90"/>
      <c r="D34" s="90"/>
      <c r="E34" s="90"/>
      <c r="F34" s="108"/>
      <c r="G34" s="3"/>
      <c r="H34" s="13">
        <v>2.0</v>
      </c>
      <c r="I34" s="12" t="s">
        <v>13</v>
      </c>
      <c r="J34" s="14" t="s">
        <v>19</v>
      </c>
      <c r="K34" s="15">
        <v>46000.0</v>
      </c>
      <c r="L34" s="15">
        <f t="shared" ref="L34:L36" si="15">H34*K34</f>
        <v>92000</v>
      </c>
      <c r="M34" s="15">
        <f t="shared" ref="M34:M36" si="16">L34*1.105</f>
        <v>101660</v>
      </c>
      <c r="N34" s="2"/>
      <c r="O34" s="1"/>
      <c r="P34" s="3"/>
      <c r="Q34" s="3"/>
    </row>
    <row r="35">
      <c r="A35" s="2"/>
      <c r="B35" s="103">
        <v>1.0</v>
      </c>
      <c r="C35" s="12" t="s">
        <v>32</v>
      </c>
      <c r="D35" s="14" t="s">
        <v>19</v>
      </c>
      <c r="E35" s="15">
        <v>38000.0</v>
      </c>
      <c r="F35" s="104">
        <f t="shared" ref="F35:F38" si="17">B35*E35</f>
        <v>38000</v>
      </c>
      <c r="G35" s="3"/>
      <c r="H35" s="13">
        <v>1.0</v>
      </c>
      <c r="I35" s="12" t="s">
        <v>13</v>
      </c>
      <c r="J35" s="14" t="s">
        <v>175</v>
      </c>
      <c r="K35" s="15">
        <v>42000.0</v>
      </c>
      <c r="L35" s="15">
        <f t="shared" si="15"/>
        <v>42000</v>
      </c>
      <c r="M35" s="15">
        <f t="shared" si="16"/>
        <v>46410</v>
      </c>
      <c r="N35" s="3"/>
      <c r="O35" s="1"/>
      <c r="P35" s="3"/>
      <c r="Q35" s="3"/>
    </row>
    <row r="36">
      <c r="A36" s="2"/>
      <c r="B36" s="103">
        <v>2.0</v>
      </c>
      <c r="C36" s="12" t="s">
        <v>32</v>
      </c>
      <c r="D36" s="14" t="s">
        <v>20</v>
      </c>
      <c r="E36" s="15">
        <v>22000.0</v>
      </c>
      <c r="F36" s="104">
        <f t="shared" si="17"/>
        <v>44000</v>
      </c>
      <c r="G36" s="3"/>
      <c r="H36" s="13">
        <v>1.0</v>
      </c>
      <c r="I36" s="12" t="s">
        <v>13</v>
      </c>
      <c r="J36" s="14" t="s">
        <v>176</v>
      </c>
      <c r="K36" s="15">
        <v>45000.0</v>
      </c>
      <c r="L36" s="15">
        <f t="shared" si="15"/>
        <v>45000</v>
      </c>
      <c r="M36" s="15">
        <f t="shared" si="16"/>
        <v>49725</v>
      </c>
      <c r="N36" s="3"/>
      <c r="O36" s="1"/>
      <c r="P36" s="3"/>
      <c r="Q36" s="3"/>
    </row>
    <row r="37">
      <c r="A37" s="2"/>
      <c r="B37" s="103">
        <v>1.0</v>
      </c>
      <c r="C37" s="12" t="s">
        <v>32</v>
      </c>
      <c r="D37" s="14" t="s">
        <v>15</v>
      </c>
      <c r="E37" s="15">
        <v>35000.0</v>
      </c>
      <c r="F37" s="104">
        <f t="shared" si="17"/>
        <v>35000</v>
      </c>
      <c r="G37" s="3"/>
      <c r="H37" s="89">
        <v>46034.0</v>
      </c>
      <c r="I37" s="90"/>
      <c r="J37" s="90"/>
      <c r="K37" s="90"/>
      <c r="L37" s="90"/>
      <c r="M37" s="91"/>
      <c r="N37" s="3"/>
      <c r="O37" s="1"/>
      <c r="P37" s="1"/>
      <c r="Q37" s="3"/>
    </row>
    <row r="38">
      <c r="A38" s="2"/>
      <c r="B38" s="103">
        <v>1.0</v>
      </c>
      <c r="C38" s="12" t="s">
        <v>32</v>
      </c>
      <c r="D38" s="14" t="s">
        <v>175</v>
      </c>
      <c r="E38" s="15">
        <v>38000.0</v>
      </c>
      <c r="F38" s="104">
        <f t="shared" si="17"/>
        <v>38000</v>
      </c>
      <c r="G38" s="3"/>
      <c r="H38" s="13">
        <v>1.0</v>
      </c>
      <c r="I38" s="12" t="s">
        <v>32</v>
      </c>
      <c r="J38" s="14" t="s">
        <v>19</v>
      </c>
      <c r="K38" s="15">
        <v>38000.0</v>
      </c>
      <c r="L38" s="15">
        <f t="shared" ref="L38:L42" si="18">H38*K38</f>
        <v>38000</v>
      </c>
      <c r="M38" s="15">
        <f t="shared" ref="M38:M42" si="19">L38*1.105</f>
        <v>41990</v>
      </c>
      <c r="N38" s="3"/>
      <c r="O38" s="3"/>
      <c r="P38" s="88"/>
      <c r="Q38" s="3"/>
    </row>
    <row r="39">
      <c r="A39" s="2"/>
      <c r="B39" s="107">
        <v>46035.0</v>
      </c>
      <c r="C39" s="90"/>
      <c r="D39" s="90"/>
      <c r="E39" s="90"/>
      <c r="F39" s="108"/>
      <c r="G39" s="3"/>
      <c r="H39" s="13">
        <v>2.0</v>
      </c>
      <c r="I39" s="12" t="s">
        <v>32</v>
      </c>
      <c r="J39" s="14" t="s">
        <v>20</v>
      </c>
      <c r="K39" s="15">
        <v>22000.0</v>
      </c>
      <c r="L39" s="15">
        <f t="shared" si="18"/>
        <v>44000</v>
      </c>
      <c r="M39" s="15">
        <f t="shared" si="19"/>
        <v>48620</v>
      </c>
      <c r="N39" s="3"/>
      <c r="O39" s="3"/>
      <c r="P39" s="88"/>
      <c r="Q39" s="3"/>
    </row>
    <row r="40">
      <c r="A40" s="2"/>
      <c r="B40" s="103">
        <v>1.0</v>
      </c>
      <c r="C40" s="12" t="s">
        <v>32</v>
      </c>
      <c r="D40" s="14" t="s">
        <v>162</v>
      </c>
      <c r="E40" s="15">
        <v>32000.0</v>
      </c>
      <c r="F40" s="104">
        <f t="shared" ref="F40:F42" si="20">B40*E40</f>
        <v>32000</v>
      </c>
      <c r="G40" s="3"/>
      <c r="H40" s="13">
        <v>1.0</v>
      </c>
      <c r="I40" s="12" t="s">
        <v>32</v>
      </c>
      <c r="J40" s="14" t="s">
        <v>15</v>
      </c>
      <c r="K40" s="15">
        <v>35000.0</v>
      </c>
      <c r="L40" s="15">
        <f t="shared" si="18"/>
        <v>35000</v>
      </c>
      <c r="M40" s="15">
        <f t="shared" si="19"/>
        <v>38675</v>
      </c>
      <c r="N40" s="3"/>
      <c r="O40" s="3"/>
      <c r="P40" s="88"/>
      <c r="Q40" s="3"/>
    </row>
    <row r="41">
      <c r="A41" s="2"/>
      <c r="B41" s="103">
        <v>1.0</v>
      </c>
      <c r="C41" s="12" t="s">
        <v>32</v>
      </c>
      <c r="D41" s="14" t="s">
        <v>192</v>
      </c>
      <c r="E41" s="15">
        <v>30000.0</v>
      </c>
      <c r="F41" s="104">
        <f t="shared" si="20"/>
        <v>30000</v>
      </c>
      <c r="G41" s="3"/>
      <c r="H41" s="13">
        <v>1.0</v>
      </c>
      <c r="I41" s="12" t="s">
        <v>32</v>
      </c>
      <c r="J41" s="14" t="s">
        <v>175</v>
      </c>
      <c r="K41" s="15">
        <v>38000.0</v>
      </c>
      <c r="L41" s="15">
        <f t="shared" si="18"/>
        <v>38000</v>
      </c>
      <c r="M41" s="15">
        <f t="shared" si="19"/>
        <v>41990</v>
      </c>
      <c r="N41" s="3"/>
      <c r="O41" s="3"/>
      <c r="P41" s="3"/>
      <c r="Q41" s="3"/>
    </row>
    <row r="42">
      <c r="A42" s="2"/>
      <c r="B42" s="103">
        <v>1.0</v>
      </c>
      <c r="C42" s="12" t="s">
        <v>32</v>
      </c>
      <c r="D42" s="14" t="s">
        <v>62</v>
      </c>
      <c r="E42" s="15">
        <v>13000.0</v>
      </c>
      <c r="F42" s="104">
        <f t="shared" si="20"/>
        <v>13000</v>
      </c>
      <c r="G42" s="110"/>
      <c r="H42" s="13">
        <v>1.0</v>
      </c>
      <c r="I42" s="12" t="s">
        <v>32</v>
      </c>
      <c r="J42" s="14" t="s">
        <v>207</v>
      </c>
      <c r="K42" s="15">
        <v>32000.0</v>
      </c>
      <c r="L42" s="15">
        <f t="shared" si="18"/>
        <v>32000</v>
      </c>
      <c r="M42" s="15">
        <f t="shared" si="19"/>
        <v>35360</v>
      </c>
      <c r="N42" s="2"/>
      <c r="O42" s="3"/>
      <c r="P42" s="3"/>
      <c r="Q42" s="3"/>
    </row>
    <row r="43">
      <c r="A43" s="2"/>
      <c r="B43" s="107">
        <v>46036.0</v>
      </c>
      <c r="C43" s="90"/>
      <c r="D43" s="90"/>
      <c r="E43" s="90"/>
      <c r="F43" s="108"/>
      <c r="G43" s="3"/>
      <c r="H43" s="89">
        <v>46035.0</v>
      </c>
      <c r="I43" s="90"/>
      <c r="J43" s="90"/>
      <c r="K43" s="90"/>
      <c r="L43" s="90"/>
      <c r="M43" s="91"/>
      <c r="N43" s="2"/>
      <c r="O43" s="3"/>
      <c r="P43" s="3"/>
      <c r="Q43" s="3"/>
    </row>
    <row r="44">
      <c r="A44" s="2"/>
      <c r="B44" s="103">
        <v>1.0</v>
      </c>
      <c r="C44" s="12" t="s">
        <v>32</v>
      </c>
      <c r="D44" s="14" t="s">
        <v>20</v>
      </c>
      <c r="E44" s="15">
        <v>22000.0</v>
      </c>
      <c r="F44" s="104">
        <f t="shared" ref="F44:F45" si="21">B44*E44</f>
        <v>22000</v>
      </c>
      <c r="G44" s="3"/>
      <c r="H44" s="13">
        <v>1.0</v>
      </c>
      <c r="I44" s="12" t="s">
        <v>32</v>
      </c>
      <c r="J44" s="14" t="s">
        <v>162</v>
      </c>
      <c r="K44" s="15">
        <v>32000.0</v>
      </c>
      <c r="L44" s="15">
        <f t="shared" ref="L44:L46" si="22">H44*K44</f>
        <v>32000</v>
      </c>
      <c r="M44" s="15">
        <f t="shared" ref="M44:M46" si="23">L44*1.105</f>
        <v>35360</v>
      </c>
      <c r="N44" s="2"/>
      <c r="O44" s="3"/>
      <c r="P44" s="3"/>
      <c r="Q44" s="3"/>
    </row>
    <row r="45">
      <c r="A45" s="2"/>
      <c r="B45" s="103">
        <v>1.0</v>
      </c>
      <c r="C45" s="12" t="s">
        <v>13</v>
      </c>
      <c r="D45" s="14" t="s">
        <v>206</v>
      </c>
      <c r="E45" s="15">
        <v>70000.0</v>
      </c>
      <c r="F45" s="104">
        <f t="shared" si="21"/>
        <v>70000</v>
      </c>
      <c r="G45" s="3"/>
      <c r="H45" s="13">
        <v>1.0</v>
      </c>
      <c r="I45" s="12" t="s">
        <v>32</v>
      </c>
      <c r="J45" s="14" t="s">
        <v>192</v>
      </c>
      <c r="K45" s="15">
        <v>30000.0</v>
      </c>
      <c r="L45" s="15">
        <f t="shared" si="22"/>
        <v>30000</v>
      </c>
      <c r="M45" s="15">
        <f t="shared" si="23"/>
        <v>33150</v>
      </c>
      <c r="N45" s="2"/>
      <c r="O45" s="1"/>
      <c r="P45" s="3"/>
      <c r="Q45" s="3"/>
    </row>
    <row r="46">
      <c r="A46" s="2"/>
      <c r="B46" s="107">
        <v>46037.0</v>
      </c>
      <c r="C46" s="90"/>
      <c r="D46" s="90"/>
      <c r="E46" s="90"/>
      <c r="F46" s="108"/>
      <c r="G46" s="3"/>
      <c r="H46" s="13">
        <v>1.0</v>
      </c>
      <c r="I46" s="12" t="s">
        <v>32</v>
      </c>
      <c r="J46" s="14" t="s">
        <v>62</v>
      </c>
      <c r="K46" s="15">
        <v>13000.0</v>
      </c>
      <c r="L46" s="15">
        <f t="shared" si="22"/>
        <v>13000</v>
      </c>
      <c r="M46" s="15">
        <f t="shared" si="23"/>
        <v>14365</v>
      </c>
      <c r="N46" s="3"/>
      <c r="O46" s="1"/>
      <c r="P46" s="3"/>
      <c r="Q46" s="3"/>
    </row>
    <row r="47">
      <c r="A47" s="2"/>
      <c r="B47" s="103">
        <v>1.0</v>
      </c>
      <c r="C47" s="12" t="s">
        <v>32</v>
      </c>
      <c r="D47" s="14" t="s">
        <v>35</v>
      </c>
      <c r="E47" s="15">
        <v>32000.0</v>
      </c>
      <c r="F47" s="104">
        <f t="shared" ref="F47:F49" si="24">B47*E47</f>
        <v>32000</v>
      </c>
      <c r="G47" s="3"/>
      <c r="H47" s="89">
        <v>46036.0</v>
      </c>
      <c r="I47" s="90"/>
      <c r="J47" s="90"/>
      <c r="K47" s="90"/>
      <c r="L47" s="90"/>
      <c r="M47" s="91"/>
      <c r="N47" s="3"/>
      <c r="O47" s="1"/>
      <c r="P47" s="3"/>
      <c r="Q47" s="3"/>
    </row>
    <row r="48">
      <c r="A48" s="2"/>
      <c r="B48" s="103">
        <v>1.0</v>
      </c>
      <c r="C48" s="12" t="s">
        <v>32</v>
      </c>
      <c r="D48" s="14" t="s">
        <v>50</v>
      </c>
      <c r="E48" s="15">
        <v>30000.0</v>
      </c>
      <c r="F48" s="104">
        <f t="shared" si="24"/>
        <v>30000</v>
      </c>
      <c r="G48" s="3"/>
      <c r="H48" s="13">
        <v>1.0</v>
      </c>
      <c r="I48" s="12" t="s">
        <v>32</v>
      </c>
      <c r="J48" s="14" t="s">
        <v>20</v>
      </c>
      <c r="K48" s="15">
        <v>22000.0</v>
      </c>
      <c r="L48" s="15">
        <f t="shared" ref="L48:L49" si="25">H48*K48</f>
        <v>22000</v>
      </c>
      <c r="M48" s="15">
        <f t="shared" ref="M48:M49" si="26">L48*1.105</f>
        <v>24310</v>
      </c>
      <c r="N48" s="3"/>
      <c r="O48" s="1"/>
      <c r="P48" s="3"/>
      <c r="Q48" s="3"/>
    </row>
    <row r="49">
      <c r="A49" s="2"/>
      <c r="B49" s="103">
        <v>1.0</v>
      </c>
      <c r="C49" s="12" t="s">
        <v>13</v>
      </c>
      <c r="D49" s="14" t="s">
        <v>206</v>
      </c>
      <c r="E49" s="15">
        <v>70000.0</v>
      </c>
      <c r="F49" s="104">
        <f t="shared" si="24"/>
        <v>70000</v>
      </c>
      <c r="G49" s="3"/>
      <c r="H49" s="13">
        <v>1.0</v>
      </c>
      <c r="I49" s="12" t="s">
        <v>13</v>
      </c>
      <c r="J49" s="14" t="s">
        <v>206</v>
      </c>
      <c r="K49" s="15">
        <v>70000.0</v>
      </c>
      <c r="L49" s="15">
        <f t="shared" si="25"/>
        <v>70000</v>
      </c>
      <c r="M49" s="15">
        <f t="shared" si="26"/>
        <v>77350</v>
      </c>
      <c r="N49" s="3"/>
      <c r="O49" s="1"/>
      <c r="P49" s="1"/>
      <c r="Q49" s="3"/>
    </row>
    <row r="50">
      <c r="A50" s="2"/>
      <c r="B50" s="107">
        <v>46038.0</v>
      </c>
      <c r="C50" s="90"/>
      <c r="D50" s="90"/>
      <c r="E50" s="90"/>
      <c r="F50" s="108"/>
      <c r="G50" s="3"/>
      <c r="H50" s="89">
        <v>46037.0</v>
      </c>
      <c r="I50" s="90"/>
      <c r="J50" s="90"/>
      <c r="K50" s="90"/>
      <c r="L50" s="90"/>
      <c r="M50" s="91"/>
      <c r="N50" s="2"/>
      <c r="O50" s="1"/>
      <c r="P50" s="1"/>
      <c r="Q50" s="3"/>
    </row>
    <row r="51">
      <c r="A51" s="2"/>
      <c r="B51" s="103">
        <v>1.0</v>
      </c>
      <c r="C51" s="12" t="s">
        <v>13</v>
      </c>
      <c r="D51" s="14" t="s">
        <v>19</v>
      </c>
      <c r="E51" s="15">
        <v>38000.0</v>
      </c>
      <c r="F51" s="104">
        <f t="shared" ref="F51:F53" si="27">B51*E51</f>
        <v>38000</v>
      </c>
      <c r="G51" s="3"/>
      <c r="H51" s="13">
        <v>1.0</v>
      </c>
      <c r="I51" s="12" t="s">
        <v>32</v>
      </c>
      <c r="J51" s="14" t="s">
        <v>35</v>
      </c>
      <c r="K51" s="15">
        <v>32000.0</v>
      </c>
      <c r="L51" s="15">
        <f t="shared" ref="L51:L54" si="28">H51*K51</f>
        <v>32000</v>
      </c>
      <c r="M51" s="15">
        <f t="shared" ref="M51:M54" si="29">L51*1.105</f>
        <v>35360</v>
      </c>
      <c r="N51" s="2"/>
      <c r="O51" s="1"/>
      <c r="P51" s="1"/>
      <c r="Q51" s="3"/>
    </row>
    <row r="52">
      <c r="A52" s="2"/>
      <c r="B52" s="111">
        <v>1.0</v>
      </c>
      <c r="C52" s="10" t="s">
        <v>13</v>
      </c>
      <c r="D52" s="11" t="s">
        <v>72</v>
      </c>
      <c r="E52" s="15">
        <v>70000.0</v>
      </c>
      <c r="F52" s="104">
        <f t="shared" si="27"/>
        <v>70000</v>
      </c>
      <c r="G52" s="3"/>
      <c r="H52" s="13">
        <v>1.0</v>
      </c>
      <c r="I52" s="12" t="s">
        <v>32</v>
      </c>
      <c r="J52" s="14" t="s">
        <v>50</v>
      </c>
      <c r="K52" s="15">
        <v>30000.0</v>
      </c>
      <c r="L52" s="15">
        <f t="shared" si="28"/>
        <v>30000</v>
      </c>
      <c r="M52" s="15">
        <f t="shared" si="29"/>
        <v>33150</v>
      </c>
      <c r="N52" s="2"/>
      <c r="O52" s="1"/>
      <c r="P52" s="1"/>
      <c r="Q52" s="3"/>
    </row>
    <row r="53">
      <c r="A53" s="2"/>
      <c r="B53" s="103">
        <v>1.0</v>
      </c>
      <c r="C53" s="12" t="s">
        <v>13</v>
      </c>
      <c r="D53" s="14" t="s">
        <v>236</v>
      </c>
      <c r="E53" s="15">
        <v>22000.0</v>
      </c>
      <c r="F53" s="104">
        <f t="shared" si="27"/>
        <v>22000</v>
      </c>
      <c r="G53" s="3"/>
      <c r="H53" s="13">
        <v>1.0</v>
      </c>
      <c r="I53" s="12" t="s">
        <v>13</v>
      </c>
      <c r="J53" s="14" t="s">
        <v>206</v>
      </c>
      <c r="K53" s="15">
        <v>70000.0</v>
      </c>
      <c r="L53" s="15">
        <f t="shared" si="28"/>
        <v>70000</v>
      </c>
      <c r="M53" s="15">
        <f t="shared" si="29"/>
        <v>77350</v>
      </c>
      <c r="N53" s="2"/>
      <c r="O53" s="1"/>
      <c r="P53" s="1"/>
      <c r="Q53" s="3"/>
    </row>
    <row r="54">
      <c r="A54" s="2"/>
      <c r="B54" s="107">
        <v>46041.0</v>
      </c>
      <c r="C54" s="90"/>
      <c r="D54" s="90"/>
      <c r="E54" s="90"/>
      <c r="F54" s="108"/>
      <c r="G54" s="3"/>
      <c r="H54" s="13">
        <v>1.0</v>
      </c>
      <c r="I54" s="12" t="s">
        <v>13</v>
      </c>
      <c r="J54" s="14" t="s">
        <v>153</v>
      </c>
      <c r="K54" s="15">
        <v>32000.0</v>
      </c>
      <c r="L54" s="15">
        <f t="shared" si="28"/>
        <v>32000</v>
      </c>
      <c r="M54" s="15">
        <f t="shared" si="29"/>
        <v>35360</v>
      </c>
      <c r="N54" s="2"/>
      <c r="O54" s="1"/>
      <c r="P54" s="1"/>
      <c r="Q54" s="3"/>
    </row>
    <row r="55">
      <c r="A55" s="2"/>
      <c r="B55" s="103">
        <v>1.0</v>
      </c>
      <c r="C55" s="12" t="s">
        <v>13</v>
      </c>
      <c r="D55" s="14" t="s">
        <v>19</v>
      </c>
      <c r="E55" s="15">
        <v>38000.0</v>
      </c>
      <c r="F55" s="104">
        <f t="shared" ref="F55:F59" si="30">B55*E55</f>
        <v>38000</v>
      </c>
      <c r="G55" s="3"/>
      <c r="H55" s="89">
        <v>46038.0</v>
      </c>
      <c r="I55" s="90"/>
      <c r="J55" s="90"/>
      <c r="K55" s="90"/>
      <c r="L55" s="90"/>
      <c r="M55" s="91"/>
      <c r="N55" s="2"/>
      <c r="O55" s="1"/>
      <c r="P55" s="1"/>
      <c r="Q55" s="3"/>
    </row>
    <row r="56">
      <c r="A56" s="2"/>
      <c r="B56" s="103">
        <v>1.0</v>
      </c>
      <c r="C56" s="12" t="s">
        <v>32</v>
      </c>
      <c r="D56" s="14" t="s">
        <v>256</v>
      </c>
      <c r="E56" s="15">
        <v>53000.0</v>
      </c>
      <c r="F56" s="104">
        <f t="shared" si="30"/>
        <v>53000</v>
      </c>
      <c r="G56" s="3"/>
      <c r="H56" s="13">
        <v>1.0</v>
      </c>
      <c r="I56" s="12" t="s">
        <v>13</v>
      </c>
      <c r="J56" s="14" t="s">
        <v>19</v>
      </c>
      <c r="K56" s="15">
        <v>38000.0</v>
      </c>
      <c r="L56" s="15">
        <f t="shared" ref="L56:L58" si="31">H56*K56</f>
        <v>38000</v>
      </c>
      <c r="M56" s="15">
        <f t="shared" ref="M56:M58" si="32">L56*1.105</f>
        <v>41990</v>
      </c>
      <c r="N56" s="2"/>
      <c r="O56" s="1"/>
      <c r="P56" s="1"/>
      <c r="Q56" s="3"/>
    </row>
    <row r="57">
      <c r="A57" s="2"/>
      <c r="B57" s="103">
        <v>1.0</v>
      </c>
      <c r="C57" s="12" t="s">
        <v>257</v>
      </c>
      <c r="D57" s="14" t="s">
        <v>192</v>
      </c>
      <c r="E57" s="15">
        <v>43000.0</v>
      </c>
      <c r="F57" s="104">
        <f t="shared" si="30"/>
        <v>43000</v>
      </c>
      <c r="G57" s="3"/>
      <c r="H57" s="78">
        <v>1.0</v>
      </c>
      <c r="I57" s="10" t="s">
        <v>13</v>
      </c>
      <c r="J57" s="11" t="s">
        <v>72</v>
      </c>
      <c r="K57" s="15">
        <v>70000.0</v>
      </c>
      <c r="L57" s="15">
        <f t="shared" si="31"/>
        <v>70000</v>
      </c>
      <c r="M57" s="15">
        <f t="shared" si="32"/>
        <v>77350</v>
      </c>
      <c r="N57" s="2"/>
      <c r="O57" s="1"/>
      <c r="P57" s="1"/>
      <c r="Q57" s="3"/>
    </row>
    <row r="58">
      <c r="A58" s="2"/>
      <c r="B58" s="103">
        <v>1.0</v>
      </c>
      <c r="C58" s="12" t="s">
        <v>13</v>
      </c>
      <c r="D58" s="14" t="s">
        <v>206</v>
      </c>
      <c r="E58" s="15">
        <v>63000.0</v>
      </c>
      <c r="F58" s="104">
        <f t="shared" si="30"/>
        <v>63000</v>
      </c>
      <c r="G58" s="3"/>
      <c r="H58" s="13">
        <v>1.0</v>
      </c>
      <c r="I58" s="12" t="s">
        <v>13</v>
      </c>
      <c r="J58" s="14" t="s">
        <v>236</v>
      </c>
      <c r="K58" s="15">
        <v>22000.0</v>
      </c>
      <c r="L58" s="15">
        <f t="shared" si="31"/>
        <v>22000</v>
      </c>
      <c r="M58" s="15">
        <f t="shared" si="32"/>
        <v>24310</v>
      </c>
      <c r="N58" s="2"/>
      <c r="O58" s="1"/>
      <c r="P58" s="1"/>
      <c r="Q58" s="3"/>
    </row>
    <row r="59">
      <c r="A59" s="2"/>
      <c r="B59" s="103">
        <v>0.5</v>
      </c>
      <c r="C59" s="12" t="s">
        <v>32</v>
      </c>
      <c r="D59" s="14" t="s">
        <v>152</v>
      </c>
      <c r="E59" s="15">
        <v>50000.0</v>
      </c>
      <c r="F59" s="104">
        <f t="shared" si="30"/>
        <v>25000</v>
      </c>
      <c r="G59" s="3"/>
      <c r="H59" s="89">
        <v>46041.0</v>
      </c>
      <c r="I59" s="90"/>
      <c r="J59" s="90"/>
      <c r="K59" s="90"/>
      <c r="L59" s="90"/>
      <c r="M59" s="91"/>
      <c r="N59" s="2"/>
      <c r="O59" s="1"/>
      <c r="P59" s="1"/>
      <c r="Q59" s="3"/>
    </row>
    <row r="60">
      <c r="A60" s="2"/>
      <c r="B60" s="111"/>
      <c r="C60" s="10"/>
      <c r="D60" s="112"/>
      <c r="E60" s="15"/>
      <c r="F60" s="104"/>
      <c r="G60" s="3"/>
      <c r="H60" s="13">
        <v>1.0</v>
      </c>
      <c r="I60" s="12" t="s">
        <v>13</v>
      </c>
      <c r="J60" s="14" t="s">
        <v>19</v>
      </c>
      <c r="K60" s="15">
        <v>38000.0</v>
      </c>
      <c r="L60" s="15">
        <f t="shared" ref="L60:L64" si="33">H60*K60</f>
        <v>38000</v>
      </c>
      <c r="M60" s="15">
        <f t="shared" ref="M60:M63" si="34">L60*1.105</f>
        <v>41990</v>
      </c>
      <c r="N60" s="2"/>
      <c r="O60" s="1"/>
      <c r="P60" s="1"/>
      <c r="Q60" s="3"/>
    </row>
    <row r="61">
      <c r="A61" s="2"/>
      <c r="B61" s="111"/>
      <c r="C61" s="10"/>
      <c r="D61" s="112"/>
      <c r="E61" s="15"/>
      <c r="F61" s="104"/>
      <c r="G61" s="3"/>
      <c r="H61" s="13">
        <v>1.0</v>
      </c>
      <c r="I61" s="12" t="s">
        <v>32</v>
      </c>
      <c r="J61" s="14" t="s">
        <v>256</v>
      </c>
      <c r="K61" s="15">
        <v>53000.0</v>
      </c>
      <c r="L61" s="15">
        <f t="shared" si="33"/>
        <v>53000</v>
      </c>
      <c r="M61" s="15">
        <f t="shared" si="34"/>
        <v>58565</v>
      </c>
      <c r="N61" s="2"/>
      <c r="O61" s="1"/>
      <c r="P61" s="1"/>
      <c r="Q61" s="3"/>
    </row>
    <row r="62">
      <c r="A62" s="2"/>
      <c r="B62" s="111"/>
      <c r="C62" s="10"/>
      <c r="D62" s="112"/>
      <c r="E62" s="15"/>
      <c r="F62" s="104"/>
      <c r="G62" s="3"/>
      <c r="H62" s="13">
        <v>1.0</v>
      </c>
      <c r="I62" s="12" t="s">
        <v>257</v>
      </c>
      <c r="J62" s="14" t="s">
        <v>192</v>
      </c>
      <c r="K62" s="15">
        <v>43000.0</v>
      </c>
      <c r="L62" s="15">
        <f t="shared" si="33"/>
        <v>43000</v>
      </c>
      <c r="M62" s="15">
        <f t="shared" si="34"/>
        <v>47515</v>
      </c>
      <c r="N62" s="2"/>
      <c r="O62" s="1"/>
      <c r="P62" s="1"/>
      <c r="Q62" s="3"/>
    </row>
    <row r="63">
      <c r="A63" s="2"/>
      <c r="B63" s="111"/>
      <c r="C63" s="10"/>
      <c r="D63" s="112"/>
      <c r="E63" s="15"/>
      <c r="F63" s="104"/>
      <c r="G63" s="3"/>
      <c r="H63" s="13">
        <v>1.0</v>
      </c>
      <c r="I63" s="12" t="s">
        <v>13</v>
      </c>
      <c r="J63" s="14" t="s">
        <v>206</v>
      </c>
      <c r="K63" s="15">
        <v>63000.0</v>
      </c>
      <c r="L63" s="15">
        <f t="shared" si="33"/>
        <v>63000</v>
      </c>
      <c r="M63" s="15">
        <f t="shared" si="34"/>
        <v>69615</v>
      </c>
      <c r="N63" s="2"/>
      <c r="O63" s="1"/>
      <c r="P63" s="1"/>
      <c r="Q63" s="3"/>
    </row>
    <row r="64">
      <c r="A64" s="2"/>
      <c r="B64" s="111"/>
      <c r="C64" s="10"/>
      <c r="D64" s="112"/>
      <c r="E64" s="15"/>
      <c r="F64" s="104"/>
      <c r="G64" s="3"/>
      <c r="H64" s="13">
        <v>0.5</v>
      </c>
      <c r="I64" s="12" t="s">
        <v>32</v>
      </c>
      <c r="J64" s="14" t="s">
        <v>152</v>
      </c>
      <c r="K64" s="15">
        <v>50000.0</v>
      </c>
      <c r="L64" s="15">
        <f t="shared" si="33"/>
        <v>25000</v>
      </c>
      <c r="M64" s="15">
        <f>L64*1.21</f>
        <v>30250</v>
      </c>
      <c r="N64" s="2"/>
      <c r="O64" s="1"/>
      <c r="P64" s="1"/>
      <c r="Q64" s="3"/>
    </row>
    <row r="65">
      <c r="A65" s="2"/>
      <c r="B65" s="113"/>
      <c r="C65" s="114"/>
      <c r="D65" s="115"/>
      <c r="E65" s="114"/>
      <c r="F65" s="116"/>
      <c r="G65" s="3"/>
      <c r="H65" s="117" t="str">
        <f>F65</f>
        <v/>
      </c>
      <c r="I65" s="47"/>
      <c r="J65" s="47"/>
      <c r="K65" s="47"/>
      <c r="L65" s="47"/>
      <c r="M65" s="48"/>
      <c r="N65" s="2"/>
      <c r="O65" s="3"/>
      <c r="P65" s="3"/>
      <c r="Q65" s="3"/>
    </row>
    <row r="66">
      <c r="A66" s="2"/>
      <c r="B66" s="118" t="s">
        <v>328</v>
      </c>
      <c r="C66" s="119"/>
      <c r="D66" s="120"/>
      <c r="E66" s="121"/>
      <c r="F66" s="122">
        <f>SUM(F6:F64)</f>
        <v>1815000</v>
      </c>
      <c r="G66" s="3"/>
      <c r="H66" s="123" t="s">
        <v>328</v>
      </c>
      <c r="I66" s="47"/>
      <c r="J66" s="47"/>
      <c r="K66" s="47"/>
      <c r="L66" s="48"/>
      <c r="M66" s="124">
        <f>SUM(M6:M65)</f>
        <v>2242915</v>
      </c>
      <c r="N66" s="2"/>
      <c r="O66" s="1"/>
      <c r="P66" s="3"/>
      <c r="Q66" s="3"/>
    </row>
    <row r="67">
      <c r="A67" s="2"/>
      <c r="B67" s="125" t="s">
        <v>329</v>
      </c>
      <c r="C67" s="126"/>
      <c r="D67" s="127"/>
      <c r="E67" s="128">
        <v>0.02</v>
      </c>
      <c r="F67" s="129">
        <f>E67*F66</f>
        <v>36300</v>
      </c>
      <c r="G67" s="3"/>
      <c r="H67" s="130" t="s">
        <v>329</v>
      </c>
      <c r="I67" s="131"/>
      <c r="J67" s="131"/>
      <c r="K67" s="132">
        <v>0.018</v>
      </c>
      <c r="L67" s="133"/>
      <c r="M67" s="134">
        <f>K67*M66</f>
        <v>40372.47</v>
      </c>
      <c r="N67" s="3"/>
      <c r="O67" s="1"/>
      <c r="P67" s="3"/>
      <c r="Q67" s="3"/>
    </row>
    <row r="68">
      <c r="A68" s="2"/>
      <c r="B68" s="125" t="s">
        <v>330</v>
      </c>
      <c r="C68" s="126"/>
      <c r="D68" s="127"/>
      <c r="E68" s="128">
        <v>0.02</v>
      </c>
      <c r="F68" s="129">
        <f>E68*F66</f>
        <v>36300</v>
      </c>
      <c r="G68" s="3"/>
      <c r="H68" s="125" t="s">
        <v>330</v>
      </c>
      <c r="I68" s="135"/>
      <c r="J68" s="135"/>
      <c r="K68" s="136">
        <v>0.0158</v>
      </c>
      <c r="L68" s="137"/>
      <c r="M68" s="134">
        <f>K68*M66</f>
        <v>35438.057</v>
      </c>
      <c r="N68" s="3"/>
      <c r="O68" s="1"/>
      <c r="P68" s="3"/>
      <c r="Q68" s="3"/>
    </row>
    <row r="69">
      <c r="A69" s="2"/>
      <c r="B69" s="125" t="s">
        <v>331</v>
      </c>
      <c r="C69" s="126"/>
      <c r="D69" s="127"/>
      <c r="E69" s="128">
        <v>0.05</v>
      </c>
      <c r="F69" s="129">
        <f>E69*F66</f>
        <v>90750</v>
      </c>
      <c r="G69" s="3"/>
      <c r="H69" s="125" t="s">
        <v>331</v>
      </c>
      <c r="I69" s="135"/>
      <c r="J69" s="135"/>
      <c r="K69" s="136">
        <v>0.0498</v>
      </c>
      <c r="L69" s="137"/>
      <c r="M69" s="134">
        <f>K69*M66</f>
        <v>111697.167</v>
      </c>
      <c r="N69" s="3"/>
      <c r="O69" s="1"/>
      <c r="P69" s="3"/>
      <c r="Q69" s="3"/>
    </row>
    <row r="70">
      <c r="A70" s="2"/>
      <c r="B70" s="125" t="s">
        <v>332</v>
      </c>
      <c r="C70" s="126"/>
      <c r="D70" s="127"/>
      <c r="E70" s="128">
        <v>0.012</v>
      </c>
      <c r="F70" s="129">
        <f>E70*F66</f>
        <v>21780</v>
      </c>
      <c r="G70" s="3"/>
      <c r="H70" s="125" t="s">
        <v>332</v>
      </c>
      <c r="I70" s="135"/>
      <c r="J70" s="135"/>
      <c r="K70" s="136">
        <v>0.012</v>
      </c>
      <c r="L70" s="137"/>
      <c r="M70" s="134">
        <f>K70*M66</f>
        <v>26914.98</v>
      </c>
      <c r="N70" s="3"/>
      <c r="O70" s="1"/>
      <c r="P70" s="3"/>
      <c r="Q70" s="3"/>
    </row>
    <row r="71">
      <c r="A71" s="2"/>
      <c r="B71" s="125" t="s">
        <v>8</v>
      </c>
      <c r="C71" s="126"/>
      <c r="D71" s="127"/>
      <c r="E71" s="126"/>
      <c r="F71" s="138">
        <f>F66-F67-F68-F69-F70</f>
        <v>1629870</v>
      </c>
      <c r="G71" s="3"/>
      <c r="H71" s="125" t="s">
        <v>8</v>
      </c>
      <c r="I71" s="135"/>
      <c r="J71" s="135"/>
      <c r="K71" s="139"/>
      <c r="L71" s="126"/>
      <c r="M71" s="134">
        <f>M66-M67-M68-M69-M70</f>
        <v>2028492.326</v>
      </c>
      <c r="N71" s="3"/>
      <c r="O71" s="1"/>
      <c r="P71" s="3"/>
      <c r="Q71" s="3"/>
    </row>
    <row r="72">
      <c r="A72" s="2"/>
      <c r="B72" s="140"/>
      <c r="C72" s="141"/>
      <c r="D72" s="142"/>
      <c r="E72" s="141"/>
      <c r="F72" s="143"/>
      <c r="G72" s="3"/>
      <c r="H72" s="144"/>
      <c r="K72" s="145"/>
      <c r="L72" s="141"/>
      <c r="M72" s="143"/>
      <c r="N72" s="3"/>
      <c r="O72" s="3"/>
      <c r="P72" s="1"/>
      <c r="Q72" s="3"/>
    </row>
    <row r="73">
      <c r="A73" s="2"/>
      <c r="B73" s="146" t="s">
        <v>333</v>
      </c>
      <c r="C73" s="147"/>
      <c r="D73" s="148"/>
      <c r="E73" s="147"/>
      <c r="F73" s="149">
        <f>F71/3</f>
        <v>543290</v>
      </c>
      <c r="G73" s="3"/>
      <c r="H73" s="150" t="s">
        <v>334</v>
      </c>
      <c r="I73" s="151"/>
      <c r="J73" s="151"/>
      <c r="K73" s="151"/>
      <c r="L73" s="151"/>
      <c r="M73" s="149">
        <f>M71-M74</f>
        <v>1485202.326</v>
      </c>
      <c r="N73" s="3"/>
      <c r="O73" s="3"/>
      <c r="P73" s="3"/>
      <c r="Q73" s="3"/>
    </row>
    <row r="74">
      <c r="A74" s="2"/>
      <c r="B74" s="1"/>
      <c r="C74" s="3"/>
      <c r="D74" s="46"/>
      <c r="E74" s="3"/>
      <c r="F74" s="3"/>
      <c r="G74" s="3"/>
      <c r="H74" s="150" t="s">
        <v>0</v>
      </c>
      <c r="I74" s="151"/>
      <c r="J74" s="151"/>
      <c r="K74" s="151"/>
      <c r="L74" s="151"/>
      <c r="M74" s="149">
        <f>F73</f>
        <v>543290</v>
      </c>
      <c r="N74" s="3"/>
      <c r="O74" s="1"/>
      <c r="P74" s="3"/>
      <c r="Q74" s="3"/>
    </row>
    <row r="75">
      <c r="A75" s="2"/>
      <c r="B75" s="1"/>
      <c r="C75" s="3"/>
      <c r="D75" s="46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</row>
    <row r="76">
      <c r="A76" s="2"/>
      <c r="B76" s="1"/>
      <c r="C76" s="3"/>
      <c r="D76" s="46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</row>
    <row r="77">
      <c r="A77" s="2"/>
      <c r="B77" s="1"/>
      <c r="C77" s="3"/>
      <c r="D77" s="46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</row>
    <row r="78">
      <c r="A78" s="2"/>
      <c r="B78" s="1"/>
      <c r="C78" s="3"/>
      <c r="D78" s="46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</row>
    <row r="79">
      <c r="A79" s="2"/>
      <c r="B79" s="9"/>
      <c r="C79" s="9"/>
      <c r="D79" s="9"/>
      <c r="E79" s="9"/>
      <c r="F79" s="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1"/>
      <c r="C80" s="3"/>
      <c r="D80" s="2"/>
      <c r="E80" s="3"/>
      <c r="F80" s="3"/>
      <c r="G80" s="3"/>
      <c r="N80" s="2"/>
      <c r="O80" s="2"/>
      <c r="P80" s="2"/>
      <c r="Q80" s="2"/>
    </row>
    <row r="81">
      <c r="A81" s="2"/>
      <c r="B81" s="1"/>
      <c r="C81" s="3"/>
      <c r="D81" s="2"/>
      <c r="E81" s="3"/>
      <c r="F81" s="3"/>
      <c r="G81" s="3"/>
      <c r="N81" s="2"/>
      <c r="O81" s="2"/>
      <c r="P81" s="2"/>
      <c r="Q81" s="2"/>
    </row>
    <row r="82">
      <c r="A82" s="2"/>
      <c r="B82" s="1"/>
      <c r="C82" s="3"/>
      <c r="D82" s="2"/>
      <c r="E82" s="3"/>
      <c r="F82" s="3"/>
      <c r="G82" s="3"/>
      <c r="N82" s="2"/>
      <c r="O82" s="2"/>
      <c r="P82" s="2"/>
      <c r="Q82" s="2"/>
    </row>
    <row r="83">
      <c r="A83" s="2"/>
      <c r="B83" s="1"/>
      <c r="C83" s="3"/>
      <c r="D83" s="2"/>
      <c r="E83" s="3"/>
      <c r="F83" s="3"/>
      <c r="G83" s="3"/>
      <c r="N83" s="2"/>
      <c r="O83" s="2"/>
      <c r="P83" s="2"/>
      <c r="Q83" s="2"/>
    </row>
    <row r="84">
      <c r="A84" s="2"/>
      <c r="B84" s="1"/>
      <c r="C84" s="3"/>
      <c r="D84" s="2"/>
      <c r="E84" s="3"/>
      <c r="F84" s="3"/>
      <c r="G84" s="3"/>
      <c r="N84" s="2"/>
      <c r="O84" s="2"/>
      <c r="P84" s="2"/>
      <c r="Q84" s="2"/>
    </row>
    <row r="85">
      <c r="A85" s="2"/>
      <c r="B85" s="9"/>
      <c r="C85" s="9"/>
      <c r="D85" s="9"/>
      <c r="E85" s="9"/>
      <c r="F85" s="9"/>
      <c r="G85" s="3"/>
      <c r="N85" s="2"/>
      <c r="O85" s="2"/>
      <c r="P85" s="2"/>
      <c r="Q85" s="2"/>
    </row>
    <row r="86">
      <c r="A86" s="2"/>
      <c r="B86" s="1"/>
      <c r="C86" s="3"/>
      <c r="D86" s="2"/>
      <c r="E86" s="3"/>
      <c r="F86" s="3"/>
      <c r="G86" s="3"/>
      <c r="N86" s="2"/>
      <c r="O86" s="2"/>
      <c r="P86" s="2"/>
      <c r="Q86" s="2"/>
    </row>
    <row r="87">
      <c r="A87" s="2"/>
      <c r="B87" s="1"/>
      <c r="C87" s="3"/>
      <c r="D87" s="2"/>
      <c r="E87" s="3"/>
      <c r="F87" s="3"/>
      <c r="G87" s="3"/>
      <c r="N87" s="2"/>
      <c r="O87" s="2"/>
      <c r="P87" s="2"/>
      <c r="Q87" s="2"/>
    </row>
    <row r="88">
      <c r="A88" s="2"/>
      <c r="B88" s="1"/>
      <c r="C88" s="3"/>
      <c r="D88" s="2"/>
      <c r="E88" s="3"/>
      <c r="F88" s="3"/>
      <c r="G88" s="3"/>
      <c r="H88" s="3"/>
      <c r="I88" s="3"/>
      <c r="J88" s="2"/>
      <c r="K88" s="2"/>
      <c r="L88" s="2"/>
      <c r="M88" s="2"/>
      <c r="N88" s="2"/>
      <c r="O88" s="2"/>
      <c r="P88" s="2"/>
      <c r="Q88" s="2"/>
    </row>
    <row r="107">
      <c r="L107" s="78"/>
      <c r="M107" s="10"/>
      <c r="N107" s="11"/>
      <c r="O107" s="15"/>
    </row>
    <row r="108">
      <c r="L108" s="78"/>
      <c r="M108" s="10"/>
      <c r="N108" s="11"/>
      <c r="O108" s="15"/>
    </row>
    <row r="109">
      <c r="L109" s="78"/>
      <c r="M109" s="10"/>
      <c r="N109" s="11"/>
      <c r="O109" s="15"/>
    </row>
    <row r="110">
      <c r="L110" s="13"/>
      <c r="M110" s="12"/>
      <c r="N110" s="14"/>
      <c r="O110" s="152"/>
      <c r="P110" s="15"/>
    </row>
    <row r="111">
      <c r="L111" s="13"/>
      <c r="M111" s="12"/>
      <c r="N111" s="14"/>
      <c r="O111" s="16"/>
      <c r="P111" s="15"/>
    </row>
    <row r="112">
      <c r="L112" s="13"/>
      <c r="M112" s="12"/>
      <c r="N112" s="14"/>
      <c r="O112" s="16"/>
      <c r="P112" s="15"/>
    </row>
    <row r="113">
      <c r="M113" s="78"/>
      <c r="N113" s="10"/>
      <c r="O113" s="11"/>
      <c r="P113" s="15"/>
    </row>
    <row r="115">
      <c r="L115" s="78"/>
      <c r="M115" s="10"/>
      <c r="N115" s="11"/>
      <c r="O115" s="15"/>
    </row>
    <row r="116">
      <c r="L116" s="78"/>
      <c r="M116" s="10"/>
      <c r="N116" s="11"/>
      <c r="O116" s="15"/>
    </row>
    <row r="117">
      <c r="L117" s="78"/>
      <c r="M117" s="10"/>
      <c r="N117" s="11"/>
      <c r="O117" s="15"/>
    </row>
    <row r="118">
      <c r="L118" s="78"/>
      <c r="M118" s="10"/>
      <c r="N118" s="11"/>
      <c r="O118" s="15"/>
    </row>
    <row r="119">
      <c r="L119" s="78"/>
      <c r="M119" s="10"/>
      <c r="N119" s="11"/>
      <c r="O119" s="15"/>
      <c r="P119" s="15"/>
      <c r="Q119" s="15"/>
    </row>
    <row r="120">
      <c r="L120" s="78"/>
      <c r="M120" s="11"/>
      <c r="N120" s="11"/>
      <c r="O120" s="15"/>
      <c r="P120" s="15"/>
      <c r="Q120" s="15"/>
    </row>
  </sheetData>
  <mergeCells count="38">
    <mergeCell ref="B2:F2"/>
    <mergeCell ref="H2:M2"/>
    <mergeCell ref="B4:F4"/>
    <mergeCell ref="H4:M4"/>
    <mergeCell ref="O4:Q4"/>
    <mergeCell ref="O11:Q11"/>
    <mergeCell ref="B14:F14"/>
    <mergeCell ref="O14:Q14"/>
    <mergeCell ref="H15:M15"/>
    <mergeCell ref="B17:F17"/>
    <mergeCell ref="O17:Q17"/>
    <mergeCell ref="H19:M19"/>
    <mergeCell ref="B25:F25"/>
    <mergeCell ref="B30:F30"/>
    <mergeCell ref="H28:M28"/>
    <mergeCell ref="H33:M33"/>
    <mergeCell ref="B34:F34"/>
    <mergeCell ref="H37:M37"/>
    <mergeCell ref="B39:F39"/>
    <mergeCell ref="B43:F43"/>
    <mergeCell ref="H43:M43"/>
    <mergeCell ref="B46:F46"/>
    <mergeCell ref="H47:M47"/>
    <mergeCell ref="B50:F50"/>
    <mergeCell ref="H50:M50"/>
    <mergeCell ref="B54:F54"/>
    <mergeCell ref="H55:M55"/>
    <mergeCell ref="H59:M59"/>
    <mergeCell ref="H72:J72"/>
    <mergeCell ref="H73:L73"/>
    <mergeCell ref="H74:L74"/>
    <mergeCell ref="H65:M65"/>
    <mergeCell ref="H66:L66"/>
    <mergeCell ref="H67:J67"/>
    <mergeCell ref="H68:J68"/>
    <mergeCell ref="H69:J69"/>
    <mergeCell ref="H70:J70"/>
    <mergeCell ref="H71:J71"/>
  </mergeCells>
  <printOptions horizontalCentered="1"/>
  <pageMargins bottom="0.59251968503937" footer="0.0" header="0.0" left="0.25" right="0.25" top="0.59251968503937"/>
  <pageSetup paperSize="9" scale="95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88"/>
    <col customWidth="1" min="3" max="3" width="15.75"/>
    <col customWidth="1" min="4" max="5" width="15.63"/>
    <col customWidth="1" min="6" max="6" width="15.88"/>
    <col customWidth="1" min="7" max="7" width="4.63"/>
    <col customWidth="1" min="8" max="8" width="6.13"/>
    <col customWidth="1" min="9" max="9" width="14.38"/>
    <col customWidth="1" min="10" max="10" width="16.25"/>
    <col customWidth="1" min="11" max="11" width="22.25"/>
    <col customWidth="1" min="12" max="12" width="21.38"/>
  </cols>
  <sheetData>
    <row r="1">
      <c r="F1" s="28" t="s">
        <v>2</v>
      </c>
    </row>
    <row r="2" ht="15.75" customHeight="1">
      <c r="A2" s="153" t="s">
        <v>335</v>
      </c>
      <c r="B2" s="153" t="s">
        <v>336</v>
      </c>
      <c r="C2" s="153" t="s">
        <v>337</v>
      </c>
      <c r="D2" s="153" t="s">
        <v>338</v>
      </c>
      <c r="E2" s="153" t="s">
        <v>339</v>
      </c>
      <c r="F2" s="153" t="s">
        <v>340</v>
      </c>
      <c r="I2" s="154" t="s">
        <v>341</v>
      </c>
    </row>
    <row r="3" ht="15.75" customHeight="1">
      <c r="A3" s="155" t="s">
        <v>342</v>
      </c>
      <c r="B3" s="156">
        <v>0.0</v>
      </c>
      <c r="C3" s="157"/>
      <c r="D3" s="157"/>
      <c r="F3" s="157">
        <f t="shared" ref="F3:F33" si="1">B3+C3-D3-E3</f>
        <v>0</v>
      </c>
      <c r="G3" s="58"/>
      <c r="H3" s="158"/>
      <c r="I3" s="159">
        <f t="shared" ref="I3:I17" si="2">F3/$F$36</f>
        <v>0</v>
      </c>
      <c r="K3" s="14"/>
      <c r="L3" s="160"/>
      <c r="N3" s="161"/>
    </row>
    <row r="4" ht="15.75" customHeight="1">
      <c r="A4" s="155" t="s">
        <v>343</v>
      </c>
      <c r="B4" s="156">
        <v>2523508.65</v>
      </c>
      <c r="C4" s="162">
        <f>'05-01-2026 '!E130+'12-01-2026 '!E122+'14-01-2026 '!E60</f>
        <v>653200</v>
      </c>
      <c r="D4" s="157">
        <f>900000+800000</f>
        <v>1700000</v>
      </c>
      <c r="E4" s="157">
        <v>0.0</v>
      </c>
      <c r="F4" s="157">
        <f t="shared" si="1"/>
        <v>1476708.65</v>
      </c>
      <c r="G4" s="58"/>
      <c r="H4" s="158"/>
      <c r="I4" s="159">
        <f t="shared" si="2"/>
        <v>0.06324149532</v>
      </c>
      <c r="K4" s="14"/>
      <c r="L4" s="160"/>
      <c r="N4" s="163"/>
    </row>
    <row r="5" ht="15.75" customHeight="1">
      <c r="A5" s="155" t="s">
        <v>229</v>
      </c>
      <c r="B5" s="156">
        <v>275984.75</v>
      </c>
      <c r="C5" s="157">
        <f>'13-01-2026 '!F69+'22-01-2026 '!F63</f>
        <v>149501.2</v>
      </c>
      <c r="D5" s="156">
        <f>172966.87+98636.25</f>
        <v>271603.12</v>
      </c>
      <c r="E5" s="157">
        <v>4370.63</v>
      </c>
      <c r="F5" s="157">
        <f t="shared" si="1"/>
        <v>149512.2</v>
      </c>
      <c r="G5" s="58"/>
      <c r="H5" s="158"/>
      <c r="I5" s="159">
        <f t="shared" si="2"/>
        <v>0.006403006509</v>
      </c>
      <c r="J5" s="160"/>
      <c r="K5" s="14"/>
      <c r="L5" s="160"/>
      <c r="M5" s="28"/>
      <c r="N5" s="163"/>
    </row>
    <row r="6" ht="15.75" customHeight="1">
      <c r="A6" s="155" t="s">
        <v>47</v>
      </c>
      <c r="B6" s="156">
        <v>1600000.0</v>
      </c>
      <c r="C6" s="157">
        <f>'05-01-2026 '!E58+'09-01-2026 '!E28+'12-01-2026 '!E136+'13-01-2026 '!E84+'16-01-2026 '!E29+'20-01-2026 '!E54+'23-01-2026 '!E13+'26-01-2026 '!E20+'27-01-2026 '!E8+'30-01-2026 '!E19</f>
        <v>2049180</v>
      </c>
      <c r="D6" s="157">
        <f>1575520.73+609023.76</f>
        <v>2184544.49</v>
      </c>
      <c r="E6" s="157">
        <f>13836.74+10642.53+11226.24</f>
        <v>35705.51</v>
      </c>
      <c r="F6" s="157">
        <f t="shared" si="1"/>
        <v>1428930</v>
      </c>
      <c r="G6" s="58"/>
      <c r="H6" s="158"/>
      <c r="I6" s="159">
        <f t="shared" si="2"/>
        <v>0.06119532781</v>
      </c>
      <c r="K6" s="14"/>
      <c r="L6" s="160"/>
      <c r="M6" s="164"/>
      <c r="N6" s="165"/>
    </row>
    <row r="7" ht="15.75" customHeight="1">
      <c r="A7" s="155" t="s">
        <v>344</v>
      </c>
      <c r="B7" s="156">
        <v>73270.0</v>
      </c>
      <c r="C7" s="157"/>
      <c r="D7" s="157">
        <v>70300.0</v>
      </c>
      <c r="E7" s="157">
        <v>0.0</v>
      </c>
      <c r="F7" s="157">
        <f t="shared" si="1"/>
        <v>2970</v>
      </c>
      <c r="G7" s="58"/>
      <c r="H7" s="158"/>
      <c r="I7" s="159">
        <f t="shared" si="2"/>
        <v>0.000127193161</v>
      </c>
      <c r="L7" s="160"/>
      <c r="M7" s="166"/>
      <c r="N7" s="163"/>
    </row>
    <row r="8" ht="15.75" customHeight="1">
      <c r="A8" s="155" t="s">
        <v>345</v>
      </c>
      <c r="B8" s="156">
        <v>765750.0</v>
      </c>
      <c r="C8" s="157">
        <f>'05-01-2026 '!E198+'08-01-2026 '!E47+'12-01-2026 '!E67+'19-01-2026 '!E89+'20-01-2026 '!E34+'26-01-2026 '!E105+'27-01-2026 '!E46</f>
        <v>474930</v>
      </c>
      <c r="D8" s="157">
        <f>638910+12000</f>
        <v>650910</v>
      </c>
      <c r="E8" s="157">
        <v>0.0</v>
      </c>
      <c r="F8" s="157">
        <f t="shared" si="1"/>
        <v>589770</v>
      </c>
      <c r="G8" s="58"/>
      <c r="H8" s="158"/>
      <c r="I8" s="159">
        <f t="shared" si="2"/>
        <v>0.02525747831</v>
      </c>
      <c r="K8" s="166"/>
      <c r="L8" s="160"/>
    </row>
    <row r="9" ht="15.75" customHeight="1">
      <c r="A9" s="155" t="s">
        <v>346</v>
      </c>
      <c r="B9" s="156">
        <v>73950.0</v>
      </c>
      <c r="C9" s="157"/>
      <c r="D9" s="167"/>
      <c r="E9" s="157">
        <v>0.0</v>
      </c>
      <c r="F9" s="157">
        <f t="shared" si="1"/>
        <v>73950</v>
      </c>
      <c r="G9" s="58"/>
      <c r="H9" s="158"/>
      <c r="I9" s="159">
        <f t="shared" si="2"/>
        <v>0.003166981232</v>
      </c>
      <c r="L9" s="160"/>
      <c r="M9" s="168"/>
      <c r="N9" s="168"/>
    </row>
    <row r="10" ht="15.75" customHeight="1">
      <c r="A10" s="155" t="s">
        <v>347</v>
      </c>
      <c r="B10" s="156">
        <v>0.0</v>
      </c>
      <c r="C10" s="157"/>
      <c r="D10" s="157"/>
      <c r="E10" s="157">
        <v>0.0</v>
      </c>
      <c r="F10" s="157">
        <f t="shared" si="1"/>
        <v>0</v>
      </c>
      <c r="G10" s="58"/>
      <c r="H10" s="158"/>
      <c r="I10" s="159">
        <f t="shared" si="2"/>
        <v>0</v>
      </c>
    </row>
    <row r="11" ht="15.75" customHeight="1">
      <c r="A11" s="155" t="s">
        <v>348</v>
      </c>
      <c r="B11" s="156">
        <v>19040.0</v>
      </c>
      <c r="C11" s="157"/>
      <c r="D11" s="157"/>
      <c r="E11" s="157">
        <v>0.0</v>
      </c>
      <c r="F11" s="157">
        <f t="shared" si="1"/>
        <v>19040</v>
      </c>
      <c r="G11" s="58"/>
      <c r="H11" s="158"/>
      <c r="I11" s="159">
        <f t="shared" si="2"/>
        <v>0.0008154066619</v>
      </c>
      <c r="K11" s="166"/>
      <c r="L11" s="160"/>
    </row>
    <row r="12" ht="15.75" customHeight="1">
      <c r="A12" s="155" t="s">
        <v>349</v>
      </c>
      <c r="B12" s="156">
        <v>0.0</v>
      </c>
      <c r="C12" s="157"/>
      <c r="D12" s="157"/>
      <c r="E12" s="157">
        <v>0.0</v>
      </c>
      <c r="F12" s="157">
        <f t="shared" si="1"/>
        <v>0</v>
      </c>
      <c r="G12" s="58"/>
      <c r="H12" s="158"/>
      <c r="I12" s="159">
        <f t="shared" si="2"/>
        <v>0</v>
      </c>
      <c r="K12" s="166"/>
      <c r="L12" s="160"/>
      <c r="M12" s="58"/>
    </row>
    <row r="13" ht="15.75" customHeight="1">
      <c r="A13" s="155" t="s">
        <v>350</v>
      </c>
      <c r="B13" s="156">
        <v>13229.37</v>
      </c>
      <c r="C13" s="157"/>
      <c r="D13" s="157"/>
      <c r="E13" s="157">
        <v>0.0</v>
      </c>
      <c r="F13" s="157">
        <f t="shared" si="1"/>
        <v>13229.37</v>
      </c>
      <c r="G13" s="58"/>
      <c r="H13" s="158"/>
      <c r="I13" s="159">
        <f t="shared" si="2"/>
        <v>0.0005665607369</v>
      </c>
      <c r="J13" s="169"/>
    </row>
    <row r="14" ht="15.75" customHeight="1">
      <c r="A14" s="155" t="s">
        <v>83</v>
      </c>
      <c r="B14" s="156">
        <v>1178290.0</v>
      </c>
      <c r="C14" s="157">
        <f>'05-01-2026 '!E179+'09-01-2026 '!E126+'12-01-2026 '!E107+'16-01-2026 '!E116+'19-01-2026 '!E74+'23-01-2026 '!E81+'26-01-2026 '!E124+'30-01-2026 '!E101</f>
        <v>1132150</v>
      </c>
      <c r="D14" s="157">
        <f>432300+371000+241000</f>
        <v>1044300</v>
      </c>
      <c r="E14" s="157">
        <v>0.0</v>
      </c>
      <c r="F14" s="157">
        <f t="shared" si="1"/>
        <v>1266140</v>
      </c>
      <c r="G14" s="58"/>
      <c r="H14" s="158"/>
      <c r="I14" s="159">
        <f t="shared" si="2"/>
        <v>0.0542236865</v>
      </c>
    </row>
    <row r="15" ht="15.75" customHeight="1">
      <c r="A15" s="155" t="s">
        <v>57</v>
      </c>
      <c r="B15" s="156">
        <v>1927275.0</v>
      </c>
      <c r="C15" s="157">
        <f>'05-01-2026 '!E104+'09-01-2026 '!E58+'12-01-2026 '!E44+'16-01-2026 '!E71+'19-01-2026 '!E42+'23-01-2026 '!E36+'26-01-2026 '!E53+'30-01-2026 '!E42</f>
        <v>2223115</v>
      </c>
      <c r="D15" s="157">
        <f>375000+313000+442700</f>
        <v>1130700</v>
      </c>
      <c r="E15" s="157">
        <v>0.0</v>
      </c>
      <c r="F15" s="157">
        <f t="shared" si="1"/>
        <v>3019690</v>
      </c>
      <c r="G15" s="58"/>
      <c r="H15" s="158"/>
      <c r="I15" s="159">
        <f t="shared" si="2"/>
        <v>0.129321184</v>
      </c>
    </row>
    <row r="16" ht="15.75" customHeight="1">
      <c r="A16" s="155" t="s">
        <v>351</v>
      </c>
      <c r="B16" s="157">
        <v>9720684.5</v>
      </c>
      <c r="C16" s="157">
        <f>'05-01-2026 '!F40+'06-01-2026 '!F18+'07-01-2026 '!F25+'08-01-2026 '!F18+'09-01-2026 '!F14+'12-01-2026 '!F25+'13-01-2026 '!F21+'14-01-2026 '!F12+'15-01-2026 '!F19+'16-01-2026 '!F16+'19-01-2026 '!F21+'22-01-2026 '!F11+'28-01-2026 '!F15</f>
        <v>10894302.2</v>
      </c>
      <c r="D16" s="157">
        <f>2136995+1101275+968817.5+5088457.5</f>
        <v>9295545</v>
      </c>
      <c r="E16" s="157">
        <f>184610+100425+88680+461145</f>
        <v>834860</v>
      </c>
      <c r="F16" s="157">
        <f t="shared" si="1"/>
        <v>10484581.7</v>
      </c>
      <c r="G16" s="58"/>
      <c r="H16" s="158"/>
      <c r="I16" s="159">
        <f t="shared" si="2"/>
        <v>0.4490124877</v>
      </c>
      <c r="J16" s="169"/>
    </row>
    <row r="17" ht="15.75" customHeight="1">
      <c r="A17" s="155" t="s">
        <v>352</v>
      </c>
      <c r="B17" s="156">
        <v>0.0</v>
      </c>
      <c r="C17" s="157"/>
      <c r="D17" s="157"/>
      <c r="E17" s="157">
        <v>0.0</v>
      </c>
      <c r="F17" s="157">
        <f t="shared" si="1"/>
        <v>0</v>
      </c>
      <c r="G17" s="58"/>
      <c r="H17" s="158"/>
      <c r="I17" s="159">
        <f t="shared" si="2"/>
        <v>0</v>
      </c>
    </row>
    <row r="18" ht="15.75" customHeight="1">
      <c r="A18" s="155" t="s">
        <v>353</v>
      </c>
      <c r="B18" s="156">
        <v>0.0</v>
      </c>
      <c r="C18" s="157"/>
      <c r="D18" s="157"/>
      <c r="E18" s="157">
        <v>0.0</v>
      </c>
      <c r="F18" s="157">
        <f t="shared" si="1"/>
        <v>0</v>
      </c>
      <c r="G18" s="58"/>
      <c r="H18" s="158"/>
      <c r="I18" s="159">
        <f>F18/F36</f>
        <v>0</v>
      </c>
      <c r="J18" s="169"/>
    </row>
    <row r="19" ht="16.5" customHeight="1">
      <c r="A19" s="155" t="s">
        <v>298</v>
      </c>
      <c r="B19" s="156">
        <v>1503780.0</v>
      </c>
      <c r="C19" s="157">
        <f>'07-01-2026 '!E66+'14-01-2026 '!E50+'22-01-2026 '!E48+'28-01-2026 '!E50</f>
        <v>1250110</v>
      </c>
      <c r="D19" s="156">
        <f>325830+224500+299900+332950+320600+319400+320450+292750</f>
        <v>2436380</v>
      </c>
      <c r="E19" s="156">
        <v>0.0</v>
      </c>
      <c r="F19" s="157">
        <f t="shared" si="1"/>
        <v>317510</v>
      </c>
      <c r="G19" s="58"/>
      <c r="H19" s="158"/>
      <c r="I19" s="159">
        <f>F19/F36</f>
        <v>0.01359767696</v>
      </c>
      <c r="N19" s="170"/>
    </row>
    <row r="20" ht="16.5" customHeight="1">
      <c r="A20" s="155" t="s">
        <v>354</v>
      </c>
      <c r="B20" s="156">
        <v>0.0</v>
      </c>
      <c r="C20" s="157"/>
      <c r="D20" s="156"/>
      <c r="E20" s="156">
        <v>0.0</v>
      </c>
      <c r="F20" s="157">
        <f t="shared" si="1"/>
        <v>0</v>
      </c>
      <c r="G20" s="58"/>
      <c r="H20" s="158"/>
      <c r="I20" s="159">
        <f>F20/$F$36</f>
        <v>0</v>
      </c>
    </row>
    <row r="21" ht="16.5" customHeight="1">
      <c r="A21" s="155" t="s">
        <v>80</v>
      </c>
      <c r="B21" s="156">
        <v>392625.0</v>
      </c>
      <c r="C21" s="157">
        <f>'05-01-2026 '!E153+'07-01-2026 '!E78+'08-01-2026 '!E35+'09-01-2026 '!E104+'12-01-2026 '!E84+'15-01-2026 '!E60+'16-01-2026 '!E95+'19-01-2026 '!E55+'20-01-2026 '!E64+'23-01-2026 '!E70+'27-01-2026 '!E61+'26-01-2026 '!E137+'30-01-2026 '!E122</f>
        <v>596905</v>
      </c>
      <c r="D21" s="156">
        <f>92525+18800+36550+42250+50550+51400+28050+50550+11810+214420</f>
        <v>596905</v>
      </c>
      <c r="E21" s="156">
        <v>0.0</v>
      </c>
      <c r="F21" s="157">
        <f t="shared" si="1"/>
        <v>392625</v>
      </c>
      <c r="G21" s="58"/>
      <c r="H21" s="158"/>
      <c r="I21" s="159">
        <f>F21/F36</f>
        <v>0.01681455045</v>
      </c>
    </row>
    <row r="22" ht="16.5" customHeight="1">
      <c r="A22" s="155" t="s">
        <v>355</v>
      </c>
      <c r="B22" s="156">
        <v>0.0</v>
      </c>
      <c r="C22" s="157"/>
      <c r="D22" s="156"/>
      <c r="E22" s="156">
        <v>0.0</v>
      </c>
      <c r="F22" s="157">
        <f t="shared" si="1"/>
        <v>0</v>
      </c>
      <c r="G22" s="58"/>
      <c r="H22" s="158"/>
      <c r="I22" s="159">
        <f>F22/F36</f>
        <v>0</v>
      </c>
    </row>
    <row r="23" ht="16.5" customHeight="1">
      <c r="A23" s="155" t="s">
        <v>183</v>
      </c>
      <c r="B23" s="156">
        <v>1249650.0</v>
      </c>
      <c r="C23" s="157">
        <f>'09-01-2026 '!E91+'15-01-2026 '!E41+'16-01-2026 '!E81+'20-01-2026 '!E81+'23-01-2026 '!E47+'26-01-2026 '!E80+'29-01-2026 '!E18</f>
        <v>1402585</v>
      </c>
      <c r="D23" s="156">
        <f>443900+508250+5000+647745</f>
        <v>1604895</v>
      </c>
      <c r="E23" s="156">
        <v>0.0</v>
      </c>
      <c r="F23" s="157">
        <f t="shared" si="1"/>
        <v>1047340</v>
      </c>
      <c r="G23" s="58"/>
      <c r="H23" s="158"/>
      <c r="I23" s="159">
        <f>F23/F36</f>
        <v>0.04485336204</v>
      </c>
    </row>
    <row r="24" ht="16.5" customHeight="1">
      <c r="A24" s="155" t="s">
        <v>356</v>
      </c>
      <c r="B24" s="156">
        <v>0.0</v>
      </c>
      <c r="C24" s="162"/>
      <c r="D24" s="156"/>
      <c r="E24" s="156">
        <v>0.0</v>
      </c>
      <c r="F24" s="157">
        <f t="shared" si="1"/>
        <v>0</v>
      </c>
      <c r="G24" s="58"/>
      <c r="H24" s="158"/>
      <c r="I24" s="159">
        <f t="shared" ref="I24:I34" si="3">F24/$F$36</f>
        <v>0</v>
      </c>
    </row>
    <row r="25" ht="16.5" customHeight="1">
      <c r="A25" s="155" t="s">
        <v>357</v>
      </c>
      <c r="B25" s="156">
        <v>0.0</v>
      </c>
      <c r="C25" s="157"/>
      <c r="D25" s="156"/>
      <c r="E25" s="156">
        <v>0.0</v>
      </c>
      <c r="F25" s="157">
        <f t="shared" si="1"/>
        <v>0</v>
      </c>
      <c r="G25" s="58"/>
      <c r="H25" s="158"/>
      <c r="I25" s="159">
        <f t="shared" si="3"/>
        <v>0</v>
      </c>
    </row>
    <row r="26" ht="16.5" customHeight="1">
      <c r="A26" s="155" t="s">
        <v>358</v>
      </c>
      <c r="B26" s="156">
        <v>226700.0</v>
      </c>
      <c r="C26" s="157">
        <f>'05-01-2026 '!E69</f>
        <v>94000</v>
      </c>
      <c r="D26" s="156">
        <f>153400+73300+94000</f>
        <v>320700</v>
      </c>
      <c r="E26" s="156">
        <v>0.0</v>
      </c>
      <c r="F26" s="157">
        <f t="shared" si="1"/>
        <v>0</v>
      </c>
      <c r="G26" s="58"/>
      <c r="H26" s="158"/>
      <c r="I26" s="159">
        <f t="shared" si="3"/>
        <v>0</v>
      </c>
    </row>
    <row r="27" ht="16.5" customHeight="1">
      <c r="A27" s="171" t="s">
        <v>199</v>
      </c>
      <c r="B27" s="156">
        <v>460550.0</v>
      </c>
      <c r="C27" s="157">
        <f>'06-01-2026 '!E41+'09-01-2026 '!E145+'13-01-2026 '!E50+'16-01-2026 '!E138+'20-01-2026 '!E20+'23-01-2026 '!E101+'27-01-2026 '!E37+'30-01-2026 '!E83</f>
        <v>1796850</v>
      </c>
      <c r="D27" s="156">
        <v>836400.0</v>
      </c>
      <c r="E27" s="156">
        <v>0.0</v>
      </c>
      <c r="F27" s="157">
        <f t="shared" si="1"/>
        <v>1421000</v>
      </c>
      <c r="G27" s="58"/>
      <c r="H27" s="158"/>
      <c r="I27" s="159">
        <f t="shared" si="3"/>
        <v>0.06085571778</v>
      </c>
    </row>
    <row r="28" ht="16.5" customHeight="1">
      <c r="A28" s="171" t="s">
        <v>311</v>
      </c>
      <c r="B28" s="156"/>
      <c r="C28" s="157">
        <f>'30-01-2026 '!E62</f>
        <v>1045000</v>
      </c>
      <c r="D28" s="156"/>
      <c r="E28" s="156"/>
      <c r="F28" s="157">
        <f t="shared" si="1"/>
        <v>1045000</v>
      </c>
      <c r="G28" s="58"/>
      <c r="H28" s="158"/>
      <c r="I28" s="159">
        <f t="shared" si="3"/>
        <v>0.04475314925</v>
      </c>
    </row>
    <row r="29" ht="16.5" customHeight="1">
      <c r="A29" s="171" t="s">
        <v>290</v>
      </c>
      <c r="B29" s="156">
        <v>0.0</v>
      </c>
      <c r="C29" s="157">
        <f>'27-01-2026 '!F22</f>
        <v>241774</v>
      </c>
      <c r="D29" s="156">
        <v>0.0</v>
      </c>
      <c r="E29" s="156">
        <v>0.0</v>
      </c>
      <c r="F29" s="157">
        <f t="shared" si="1"/>
        <v>241774</v>
      </c>
      <c r="G29" s="58"/>
      <c r="H29" s="158"/>
      <c r="I29" s="159">
        <f t="shared" si="3"/>
        <v>0.01035420852</v>
      </c>
    </row>
    <row r="30" ht="16.5" customHeight="1">
      <c r="A30" s="171" t="s">
        <v>359</v>
      </c>
      <c r="B30" s="156">
        <v>0.0</v>
      </c>
      <c r="C30" s="157">
        <f>'23-01-2026 '!F115+'29-01-2026 '!F63</f>
        <v>335616.125</v>
      </c>
      <c r="D30" s="156">
        <v>0.0</v>
      </c>
      <c r="E30" s="156">
        <v>0.0</v>
      </c>
      <c r="F30" s="157">
        <f t="shared" si="1"/>
        <v>335616.125</v>
      </c>
      <c r="G30" s="58"/>
      <c r="H30" s="158"/>
      <c r="I30" s="159">
        <f t="shared" si="3"/>
        <v>0.01437308951</v>
      </c>
    </row>
    <row r="31" ht="16.5" customHeight="1">
      <c r="A31" s="171" t="s">
        <v>308</v>
      </c>
      <c r="B31" s="156">
        <v>0.0</v>
      </c>
      <c r="C31" s="157">
        <f>'29-01-2026 '!E91</f>
        <v>16000</v>
      </c>
      <c r="D31" s="156">
        <v>16000.0</v>
      </c>
      <c r="E31" s="156"/>
      <c r="F31" s="157">
        <f t="shared" si="1"/>
        <v>0</v>
      </c>
      <c r="G31" s="58"/>
      <c r="H31" s="158"/>
      <c r="I31" s="159">
        <f t="shared" si="3"/>
        <v>0</v>
      </c>
    </row>
    <row r="32" ht="16.5" customHeight="1">
      <c r="A32" s="171" t="s">
        <v>360</v>
      </c>
      <c r="B32" s="156">
        <v>0.0</v>
      </c>
      <c r="C32" s="157">
        <f>'23-01-2026 '!E137+'29-01-2026 '!E81</f>
        <v>143850</v>
      </c>
      <c r="D32" s="156">
        <f>88450+55400</f>
        <v>143850</v>
      </c>
      <c r="E32" s="156">
        <v>0.0</v>
      </c>
      <c r="F32" s="157">
        <f t="shared" si="1"/>
        <v>0</v>
      </c>
      <c r="G32" s="58"/>
      <c r="H32" s="158"/>
      <c r="I32" s="159">
        <f t="shared" si="3"/>
        <v>0</v>
      </c>
    </row>
    <row r="33" ht="16.5" customHeight="1">
      <c r="A33" s="171" t="s">
        <v>361</v>
      </c>
      <c r="B33" s="156">
        <v>0.0</v>
      </c>
      <c r="C33" s="162">
        <f>'30-01-2026 '!E137</f>
        <v>24925</v>
      </c>
      <c r="D33" s="156">
        <v>0.0</v>
      </c>
      <c r="E33" s="156">
        <v>0.0</v>
      </c>
      <c r="F33" s="157">
        <f t="shared" si="1"/>
        <v>24925</v>
      </c>
      <c r="G33" s="58"/>
      <c r="H33" s="158"/>
      <c r="I33" s="159">
        <f t="shared" si="3"/>
        <v>0.001067437555</v>
      </c>
    </row>
    <row r="34" ht="16.5" customHeight="1">
      <c r="A34" s="171" t="s">
        <v>301</v>
      </c>
      <c r="B34" s="156">
        <v>0.0</v>
      </c>
      <c r="C34" s="157">
        <f>'16-01-2026 '!F156+'29-01-2026 '!F38</f>
        <v>389236.25</v>
      </c>
      <c r="D34" s="156">
        <f>C34</f>
        <v>389236.25</v>
      </c>
      <c r="E34" s="156">
        <v>0.0</v>
      </c>
      <c r="F34" s="157">
        <f>B34+C34-D34</f>
        <v>0</v>
      </c>
      <c r="G34" s="58"/>
      <c r="H34" s="158"/>
      <c r="I34" s="159">
        <f t="shared" si="3"/>
        <v>0</v>
      </c>
    </row>
    <row r="35" ht="18.0" customHeight="1">
      <c r="C35" s="160"/>
      <c r="D35" s="160"/>
      <c r="E35" s="160"/>
      <c r="F35" s="160">
        <v>0.0</v>
      </c>
    </row>
    <row r="36" ht="15.75" customHeight="1">
      <c r="B36" s="160">
        <f t="shared" ref="B36:D36" si="4">SUM(B3:B34)</f>
        <v>22004287.27</v>
      </c>
      <c r="C36" s="160">
        <f t="shared" si="4"/>
        <v>24913229.78</v>
      </c>
      <c r="D36" s="160">
        <f t="shared" si="4"/>
        <v>22692268.86</v>
      </c>
      <c r="E36" s="160"/>
      <c r="F36" s="172">
        <f>SUM(F3:F35)</f>
        <v>23350312.05</v>
      </c>
      <c r="H36" s="160"/>
      <c r="I36" s="173">
        <f>SUM(I3:I34)</f>
        <v>1</v>
      </c>
    </row>
    <row r="37" ht="15.0" customHeight="1">
      <c r="C37" s="164"/>
      <c r="G37" s="168"/>
    </row>
    <row r="38" ht="15.75" customHeight="1">
      <c r="B38" s="14" t="s">
        <v>362</v>
      </c>
      <c r="C38" s="160">
        <f>'05-01-2026 '!B204+'06-01-2026 '!B47+'07-01-2026 '!B82+'08-01-2026 '!B51+'09-01-2026 '!B151+'12-01-2026 '!B139+'13-01-2026 '!B88+'14-01-2026 '!B64+'15-01-2026 '!B64+'16-01-2026 '!B160+'19-01-2026 '!B92+'20-01-2026 '!B84+'22-01-2026 '!B68+'23-01-2026 '!B143+'26-01-2026 '!B141+'27-01-2026 '!B64+'28-01-2026 '!B54+'29-01-2026 '!B97+'30-01-2026 '!B142</f>
        <v>24913229.78</v>
      </c>
      <c r="D38" s="160"/>
      <c r="E38" s="160"/>
      <c r="F38" s="160" t="s">
        <v>2</v>
      </c>
    </row>
    <row r="39" ht="15.75" customHeight="1">
      <c r="C39" s="160"/>
      <c r="F39" s="168"/>
    </row>
    <row r="40" ht="15.75" customHeight="1">
      <c r="B40" s="14" t="s">
        <v>363</v>
      </c>
      <c r="C40" s="160">
        <f>'05-01-2026 '!B206+'06-01-2026 '!B49+'07-01-2026 '!B84+'08-01-2026 '!B53+'09-01-2026 '!B153+'12-01-2026 '!B141+'13-01-2026 '!B90+'14-01-2026 '!B66+'15-01-2026 '!B66+'16-01-2026 '!B162+'19-01-2026 '!B94+'20-01-2026 '!B86+'22-01-2026 '!B70+'23-01-2026 '!B145+'26-01-2026 '!B143+'27-01-2026 '!B66+'28-01-2026 '!B56+'29-01-2026 '!B99+'30-01-2026 '!B144</f>
        <v>8924138.391</v>
      </c>
      <c r="D40" s="174">
        <f>C40/C38</f>
        <v>0.35820881</v>
      </c>
      <c r="E40" s="174"/>
      <c r="F40" s="160"/>
      <c r="G40" s="14"/>
    </row>
    <row r="41" ht="15.75" customHeight="1">
      <c r="C41" s="160"/>
      <c r="G41" s="160"/>
    </row>
    <row r="42" ht="15.75" customHeight="1">
      <c r="D42" s="175" t="s">
        <v>364</v>
      </c>
    </row>
    <row r="43" ht="15.75" customHeight="1">
      <c r="A43" s="14" t="s">
        <v>365</v>
      </c>
      <c r="B43" s="160">
        <f>'05-01-2026 '!B204+'06-01-2026 '!B47+'07-01-2026 '!B82+'08-01-2026 '!B51+'09-01-2026 '!B151</f>
        <v>8946212.5</v>
      </c>
      <c r="D43" s="19">
        <f>'05-01-2026 '!C210+'06-01-2026 '!C53+'07-01-2026 '!C88+'08-01-2026 '!C57+'09-01-2026 '!C157+26</f>
        <v>238</v>
      </c>
      <c r="E43" s="176"/>
      <c r="F43" s="160"/>
    </row>
    <row r="44" ht="15.75" customHeight="1">
      <c r="A44" s="14" t="s">
        <v>366</v>
      </c>
      <c r="B44" s="160">
        <f>'12-01-2026 '!B139+'13-01-2026 '!B88+'14-01-2026 '!B64+'15-01-2026 '!B64+'16-01-2026 '!B160</f>
        <v>7453574.15</v>
      </c>
      <c r="D44" s="163">
        <f>'12-01-2026 '!C145+'13-01-2026 '!C94+'14-01-2026 '!C70+'15-01-2026 '!C70+'16-01-2026 '!C166</f>
        <v>205</v>
      </c>
    </row>
    <row r="45" ht="15.75" customHeight="1">
      <c r="A45" s="14" t="s">
        <v>367</v>
      </c>
      <c r="B45" s="160">
        <f>'19-01-2026 '!B92+'20-01-2026 '!B84+'22-01-2026 '!B68+'23-01-2026 '!B143</f>
        <v>3796089.5</v>
      </c>
      <c r="C45" s="28"/>
      <c r="D45" s="163"/>
      <c r="E45" s="160"/>
    </row>
    <row r="46" ht="15.75" customHeight="1">
      <c r="A46" s="14" t="s">
        <v>368</v>
      </c>
      <c r="B46" s="160">
        <f>'26-01-2026 '!B141+'27-01-2026 '!B64+'28-01-2026 '!B54+'29-01-2026 '!B97+'30-01-2026 '!B142</f>
        <v>4717353.625</v>
      </c>
      <c r="C46" s="164"/>
      <c r="D46" s="165"/>
      <c r="E46" s="160"/>
    </row>
    <row r="47" ht="15.75" customHeight="1">
      <c r="B47" s="160"/>
      <c r="C47" s="166" t="s">
        <v>369</v>
      </c>
      <c r="D47" s="163">
        <f>SUM(D43:D46)</f>
        <v>443</v>
      </c>
      <c r="E47" s="160"/>
    </row>
    <row r="48" ht="15.75" customHeight="1">
      <c r="A48" s="166" t="s">
        <v>370</v>
      </c>
      <c r="B48" s="160">
        <f>SUM(B43:B47)</f>
        <v>24913229.78</v>
      </c>
    </row>
    <row r="49" ht="15.75" customHeight="1">
      <c r="B49" s="160"/>
      <c r="C49" s="168"/>
      <c r="D49" s="168"/>
    </row>
    <row r="50" ht="15.75" customHeight="1"/>
    <row r="51" ht="15.75" customHeight="1">
      <c r="A51" s="166" t="s">
        <v>371</v>
      </c>
      <c r="B51" s="160">
        <f>B48/23</f>
        <v>1083183.903</v>
      </c>
    </row>
    <row r="52" ht="15.75" customHeight="1">
      <c r="A52" s="166" t="s">
        <v>372</v>
      </c>
      <c r="B52" s="160">
        <f>C40/24</f>
        <v>371839.0996</v>
      </c>
      <c r="C52" s="58"/>
    </row>
    <row r="53" ht="15.75" customHeight="1"/>
    <row r="54" ht="15.75" customHeight="1"/>
    <row r="55" ht="15.75" customHeight="1"/>
    <row r="56" ht="15.75" customHeight="1">
      <c r="D56" s="2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5" max="5" width="37.13"/>
  </cols>
  <sheetData>
    <row r="1">
      <c r="A1" s="177"/>
      <c r="B1" s="177"/>
      <c r="C1" s="177"/>
      <c r="D1" s="177"/>
      <c r="E1" s="177"/>
      <c r="F1" s="177"/>
      <c r="G1" s="177"/>
      <c r="H1" s="177"/>
    </row>
    <row r="2">
      <c r="A2" s="177"/>
      <c r="B2" s="177"/>
      <c r="C2" s="177"/>
      <c r="D2" s="177"/>
      <c r="E2" s="178" t="s">
        <v>327</v>
      </c>
      <c r="F2" s="3"/>
      <c r="G2" s="3"/>
      <c r="H2" s="3"/>
    </row>
    <row r="3">
      <c r="A3" s="177"/>
      <c r="B3" s="177"/>
      <c r="C3" s="177"/>
      <c r="D3" s="177"/>
      <c r="E3" s="9"/>
      <c r="F3" s="3"/>
      <c r="G3" s="3"/>
      <c r="H3" s="3"/>
    </row>
    <row r="4">
      <c r="A4" s="177"/>
      <c r="B4" s="179" t="s">
        <v>327</v>
      </c>
      <c r="C4" s="94"/>
      <c r="D4" s="177"/>
      <c r="E4" s="89">
        <v>46045.0</v>
      </c>
      <c r="F4" s="90"/>
      <c r="G4" s="91"/>
      <c r="H4" s="3"/>
    </row>
    <row r="5">
      <c r="A5" s="177"/>
      <c r="B5" s="101" t="s">
        <v>373</v>
      </c>
      <c r="C5" s="101">
        <f>SUM(G6:G15)</f>
        <v>35365</v>
      </c>
      <c r="D5" s="177"/>
      <c r="E5" s="180" t="s">
        <v>335</v>
      </c>
      <c r="F5" s="96" t="s">
        <v>374</v>
      </c>
      <c r="G5" s="100" t="s">
        <v>375</v>
      </c>
      <c r="H5" s="3"/>
    </row>
    <row r="6">
      <c r="A6" s="177"/>
      <c r="B6" s="177"/>
      <c r="C6" s="177"/>
      <c r="D6" s="177"/>
      <c r="E6" s="181" t="s">
        <v>360</v>
      </c>
      <c r="F6" s="15">
        <f>'23-01-2026 '!E137</f>
        <v>88450</v>
      </c>
      <c r="G6" s="182">
        <f t="shared" ref="G6:G7" si="1">F6*0.05</f>
        <v>4422.5</v>
      </c>
      <c r="H6" s="3"/>
    </row>
    <row r="7">
      <c r="A7" s="177"/>
      <c r="B7" s="177"/>
      <c r="C7" s="177"/>
      <c r="D7" s="177"/>
      <c r="E7" s="181" t="s">
        <v>376</v>
      </c>
      <c r="F7" s="15">
        <f>'23-01-2026 '!E115</f>
        <v>32500</v>
      </c>
      <c r="G7" s="182">
        <f t="shared" si="1"/>
        <v>1625</v>
      </c>
      <c r="H7" s="3"/>
    </row>
    <row r="8">
      <c r="A8" s="177"/>
      <c r="B8" s="177"/>
      <c r="C8" s="177"/>
      <c r="D8" s="177"/>
      <c r="E8" s="89">
        <v>46049.0</v>
      </c>
      <c r="F8" s="90"/>
      <c r="G8" s="91"/>
      <c r="H8" s="177"/>
    </row>
    <row r="9">
      <c r="A9" s="177"/>
      <c r="B9" s="177"/>
      <c r="C9" s="177"/>
      <c r="D9" s="177"/>
      <c r="E9" s="181" t="s">
        <v>290</v>
      </c>
      <c r="F9" s="15">
        <v>218800.0</v>
      </c>
      <c r="G9" s="182">
        <f>F9*0.05</f>
        <v>10940</v>
      </c>
      <c r="H9" s="177"/>
    </row>
    <row r="10">
      <c r="A10" s="177"/>
      <c r="B10" s="177"/>
      <c r="C10" s="177"/>
      <c r="D10" s="177"/>
      <c r="E10" s="89">
        <v>46051.0</v>
      </c>
      <c r="F10" s="90"/>
      <c r="G10" s="91"/>
      <c r="H10" s="177"/>
    </row>
    <row r="11">
      <c r="A11" s="177"/>
      <c r="B11" s="177"/>
      <c r="C11" s="177"/>
      <c r="D11" s="177"/>
      <c r="E11" s="181" t="s">
        <v>360</v>
      </c>
      <c r="F11" s="15">
        <v>55400.0</v>
      </c>
      <c r="G11" s="182">
        <f t="shared" ref="G11:G13" si="2">F11*0.05</f>
        <v>2770</v>
      </c>
      <c r="H11" s="177"/>
    </row>
    <row r="12">
      <c r="A12" s="177"/>
      <c r="B12" s="177"/>
      <c r="C12" s="177"/>
      <c r="D12" s="177"/>
      <c r="E12" s="181" t="s">
        <v>376</v>
      </c>
      <c r="F12" s="15">
        <v>271225.0</v>
      </c>
      <c r="G12" s="182">
        <f t="shared" si="2"/>
        <v>13561.25</v>
      </c>
      <c r="H12" s="3"/>
    </row>
    <row r="13">
      <c r="A13" s="177"/>
      <c r="B13" s="177"/>
      <c r="C13" s="177"/>
      <c r="D13" s="177"/>
      <c r="E13" s="181" t="s">
        <v>377</v>
      </c>
      <c r="F13" s="15">
        <v>16000.0</v>
      </c>
      <c r="G13" s="182">
        <f t="shared" si="2"/>
        <v>800</v>
      </c>
      <c r="H13" s="3"/>
    </row>
    <row r="14">
      <c r="A14" s="177"/>
      <c r="B14" s="177"/>
      <c r="C14" s="177"/>
      <c r="D14" s="177"/>
      <c r="E14" s="89">
        <v>46052.0</v>
      </c>
      <c r="F14" s="90"/>
      <c r="G14" s="91"/>
      <c r="H14" s="3"/>
    </row>
    <row r="15">
      <c r="A15" s="177"/>
      <c r="B15" s="177"/>
      <c r="C15" s="177"/>
      <c r="D15" s="177"/>
      <c r="E15" s="183" t="s">
        <v>361</v>
      </c>
      <c r="F15" s="184">
        <f>'30-01-2026 '!E137</f>
        <v>24925</v>
      </c>
      <c r="G15" s="185">
        <f>F15*0.05</f>
        <v>1246.25</v>
      </c>
      <c r="H15" s="3"/>
    </row>
    <row r="16">
      <c r="A16" s="177"/>
      <c r="B16" s="177"/>
      <c r="C16" s="177"/>
      <c r="D16" s="177"/>
      <c r="E16" s="46"/>
      <c r="F16" s="3"/>
      <c r="G16" s="3"/>
      <c r="H16" s="3"/>
    </row>
    <row r="17">
      <c r="A17" s="177"/>
      <c r="B17" s="177"/>
      <c r="C17" s="177"/>
      <c r="D17" s="177"/>
      <c r="E17" s="1"/>
      <c r="F17" s="1"/>
      <c r="G17" s="1"/>
      <c r="H17" s="3"/>
    </row>
    <row r="18">
      <c r="A18" s="177"/>
      <c r="B18" s="177"/>
      <c r="C18" s="177"/>
      <c r="D18" s="177"/>
      <c r="E18" s="186" t="s">
        <v>378</v>
      </c>
      <c r="F18" s="187">
        <f>SUM(F6:F15)</f>
        <v>707300</v>
      </c>
      <c r="G18" s="87"/>
      <c r="H18" s="3"/>
    </row>
    <row r="19">
      <c r="A19" s="177"/>
      <c r="B19" s="177"/>
      <c r="C19" s="177"/>
      <c r="D19" s="177"/>
      <c r="E19" s="177"/>
      <c r="F19" s="3"/>
      <c r="G19" s="3"/>
      <c r="H19" s="3"/>
    </row>
    <row r="20">
      <c r="A20" s="177"/>
      <c r="B20" s="177"/>
      <c r="C20" s="177"/>
      <c r="D20" s="177"/>
      <c r="E20" s="186" t="s">
        <v>379</v>
      </c>
      <c r="F20" s="187">
        <f>F18*0.05</f>
        <v>35365</v>
      </c>
      <c r="G20" s="87"/>
      <c r="H20" s="3"/>
    </row>
    <row r="21">
      <c r="A21" s="177"/>
      <c r="B21" s="177"/>
      <c r="C21" s="177"/>
      <c r="D21" s="177"/>
      <c r="E21" s="177"/>
      <c r="F21" s="3"/>
      <c r="G21" s="3"/>
      <c r="H21" s="3"/>
    </row>
  </sheetData>
  <mergeCells count="7">
    <mergeCell ref="B4:C4"/>
    <mergeCell ref="E4:G4"/>
    <mergeCell ref="E8:G8"/>
    <mergeCell ref="E10:G10"/>
    <mergeCell ref="E14:G14"/>
    <mergeCell ref="F18:G18"/>
    <mergeCell ref="F20:G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2024-12-01T23:15:56Z</dcterms:created>
  <dc:creator>Fede Fede</dc:creator>
</cp:coreProperties>
</file>