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otae\OneDrive\Escritorio\"/>
    </mc:Choice>
  </mc:AlternateContent>
  <xr:revisionPtr revIDLastSave="0" documentId="13_ncr:1_{46EE77A2-B59E-48BF-9B21-0EA240FE899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rticulos" sheetId="2" r:id="rId1"/>
    <sheet name="inventario 1-12" sheetId="13" r:id="rId2"/>
    <sheet name="Hoja6" sheetId="18" r:id="rId3"/>
    <sheet name="Hoja5" sheetId="17" r:id="rId4"/>
    <sheet name="Hoja4" sheetId="16" r:id="rId5"/>
    <sheet name="Hoja2" sheetId="15" r:id="rId6"/>
    <sheet name="Hoja1" sheetId="14" r:id="rId7"/>
    <sheet name="volumen liquidos" sheetId="10" r:id="rId8"/>
    <sheet name="balances mensuales" sheetId="11" r:id="rId9"/>
    <sheet name="Hoja3" sheetId="4" r:id="rId10"/>
    <sheet name="ultimos precios" sheetId="9" r:id="rId11"/>
  </sheets>
  <definedNames>
    <definedName name="_xlnm._FilterDatabase" localSheetId="0" hidden="1">articulos!$C$1:$H$115</definedName>
    <definedName name="_xlnm._FilterDatabase" localSheetId="1" hidden="1">'inventario 1-12'!$A$1:$J$136</definedName>
    <definedName name="_xlnm._FilterDatabase" localSheetId="10" hidden="1">'ultimos precios'!$A$1:$F$118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13" l="1"/>
  <c r="F55" i="13"/>
  <c r="E72" i="13"/>
  <c r="E56" i="13"/>
  <c r="E54" i="13"/>
  <c r="E55" i="13"/>
  <c r="E52" i="13"/>
  <c r="E51" i="13"/>
  <c r="E50" i="13"/>
  <c r="C2" i="16"/>
  <c r="C3" i="16"/>
  <c r="C4" i="16"/>
  <c r="C1" i="16"/>
  <c r="F51" i="13"/>
  <c r="F53" i="13"/>
  <c r="F52" i="13"/>
  <c r="D44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2" i="2"/>
  <c r="H113" i="2"/>
  <c r="H114" i="2"/>
  <c r="H115" i="2"/>
  <c r="AN11" i="11"/>
  <c r="AN5" i="11"/>
  <c r="AN3" i="11"/>
  <c r="AN2" i="11"/>
  <c r="AH10" i="11"/>
  <c r="AM6" i="11"/>
  <c r="AM7" i="11"/>
  <c r="AL10" i="11"/>
  <c r="AL2" i="11"/>
  <c r="AL3" i="11"/>
  <c r="AK10" i="11"/>
  <c r="AK3" i="11"/>
  <c r="AK2" i="11"/>
  <c r="AJ4" i="11"/>
  <c r="AJ3" i="11"/>
  <c r="AJ2" i="11"/>
  <c r="AI3" i="11"/>
  <c r="AI2" i="11"/>
  <c r="AH8" i="11"/>
  <c r="AH3" i="11"/>
  <c r="AH2" i="11"/>
  <c r="AG7" i="11"/>
  <c r="AF5" i="11"/>
  <c r="AF3" i="11"/>
  <c r="AF2" i="11"/>
  <c r="AE8" i="11"/>
  <c r="AE4" i="11"/>
  <c r="AE3" i="11"/>
  <c r="AE2" i="11"/>
  <c r="AD3" i="11"/>
  <c r="AD2" i="11"/>
  <c r="AC11" i="11"/>
  <c r="AC8" i="11"/>
  <c r="AC5" i="11"/>
  <c r="AC3" i="11"/>
  <c r="AC2" i="11"/>
  <c r="AB10" i="11"/>
  <c r="AB5" i="11"/>
  <c r="AB4" i="11"/>
  <c r="AB3" i="11"/>
  <c r="AB2" i="11"/>
  <c r="AA5" i="11"/>
  <c r="AA3" i="11"/>
  <c r="AA2" i="11"/>
  <c r="Z10" i="11"/>
  <c r="Z5" i="11"/>
  <c r="Z3" i="11"/>
  <c r="Z2" i="11"/>
  <c r="Y8" i="11"/>
  <c r="Y5" i="11"/>
  <c r="Y4" i="11"/>
  <c r="Y3" i="11"/>
  <c r="Y2" i="11"/>
  <c r="X4" i="11"/>
  <c r="X3" i="11"/>
  <c r="X2" i="11"/>
  <c r="V8" i="11"/>
  <c r="V5" i="11"/>
  <c r="V4" i="11"/>
  <c r="V3" i="11"/>
  <c r="V2" i="11"/>
  <c r="U2" i="11"/>
  <c r="U5" i="11"/>
  <c r="U4" i="11"/>
  <c r="U3" i="11"/>
  <c r="T10" i="11"/>
  <c r="T5" i="11"/>
  <c r="T4" i="11"/>
  <c r="T3" i="11"/>
  <c r="T2" i="11"/>
  <c r="S10" i="11"/>
  <c r="S5" i="11"/>
  <c r="S4" i="11"/>
  <c r="S3" i="11"/>
  <c r="S2" i="11"/>
  <c r="R4" i="11"/>
  <c r="R5" i="11"/>
  <c r="R3" i="11"/>
  <c r="R2" i="11"/>
  <c r="Q5" i="11"/>
  <c r="Q3" i="11"/>
  <c r="Q2" i="11"/>
  <c r="P4" i="11"/>
  <c r="P2" i="11"/>
  <c r="O10" i="11"/>
  <c r="O5" i="11"/>
  <c r="O4" i="11"/>
  <c r="O3" i="11"/>
  <c r="O2" i="11"/>
  <c r="N4" i="11"/>
  <c r="N3" i="11"/>
  <c r="N2" i="11"/>
  <c r="M5" i="11"/>
  <c r="L4" i="11"/>
  <c r="L5" i="11"/>
  <c r="L3" i="11"/>
  <c r="M4" i="11"/>
  <c r="M3" i="11"/>
  <c r="M2" i="11"/>
  <c r="L10" i="11"/>
  <c r="L2" i="11"/>
  <c r="K8" i="11"/>
  <c r="K10" i="11"/>
  <c r="K4" i="11"/>
  <c r="K3" i="11"/>
  <c r="K5" i="11"/>
  <c r="K2" i="11"/>
  <c r="J11" i="11"/>
  <c r="AG11" i="11" s="1"/>
  <c r="AM11" i="11" s="1"/>
  <c r="J9" i="11"/>
  <c r="J4" i="11"/>
  <c r="J3" i="11"/>
  <c r="J5" i="11"/>
  <c r="J6" i="11"/>
  <c r="J2" i="11"/>
  <c r="I5" i="11"/>
  <c r="I4" i="11"/>
  <c r="I3" i="11"/>
  <c r="I2" i="11"/>
  <c r="H5" i="11"/>
  <c r="H4" i="11"/>
  <c r="H3" i="11"/>
  <c r="H2" i="11"/>
  <c r="G4" i="11"/>
  <c r="G3" i="11"/>
  <c r="G2" i="11"/>
  <c r="F9" i="11"/>
  <c r="F10" i="11"/>
  <c r="F11" i="11"/>
  <c r="F6" i="11"/>
  <c r="AG6" i="11" s="1"/>
  <c r="F2" i="11"/>
  <c r="F4" i="11"/>
  <c r="F3" i="11"/>
  <c r="E8" i="11"/>
  <c r="E5" i="11"/>
  <c r="E2" i="11"/>
  <c r="E4" i="11"/>
  <c r="E3" i="11"/>
  <c r="D8" i="11"/>
  <c r="D5" i="11"/>
  <c r="D3" i="11"/>
  <c r="D2" i="11"/>
  <c r="C5" i="11"/>
  <c r="C3" i="11"/>
  <c r="C2" i="11"/>
  <c r="B2" i="11"/>
  <c r="AG2" i="11" s="1"/>
  <c r="AM2" i="11" s="1"/>
  <c r="B4" i="10"/>
  <c r="B1" i="10"/>
  <c r="D1" i="10" s="1"/>
  <c r="E89" i="2"/>
  <c r="G89" i="2" s="1"/>
  <c r="C5" i="16" l="1"/>
  <c r="AG5" i="11"/>
  <c r="AM5" i="11" s="1"/>
  <c r="AG10" i="11"/>
  <c r="AM10" i="11" s="1"/>
  <c r="AG4" i="11"/>
  <c r="AM4" i="11" s="1"/>
  <c r="AG8" i="11"/>
  <c r="AM8" i="11" s="1"/>
  <c r="AG9" i="11"/>
  <c r="AM9" i="11" s="1"/>
  <c r="AG3" i="11"/>
  <c r="AM3" i="11" s="1"/>
  <c r="AG14" i="11"/>
  <c r="D85" i="2"/>
  <c r="D46" i="2"/>
  <c r="D5" i="2"/>
  <c r="D108" i="2"/>
  <c r="D19" i="2"/>
  <c r="D12" i="2"/>
  <c r="D37" i="2"/>
  <c r="D18" i="2"/>
  <c r="D34" i="2"/>
  <c r="D50" i="2"/>
  <c r="D66" i="2"/>
  <c r="D86" i="2"/>
  <c r="D102" i="2"/>
  <c r="D6" i="2"/>
  <c r="D97" i="2"/>
  <c r="D60" i="2"/>
  <c r="D96" i="2"/>
  <c r="D112" i="2"/>
  <c r="D40" i="2"/>
  <c r="D29" i="2"/>
  <c r="D7" i="2"/>
  <c r="D23" i="2"/>
  <c r="D39" i="2"/>
  <c r="D55" i="2"/>
  <c r="D71" i="2"/>
  <c r="D87" i="2"/>
  <c r="D103" i="2"/>
  <c r="D49" i="2"/>
  <c r="D20" i="2"/>
  <c r="D56" i="2"/>
  <c r="D24" i="2"/>
  <c r="D33" i="2"/>
  <c r="D14" i="2"/>
  <c r="D62" i="2"/>
  <c r="D98" i="2"/>
  <c r="D70" i="2"/>
  <c r="D28" i="2"/>
  <c r="D3" i="2"/>
  <c r="D51" i="2"/>
  <c r="D83" i="2"/>
  <c r="D13" i="2"/>
  <c r="D44" i="2"/>
  <c r="D9" i="2"/>
  <c r="D93" i="2"/>
  <c r="D45" i="2"/>
  <c r="D69" i="2"/>
  <c r="D101" i="2"/>
  <c r="D22" i="2"/>
  <c r="D38" i="2"/>
  <c r="D54" i="2"/>
  <c r="D74" i="2"/>
  <c r="D90" i="2"/>
  <c r="D106" i="2"/>
  <c r="D41" i="2"/>
  <c r="D105" i="2"/>
  <c r="D76" i="2"/>
  <c r="D100" i="2"/>
  <c r="D4" i="2"/>
  <c r="D52" i="2"/>
  <c r="D21" i="2"/>
  <c r="D11" i="2"/>
  <c r="D27" i="2"/>
  <c r="D43" i="2"/>
  <c r="D59" i="2"/>
  <c r="D75" i="2"/>
  <c r="D91" i="2"/>
  <c r="D107" i="2"/>
  <c r="D80" i="2"/>
  <c r="D32" i="2"/>
  <c r="D64" i="2"/>
  <c r="D48" i="2"/>
  <c r="D61" i="2"/>
  <c r="D30" i="2"/>
  <c r="D82" i="2"/>
  <c r="D89" i="2"/>
  <c r="D92" i="2"/>
  <c r="D88" i="2"/>
  <c r="D35" i="2"/>
  <c r="D67" i="2"/>
  <c r="D99" i="2"/>
  <c r="D8" i="2"/>
  <c r="D2" i="2"/>
  <c r="D65" i="2"/>
  <c r="D17" i="2"/>
  <c r="D25" i="2"/>
  <c r="D53" i="2"/>
  <c r="D77" i="2"/>
  <c r="D10" i="2"/>
  <c r="D26" i="2"/>
  <c r="D42" i="2"/>
  <c r="D58" i="2"/>
  <c r="D78" i="2"/>
  <c r="D94" i="2"/>
  <c r="D110" i="2"/>
  <c r="D81" i="2"/>
  <c r="D109" i="2"/>
  <c r="D84" i="2"/>
  <c r="D104" i="2"/>
  <c r="D16" i="2"/>
  <c r="D68" i="2"/>
  <c r="D57" i="2"/>
  <c r="D15" i="2"/>
  <c r="D31" i="2"/>
  <c r="D47" i="2"/>
  <c r="D63" i="2"/>
  <c r="D79" i="2"/>
  <c r="D95" i="2"/>
  <c r="D111" i="2"/>
  <c r="D73" i="2"/>
  <c r="D36" i="2"/>
  <c r="D72" i="2"/>
  <c r="F108" i="2"/>
  <c r="F96" i="2"/>
  <c r="F84" i="2"/>
  <c r="F72" i="2"/>
  <c r="F60" i="2"/>
  <c r="F48" i="2"/>
  <c r="F32" i="2"/>
  <c r="F20" i="2"/>
  <c r="F8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F3" i="2"/>
  <c r="F104" i="2"/>
  <c r="F92" i="2"/>
  <c r="F80" i="2"/>
  <c r="F68" i="2"/>
  <c r="F56" i="2"/>
  <c r="F44" i="2"/>
  <c r="F36" i="2"/>
  <c r="F24" i="2"/>
  <c r="F12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112" i="2"/>
  <c r="F100" i="2"/>
  <c r="F88" i="2"/>
  <c r="F76" i="2"/>
  <c r="F64" i="2"/>
  <c r="F52" i="2"/>
  <c r="F40" i="2"/>
  <c r="F28" i="2"/>
  <c r="F16" i="2"/>
  <c r="F4" i="2"/>
  <c r="F2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H79" i="2" l="1"/>
  <c r="H15" i="2"/>
  <c r="H104" i="2"/>
  <c r="H82" i="2"/>
  <c r="H64" i="2"/>
  <c r="H27" i="2"/>
  <c r="H10" i="2"/>
  <c r="H17" i="2"/>
  <c r="H80" i="2"/>
  <c r="H59" i="2"/>
  <c r="H111" i="2"/>
  <c r="H47" i="2"/>
  <c r="H78" i="2"/>
  <c r="H92" i="2"/>
  <c r="H95" i="2"/>
  <c r="H31" i="2"/>
  <c r="H16" i="2"/>
  <c r="H89" i="2"/>
  <c r="H48" i="2"/>
  <c r="H107" i="2"/>
  <c r="H43" i="2"/>
  <c r="H21" i="2"/>
  <c r="H76" i="2"/>
  <c r="H90" i="2"/>
  <c r="H22" i="2"/>
  <c r="H93" i="2"/>
  <c r="H83" i="2"/>
  <c r="H70" i="2"/>
  <c r="H33" i="2"/>
  <c r="H49" i="2"/>
  <c r="H55" i="2"/>
  <c r="H29" i="2"/>
  <c r="H60" i="2"/>
  <c r="H86" i="2"/>
  <c r="H18" i="2"/>
  <c r="H108" i="2"/>
  <c r="H52" i="2"/>
  <c r="H105" i="2"/>
  <c r="H74" i="2"/>
  <c r="H101" i="2"/>
  <c r="H9" i="2"/>
  <c r="H51" i="2"/>
  <c r="H98" i="2"/>
  <c r="H24" i="2"/>
  <c r="H103" i="2"/>
  <c r="H39" i="2"/>
  <c r="H40" i="2"/>
  <c r="H97" i="2"/>
  <c r="H66" i="2"/>
  <c r="H37" i="2"/>
  <c r="H5" i="2"/>
  <c r="H4" i="2"/>
  <c r="H41" i="2"/>
  <c r="H54" i="2"/>
  <c r="H69" i="2"/>
  <c r="H44" i="2"/>
  <c r="H3" i="2"/>
  <c r="H62" i="2"/>
  <c r="H56" i="2"/>
  <c r="H87" i="2"/>
  <c r="H23" i="2"/>
  <c r="H112" i="2"/>
  <c r="H6" i="2"/>
  <c r="H50" i="2"/>
  <c r="H12" i="2"/>
  <c r="H46" i="2"/>
  <c r="H68" i="2"/>
  <c r="H109" i="2"/>
  <c r="H99" i="2"/>
  <c r="H61" i="2"/>
  <c r="H72" i="2"/>
  <c r="H81" i="2"/>
  <c r="H58" i="2"/>
  <c r="H77" i="2"/>
  <c r="H65" i="2"/>
  <c r="H67" i="2"/>
  <c r="H36" i="2"/>
  <c r="H110" i="2"/>
  <c r="H42" i="2"/>
  <c r="H53" i="2"/>
  <c r="H2" i="2"/>
  <c r="H35" i="2"/>
  <c r="H91" i="2"/>
  <c r="H73" i="2"/>
  <c r="H63" i="2"/>
  <c r="H57" i="2"/>
  <c r="H84" i="2"/>
  <c r="H94" i="2"/>
  <c r="H26" i="2"/>
  <c r="H25" i="2"/>
  <c r="H8" i="2"/>
  <c r="H88" i="2"/>
  <c r="H30" i="2"/>
  <c r="H32" i="2"/>
  <c r="H75" i="2"/>
  <c r="H11" i="2"/>
  <c r="H100" i="2"/>
  <c r="H106" i="2"/>
  <c r="H38" i="2"/>
  <c r="H45" i="2"/>
  <c r="H13" i="2"/>
  <c r="H28" i="2"/>
  <c r="H14" i="2"/>
  <c r="H20" i="2"/>
  <c r="H71" i="2"/>
  <c r="H7" i="2"/>
  <c r="H96" i="2"/>
  <c r="H102" i="2"/>
  <c r="H34" i="2"/>
  <c r="H19" i="2"/>
  <c r="H85" i="2"/>
</calcChain>
</file>

<file path=xl/sharedStrings.xml><?xml version="1.0" encoding="utf-8"?>
<sst xmlns="http://schemas.openxmlformats.org/spreadsheetml/2006/main" count="1172" uniqueCount="259">
  <si>
    <t>plasticos</t>
  </si>
  <si>
    <t>baldes x 9 litros</t>
  </si>
  <si>
    <t>tacho basura x/tapa</t>
  </si>
  <si>
    <t>escobilla c/soporte p/baño</t>
  </si>
  <si>
    <t>escobilla s/soporte p/baño</t>
  </si>
  <si>
    <t>palita</t>
  </si>
  <si>
    <t>laton tipo palangana chico</t>
  </si>
  <si>
    <t>laton tipo palangana grande</t>
  </si>
  <si>
    <t>perchas</t>
  </si>
  <si>
    <t>escurridor limpiavidrio</t>
  </si>
  <si>
    <t>escurridor p/piso</t>
  </si>
  <si>
    <t>palo</t>
  </si>
  <si>
    <t>plumero</t>
  </si>
  <si>
    <t>pasa cera p/lustrar</t>
  </si>
  <si>
    <t>cepillo autos</t>
  </si>
  <si>
    <t>valerina trapo</t>
  </si>
  <si>
    <t>capital</t>
  </si>
  <si>
    <t>rejilla cocina</t>
  </si>
  <si>
    <t>trapo piso</t>
  </si>
  <si>
    <t>rejilla p/auto</t>
  </si>
  <si>
    <t>esponja baño</t>
  </si>
  <si>
    <t>esponja multiuso chica</t>
  </si>
  <si>
    <t>esponja multiuso grande</t>
  </si>
  <si>
    <t>esponja acero chica</t>
  </si>
  <si>
    <t>esponja acero grande</t>
  </si>
  <si>
    <t>virulana x 10 rollos</t>
  </si>
  <si>
    <t>jabon tocador antibacterial primordial x 1</t>
  </si>
  <si>
    <t>jabon blanco argentino x 200 g</t>
  </si>
  <si>
    <t>jabon blanco seiseme x 300 g</t>
  </si>
  <si>
    <t>hisopos x 100 u</t>
  </si>
  <si>
    <t>pañuelitos descartables dismar</t>
  </si>
  <si>
    <t>pañuelitos descartables elite</t>
  </si>
  <si>
    <t>crema antitranspirante rexona x 60 g</t>
  </si>
  <si>
    <t>pasta dental kolynos</t>
  </si>
  <si>
    <t>repelente off x 60 g</t>
  </si>
  <si>
    <t>toallitas ladysoft c/alas x 8</t>
  </si>
  <si>
    <t>toallitas calypso c/alas x 8</t>
  </si>
  <si>
    <t xml:space="preserve">toallicas doncella c/alas x 8 </t>
  </si>
  <si>
    <t xml:space="preserve">protectos diario doncella x 20 </t>
  </si>
  <si>
    <t xml:space="preserve">protectos diario calypso x 20 </t>
  </si>
  <si>
    <t xml:space="preserve">preservativos tulipan cajita x 3 </t>
  </si>
  <si>
    <t xml:space="preserve">jabon en polvo granby plus matic (lavarropa autom) </t>
  </si>
  <si>
    <t>rollo papel film 30 m</t>
  </si>
  <si>
    <t>broches p/ropa x 12 u</t>
  </si>
  <si>
    <t>guantes de latex medianos</t>
  </si>
  <si>
    <t>guantes de latex grandes</t>
  </si>
  <si>
    <t>cepillos de dientes colgate</t>
  </si>
  <si>
    <t>cepillos de dientes macao</t>
  </si>
  <si>
    <t>maquina afeitar bic confort doble hoja</t>
  </si>
  <si>
    <t>maquina afeitar gillete doble hoja</t>
  </si>
  <si>
    <t>maquina afeitar bic triple hoja</t>
  </si>
  <si>
    <t>aromatizador analogico bordo</t>
  </si>
  <si>
    <t>bolsa residuos negras 60 x 90 x 10 u</t>
  </si>
  <si>
    <t>bolsa residuos 50 x 70 x 10 u</t>
  </si>
  <si>
    <t>velas dimar pack x 4u</t>
  </si>
  <si>
    <t>alcohol en aerosol</t>
  </si>
  <si>
    <t>alcohol en gel</t>
  </si>
  <si>
    <t>alcohol liquido 96%</t>
  </si>
  <si>
    <t xml:space="preserve">lavavasos </t>
  </si>
  <si>
    <t>dispenser alcohol</t>
  </si>
  <si>
    <t>naftalina antipolilla</t>
  </si>
  <si>
    <t>sahumerio comunes sueltos</t>
  </si>
  <si>
    <t>sahumerio safirus x 20 varillas</t>
  </si>
  <si>
    <t>rollos de cocina x 3u</t>
  </si>
  <si>
    <t>rollos de cocina sueltos</t>
  </si>
  <si>
    <t>desinfectante aerosol tibu (tipo lysoform)</t>
  </si>
  <si>
    <t>sopapa baño</t>
  </si>
  <si>
    <t>jabon en polvo ala matic</t>
  </si>
  <si>
    <t>jabon en polvo ala lavado a mano</t>
  </si>
  <si>
    <t>ARTICULOS</t>
  </si>
  <si>
    <t>1/2 LITRO</t>
  </si>
  <si>
    <t>1 LITRO</t>
  </si>
  <si>
    <t>PERFUMINA</t>
  </si>
  <si>
    <t>SHAMPOO MASCOTAS</t>
  </si>
  <si>
    <t>SHAMPOO AUTOS</t>
  </si>
  <si>
    <t>SHAMPOO MANOS</t>
  </si>
  <si>
    <t>LIMPIAMOTORES</t>
  </si>
  <si>
    <t>DESENGRASANTE</t>
  </si>
  <si>
    <t>QUITASARRO</t>
  </si>
  <si>
    <t>CIF LIQUIDO</t>
  </si>
  <si>
    <t>CERA PARA PISO</t>
  </si>
  <si>
    <t>LAVANDINA ROPA BLANCA</t>
  </si>
  <si>
    <t>LAVANDINA ROPA COLOR</t>
  </si>
  <si>
    <t>MATAYUYO</t>
  </si>
  <si>
    <t>shampoo Plusbelle manzana</t>
  </si>
  <si>
    <t xml:space="preserve">acondicionador Suave </t>
  </si>
  <si>
    <t>desodorante axe hombre apollo/marine</t>
  </si>
  <si>
    <t>desodorante axe hombre DARK</t>
  </si>
  <si>
    <t>pastilla baño con red glade 25 g</t>
  </si>
  <si>
    <t>pastilla baño glade 27,5 g (pastilla pero sin canasta)</t>
  </si>
  <si>
    <t>jabon en pan carrefour x 2 unidades</t>
  </si>
  <si>
    <t>jabon en pan gran federal x 1 unidad</t>
  </si>
  <si>
    <t xml:space="preserve">pañuelitos descartables carrefour x paquetito </t>
  </si>
  <si>
    <t>jabon tocador cupido x 3</t>
  </si>
  <si>
    <t>desodorante bolita antitranspirante Hinds rosa 160 g</t>
  </si>
  <si>
    <t xml:space="preserve">desodorante NIVEA sensitive protect azul 50 ml </t>
  </si>
  <si>
    <t>desodorante Rexona antibacterial protection</t>
  </si>
  <si>
    <t>mata cucarachas SELTON</t>
  </si>
  <si>
    <t>desinfectante aerosol AYUDIN EXPERT</t>
  </si>
  <si>
    <t>procenex anti grasa lima 900 ml</t>
  </si>
  <si>
    <t xml:space="preserve">desodorante ambiente tibu  varios aromas tibu </t>
  </si>
  <si>
    <t>desodorante ambiente GLADE varios aromas</t>
  </si>
  <si>
    <t>franela amarilla 50x40</t>
  </si>
  <si>
    <t>algodón doncella 70g</t>
  </si>
  <si>
    <t>talco algabo x 100 g</t>
  </si>
  <si>
    <t>volumen</t>
  </si>
  <si>
    <t>radio</t>
  </si>
  <si>
    <t>altura</t>
  </si>
  <si>
    <t>cm3</t>
  </si>
  <si>
    <t>DERRIBANTE</t>
  </si>
  <si>
    <t>2 LITRO</t>
  </si>
  <si>
    <t>3 LITRO</t>
  </si>
  <si>
    <t>5 LITRO</t>
  </si>
  <si>
    <t>ventas</t>
  </si>
  <si>
    <t>sube</t>
  </si>
  <si>
    <t>proveedor</t>
  </si>
  <si>
    <t>cristian</t>
  </si>
  <si>
    <t>comida</t>
  </si>
  <si>
    <t>otro</t>
  </si>
  <si>
    <t>caja</t>
  </si>
  <si>
    <t>librería</t>
  </si>
  <si>
    <t>sube j</t>
  </si>
  <si>
    <t>ventas mp</t>
  </si>
  <si>
    <t>totales</t>
  </si>
  <si>
    <t>diferenci</t>
  </si>
  <si>
    <t>total</t>
  </si>
  <si>
    <t>papel higienico campanita</t>
  </si>
  <si>
    <t>rollo cocina sol mayor</t>
  </si>
  <si>
    <t>jabon en polvo Zorro</t>
  </si>
  <si>
    <t>desodorante ambiente poett</t>
  </si>
  <si>
    <t>harpic quitasarro</t>
  </si>
  <si>
    <t>lustramueble polycera</t>
  </si>
  <si>
    <t>sectores</t>
  </si>
  <si>
    <t>fuera de repisa</t>
  </si>
  <si>
    <t>repisa1</t>
  </si>
  <si>
    <t>repisa6</t>
  </si>
  <si>
    <t>repisa7</t>
  </si>
  <si>
    <t>conteo</t>
  </si>
  <si>
    <t>cepillo ropa</t>
  </si>
  <si>
    <t>repisa4</t>
  </si>
  <si>
    <t>repisa5</t>
  </si>
  <si>
    <t>cebo para ratas en bloques GEL TEK</t>
  </si>
  <si>
    <t>cantidad</t>
  </si>
  <si>
    <t>productos</t>
  </si>
  <si>
    <t>codigo</t>
  </si>
  <si>
    <t>bolsa residuos negras 45 x 60 x 10u</t>
  </si>
  <si>
    <t>bolsa residuos sueltas 45 x 60 unidades</t>
  </si>
  <si>
    <t>insecticida aerosol selton</t>
  </si>
  <si>
    <t>bolsa residuos 60 x 95 x 10 unidades</t>
  </si>
  <si>
    <t>guantes latex chicos</t>
  </si>
  <si>
    <t xml:space="preserve">velas golondrina x 4 chicas </t>
  </si>
  <si>
    <t>pastillas baño belarom</t>
  </si>
  <si>
    <t>pastillas baño harpic</t>
  </si>
  <si>
    <t>dentifrico kolynos x 90 g</t>
  </si>
  <si>
    <t>cepillo dientes doble colgate</t>
  </si>
  <si>
    <t>escobillon corto argentum</t>
  </si>
  <si>
    <t>sahumerios bangladesh x 10 varillas</t>
  </si>
  <si>
    <t>dentifrico kolynos x 70 g</t>
  </si>
  <si>
    <t>escobillon largo</t>
  </si>
  <si>
    <t>franela naranja / celeste / amarilla</t>
  </si>
  <si>
    <t>jabon tocador carrefour x 3 unid</t>
  </si>
  <si>
    <t>ultimo precio compra</t>
  </si>
  <si>
    <t>recomendado</t>
  </si>
  <si>
    <t>precio en negocio</t>
  </si>
  <si>
    <t>precio negoci</t>
  </si>
  <si>
    <t>pasta dental kolynos x 90 g</t>
  </si>
  <si>
    <t>valerina trapo amarillo</t>
  </si>
  <si>
    <t>rollos de cocina x 3u nitidess</t>
  </si>
  <si>
    <t xml:space="preserve">procenex L + D 900 ml </t>
  </si>
  <si>
    <t>quitamanchas tre net</t>
  </si>
  <si>
    <t>cif crema bioactive</t>
  </si>
  <si>
    <t>detergente magistral 215 ml</t>
  </si>
  <si>
    <t>lindolor poett 900 ml</t>
  </si>
  <si>
    <t>alcohol en gel 250ml</t>
  </si>
  <si>
    <t>alcohol liquido 96% 500ml</t>
  </si>
  <si>
    <t>efece</t>
  </si>
  <si>
    <t>precio de costo</t>
  </si>
  <si>
    <t>franela amarilla TIBU 50x40</t>
  </si>
  <si>
    <t>https://articulo.mercadolibre.com.ar/MLA-866438926-trapo-franela-schez-50-x-40-cm-x-docena-_JM#position=13&amp;search_layout=stack&amp;type=item&amp;tracking_id=f38cb38b-7137-48c6-9bc4-397462294398</t>
  </si>
  <si>
    <t>escurridor p/piso 40 goma</t>
  </si>
  <si>
    <t>rastrillo barrehoja con cabo Argentum</t>
  </si>
  <si>
    <t>carrefour</t>
  </si>
  <si>
    <t>pastillas fuyi x 12 pastillas</t>
  </si>
  <si>
    <t>mata cucarachas RAID</t>
  </si>
  <si>
    <t>desinfectante aerosol LYSOFORM</t>
  </si>
  <si>
    <t>lustramueble BLEM</t>
  </si>
  <si>
    <t>jabon x 3 palmolive</t>
  </si>
  <si>
    <t>antitranspirante nivea men aero dry</t>
  </si>
  <si>
    <t>sahumerio ambar x 20 varillas</t>
  </si>
  <si>
    <t xml:space="preserve">escarbadientes </t>
  </si>
  <si>
    <t>desinfectante aerosol TIBU</t>
  </si>
  <si>
    <t>desodorante ambiente TIBU varios aromas</t>
  </si>
  <si>
    <t>cepillos de dientes simple colgate</t>
  </si>
  <si>
    <t>cepillos de dientes macao niños</t>
  </si>
  <si>
    <t>cepillo dientes plastico reciclado</t>
  </si>
  <si>
    <t>bolsa residuos 80 x 110 x 10</t>
  </si>
  <si>
    <t>bolsa residuos 90 x 120 x 10</t>
  </si>
  <si>
    <t>Escobillon</t>
  </si>
  <si>
    <t>Rastrillo</t>
  </si>
  <si>
    <t>Escurridor</t>
  </si>
  <si>
    <t>Limpiavidrios</t>
  </si>
  <si>
    <t>.</t>
  </si>
  <si>
    <t>Jabónseiseme</t>
  </si>
  <si>
    <t/>
  </si>
  <si>
    <t>Repasadortoalla</t>
  </si>
  <si>
    <t>Trapodepiso</t>
  </si>
  <si>
    <t>Cepilloparaautos</t>
  </si>
  <si>
    <t>Pasacera</t>
  </si>
  <si>
    <t>Papelhigienicox4campanita</t>
  </si>
  <si>
    <t>Rollodecocinax3solmayor</t>
  </si>
  <si>
    <t>Rollodecocinax3nitidess</t>
  </si>
  <si>
    <t>Poettayudin</t>
  </si>
  <si>
    <t>Poettlavanda</t>
  </si>
  <si>
    <t>.Jabónseiseme7796311000022</t>
  </si>
  <si>
    <t>7796311000022.</t>
  </si>
  <si>
    <t>.Repasadortoalla7798126379010</t>
  </si>
  <si>
    <t>7798126379010.</t>
  </si>
  <si>
    <t>.Trapodepiso7798035497003</t>
  </si>
  <si>
    <t>7798035497003.</t>
  </si>
  <si>
    <t>.Cepilloparaautos7794417000205</t>
  </si>
  <si>
    <t>7794417000205.</t>
  </si>
  <si>
    <t>.Escobillon7797160000027</t>
  </si>
  <si>
    <t>7797160000027.</t>
  </si>
  <si>
    <t>.Pasacera7794417005217</t>
  </si>
  <si>
    <t>7794417005217.</t>
  </si>
  <si>
    <t>.Rastrillo7797160003004</t>
  </si>
  <si>
    <t>7797160003004.</t>
  </si>
  <si>
    <t>.Escurridor7796753000024</t>
  </si>
  <si>
    <t>7796753000024.</t>
  </si>
  <si>
    <t>.Limpiavidrios7794129005314</t>
  </si>
  <si>
    <t>7794129005314.</t>
  </si>
  <si>
    <t>.Papelhigienicox4campanita7791070000078</t>
  </si>
  <si>
    <t>7791070000078.</t>
  </si>
  <si>
    <t>.Rollodecocinax3solmayor7791070003222</t>
  </si>
  <si>
    <t>7791070003222.</t>
  </si>
  <si>
    <t>.Rollodecocinax3nitidess7792409007447</t>
  </si>
  <si>
    <t>7792409007447.</t>
  </si>
  <si>
    <t>.Poettayudin7793253003470</t>
  </si>
  <si>
    <t>7793253003470.</t>
  </si>
  <si>
    <t>.Poettlavanda7793253003500</t>
  </si>
  <si>
    <t>7793253003500</t>
  </si>
  <si>
    <t>repisa3</t>
  </si>
  <si>
    <t>jabon liquido azul x litro</t>
  </si>
  <si>
    <t>jabon liquido verde x litro</t>
  </si>
  <si>
    <t>suavizante azul x litro</t>
  </si>
  <si>
    <t>suavizante blanco x litro</t>
  </si>
  <si>
    <t>lavandina x litro</t>
  </si>
  <si>
    <t>detergente verde x litro</t>
  </si>
  <si>
    <t>lindo olor x litro</t>
  </si>
  <si>
    <t>quimica</t>
  </si>
  <si>
    <t>para iniciar diciembte</t>
  </si>
  <si>
    <t>precio</t>
  </si>
  <si>
    <t>plumero SINA sin palo</t>
  </si>
  <si>
    <t>cepillo ropa c/mango argentum</t>
  </si>
  <si>
    <t>paño multiuso verde agua/rosa/violeta/amarillo</t>
  </si>
  <si>
    <t>https://supercoco.com.ar/producto/crema-dental-kolynos-super-blanco-90g</t>
  </si>
  <si>
    <t>MAYCON</t>
  </si>
  <si>
    <t>escoberia las heras</t>
  </si>
  <si>
    <t>colgate pasta dental x 90 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</si>
</sst>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" fontId="0" fillId="0" borderId="0" xfId="0" applyNumberFormat="1"/>
    <xf numFmtId="0" fontId="0" fillId="0" borderId="1" xfId="0" applyBorder="1"/>
    <xf numFmtId="0" fontId="0" fillId="0" borderId="2" xfId="0" applyBorder="1"/>
    <xf numFmtId="1" fontId="0" fillId="0" borderId="1" xfId="0" applyNumberFormat="1" applyBorder="1"/>
    <xf numFmtId="1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3" xfId="0" applyBorder="1"/>
    <xf numFmtId="0" fontId="2" fillId="0" borderId="1" xfId="0" applyFont="1" applyBorder="1" applyAlignment="1">
      <alignment vertical="center" wrapText="1"/>
    </xf>
    <xf numFmtId="2" fontId="0" fillId="0" borderId="3" xfId="0" applyNumberFormat="1" applyBorder="1"/>
    <xf numFmtId="0" fontId="3" fillId="0" borderId="1" xfId="1" applyBorder="1"/>
    <xf numFmtId="0" fontId="0" fillId="2" borderId="1" xfId="0" applyFill="1" applyBorder="1"/>
    <xf numFmtId="1" fontId="0" fillId="2" borderId="1" xfId="0" applyNumberFormat="1" applyFill="1" applyBorder="1"/>
    <xf numFmtId="0" fontId="0" fillId="2" borderId="3" xfId="0" applyFill="1" applyBorder="1"/>
    <xf numFmtId="0" fontId="0" fillId="2" borderId="0" xfId="0" applyFill="1"/>
    <xf numFmtId="1" fontId="4" fillId="0" borderId="1" xfId="0" applyNumberFormat="1" applyFont="1" applyBorder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134007</xdr:colOff>
      <xdr:row>20</xdr:row>
      <xdr:rowOff>38611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4135F4-F8C1-720A-D75F-343CCC115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706007" cy="3658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imoldimayorista.com.ar/pw/catalogo.php?tid=5&amp;sid=31308&amp;producto_id=28572%20,quimic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07DD-E60D-448C-A2AA-3B4D0549AFA0}">
  <dimension ref="A1:H115"/>
  <sheetViews>
    <sheetView zoomScale="86" zoomScaleNormal="86" workbookViewId="0">
      <pane ySplit="1" topLeftCell="A2" activePane="bottomLeft" state="frozen"/>
      <selection pane="bottomLeft" activeCell="F48" sqref="F48"/>
    </sheetView>
  </sheetViews>
  <sheetFormatPr baseColWidth="10" defaultRowHeight="15" x14ac:dyDescent="0.25"/>
  <cols>
    <col min="3" max="3" width="45.7109375" customWidth="1"/>
    <col min="5" max="5" width="27.7109375" customWidth="1"/>
    <col min="6" max="7" width="19.85546875" customWidth="1"/>
  </cols>
  <sheetData>
    <row r="1" spans="1:8" x14ac:dyDescent="0.25">
      <c r="A1" t="s">
        <v>132</v>
      </c>
      <c r="B1" t="s">
        <v>144</v>
      </c>
      <c r="C1" t="s">
        <v>0</v>
      </c>
      <c r="D1" t="s">
        <v>142</v>
      </c>
      <c r="E1" t="s">
        <v>161</v>
      </c>
      <c r="F1" t="s">
        <v>163</v>
      </c>
      <c r="G1" t="s">
        <v>162</v>
      </c>
      <c r="H1" t="s">
        <v>16</v>
      </c>
    </row>
    <row r="2" spans="1:8" x14ac:dyDescent="0.25">
      <c r="A2" t="s">
        <v>133</v>
      </c>
      <c r="B2">
        <v>1</v>
      </c>
      <c r="C2" t="s">
        <v>1</v>
      </c>
      <c r="D2" t="e">
        <f>VLOOKUP(B2,'inventario 1-12'!$B:$E,3,FALSE)</f>
        <v>#N/A</v>
      </c>
      <c r="E2">
        <v>270</v>
      </c>
      <c r="F2" t="e">
        <f>VLOOKUP(B2,'inventario 1-12'!$B:$E,5,FALSE)</f>
        <v>#N/A</v>
      </c>
      <c r="G2">
        <f>E2+0.3*E2</f>
        <v>351</v>
      </c>
      <c r="H2" t="e">
        <f t="shared" ref="H2:H33" si="0">D2*F2</f>
        <v>#N/A</v>
      </c>
    </row>
    <row r="3" spans="1:8" x14ac:dyDescent="0.25">
      <c r="A3" t="s">
        <v>133</v>
      </c>
      <c r="B3">
        <v>2</v>
      </c>
      <c r="C3" t="s">
        <v>3</v>
      </c>
      <c r="D3" t="e">
        <f>VLOOKUP(B3,'inventario 1-12'!$B:$E,3,FALSE)</f>
        <v>#N/A</v>
      </c>
      <c r="E3">
        <v>390</v>
      </c>
      <c r="F3" t="e">
        <f>VLOOKUP(B3,'inventario 1-12'!$B:$E,5,FALSE)</f>
        <v>#N/A</v>
      </c>
      <c r="G3">
        <f t="shared" ref="G3:G66" si="1">E3+0.3*E3</f>
        <v>507</v>
      </c>
      <c r="H3" t="e">
        <f t="shared" si="0"/>
        <v>#N/A</v>
      </c>
    </row>
    <row r="4" spans="1:8" x14ac:dyDescent="0.25">
      <c r="A4" t="s">
        <v>133</v>
      </c>
      <c r="B4">
        <v>3</v>
      </c>
      <c r="C4" t="s">
        <v>4</v>
      </c>
      <c r="D4" t="e">
        <f>VLOOKUP(B4,'inventario 1-12'!$B:$E,3,FALSE)</f>
        <v>#N/A</v>
      </c>
      <c r="E4">
        <v>380</v>
      </c>
      <c r="F4" t="e">
        <f>VLOOKUP(B4,'inventario 1-12'!$B:$E,5,FALSE)</f>
        <v>#N/A</v>
      </c>
      <c r="G4">
        <f t="shared" si="1"/>
        <v>494</v>
      </c>
      <c r="H4" t="e">
        <f t="shared" si="0"/>
        <v>#N/A</v>
      </c>
    </row>
    <row r="5" spans="1:8" x14ac:dyDescent="0.25">
      <c r="A5" t="s">
        <v>133</v>
      </c>
      <c r="B5">
        <v>4</v>
      </c>
      <c r="C5" t="s">
        <v>6</v>
      </c>
      <c r="D5" t="e">
        <f>VLOOKUP(B5,'inventario 1-12'!$B:$E,3,FALSE)</f>
        <v>#N/A</v>
      </c>
      <c r="E5">
        <v>3100</v>
      </c>
      <c r="F5" t="e">
        <f>VLOOKUP(B5,'inventario 1-12'!$B:$E,5,FALSE)</f>
        <v>#N/A</v>
      </c>
      <c r="G5">
        <f t="shared" si="1"/>
        <v>4030</v>
      </c>
      <c r="H5" t="e">
        <f t="shared" si="0"/>
        <v>#N/A</v>
      </c>
    </row>
    <row r="6" spans="1:8" x14ac:dyDescent="0.25">
      <c r="A6" t="s">
        <v>133</v>
      </c>
      <c r="B6">
        <v>5</v>
      </c>
      <c r="C6" t="s">
        <v>7</v>
      </c>
      <c r="D6" t="e">
        <f>VLOOKUP(B6,'inventario 1-12'!$B:$E,3,FALSE)</f>
        <v>#N/A</v>
      </c>
      <c r="E6">
        <v>1100</v>
      </c>
      <c r="F6" t="e">
        <f>VLOOKUP(B6,'inventario 1-12'!$B:$E,5,FALSE)</f>
        <v>#N/A</v>
      </c>
      <c r="G6">
        <f t="shared" si="1"/>
        <v>1430</v>
      </c>
      <c r="H6" t="e">
        <f t="shared" si="0"/>
        <v>#N/A</v>
      </c>
    </row>
    <row r="7" spans="1:8" x14ac:dyDescent="0.25">
      <c r="A7" t="s">
        <v>133</v>
      </c>
      <c r="B7">
        <v>6</v>
      </c>
      <c r="C7" t="s">
        <v>5</v>
      </c>
      <c r="D7" t="e">
        <f>VLOOKUP(B7,'inventario 1-12'!$B:$E,3,FALSE)</f>
        <v>#N/A</v>
      </c>
      <c r="E7">
        <v>350</v>
      </c>
      <c r="F7" t="e">
        <f>VLOOKUP(B7,'inventario 1-12'!$B:$E,5,FALSE)</f>
        <v>#N/A</v>
      </c>
      <c r="G7">
        <f t="shared" si="1"/>
        <v>455</v>
      </c>
      <c r="H7" t="e">
        <f t="shared" si="0"/>
        <v>#N/A</v>
      </c>
    </row>
    <row r="8" spans="1:8" x14ac:dyDescent="0.25">
      <c r="A8" t="s">
        <v>133</v>
      </c>
      <c r="B8">
        <v>7</v>
      </c>
      <c r="C8" t="s">
        <v>11</v>
      </c>
      <c r="D8" t="e">
        <f>VLOOKUP(B8,'inventario 1-12'!$B:$E,3,FALSE)</f>
        <v>#N/A</v>
      </c>
      <c r="E8">
        <v>320</v>
      </c>
      <c r="F8" t="e">
        <f>VLOOKUP(B8,'inventario 1-12'!$B:$E,5,FALSE)</f>
        <v>#N/A</v>
      </c>
      <c r="G8">
        <f t="shared" si="1"/>
        <v>416</v>
      </c>
      <c r="H8" t="e">
        <f t="shared" si="0"/>
        <v>#N/A</v>
      </c>
    </row>
    <row r="9" spans="1:8" x14ac:dyDescent="0.25">
      <c r="A9" t="s">
        <v>133</v>
      </c>
      <c r="B9">
        <v>8</v>
      </c>
      <c r="C9" t="s">
        <v>66</v>
      </c>
      <c r="D9" t="e">
        <f>VLOOKUP(B9,'inventario 1-12'!$B:$E,3,FALSE)</f>
        <v>#N/A</v>
      </c>
      <c r="E9">
        <v>380</v>
      </c>
      <c r="F9" t="e">
        <f>VLOOKUP(B9,'inventario 1-12'!$B:$E,5,FALSE)</f>
        <v>#N/A</v>
      </c>
      <c r="G9">
        <f t="shared" si="1"/>
        <v>494</v>
      </c>
      <c r="H9" t="e">
        <f t="shared" si="0"/>
        <v>#N/A</v>
      </c>
    </row>
    <row r="10" spans="1:8" x14ac:dyDescent="0.25">
      <c r="A10" t="s">
        <v>133</v>
      </c>
      <c r="B10">
        <v>9</v>
      </c>
      <c r="C10" t="s">
        <v>2</v>
      </c>
      <c r="D10" t="e">
        <f>VLOOKUP(B10,'inventario 1-12'!$B:$E,3,FALSE)</f>
        <v>#N/A</v>
      </c>
      <c r="E10">
        <v>80</v>
      </c>
      <c r="F10" t="e">
        <f>VLOOKUP(B10,'inventario 1-12'!$B:$E,5,FALSE)</f>
        <v>#N/A</v>
      </c>
      <c r="G10">
        <f t="shared" si="1"/>
        <v>104</v>
      </c>
      <c r="H10" t="e">
        <f t="shared" si="0"/>
        <v>#N/A</v>
      </c>
    </row>
    <row r="11" spans="1:8" x14ac:dyDescent="0.25">
      <c r="A11" t="s">
        <v>134</v>
      </c>
      <c r="B11">
        <v>10</v>
      </c>
      <c r="C11" t="s">
        <v>53</v>
      </c>
      <c r="D11" t="e">
        <f>VLOOKUP(B11,'inventario 1-12'!$B:$E,3,FALSE)</f>
        <v>#N/A</v>
      </c>
      <c r="E11">
        <v>320</v>
      </c>
      <c r="F11" t="e">
        <f>VLOOKUP(B11,'inventario 1-12'!$B:$E,5,FALSE)</f>
        <v>#N/A</v>
      </c>
      <c r="G11">
        <f t="shared" si="1"/>
        <v>416</v>
      </c>
      <c r="H11" t="e">
        <f t="shared" si="0"/>
        <v>#N/A</v>
      </c>
    </row>
    <row r="12" spans="1:8" x14ac:dyDescent="0.25">
      <c r="A12" t="s">
        <v>134</v>
      </c>
      <c r="B12">
        <v>11</v>
      </c>
      <c r="C12" t="s">
        <v>145</v>
      </c>
      <c r="D12" t="e">
        <f>VLOOKUP(B12,'inventario 1-12'!$B:$E,3,FALSE)</f>
        <v>#N/A</v>
      </c>
      <c r="E12">
        <v>750</v>
      </c>
      <c r="F12" t="e">
        <f>VLOOKUP(B12,'inventario 1-12'!$B:$E,5,FALSE)</f>
        <v>#N/A</v>
      </c>
      <c r="G12">
        <f t="shared" si="1"/>
        <v>975</v>
      </c>
      <c r="H12" t="e">
        <f t="shared" si="0"/>
        <v>#N/A</v>
      </c>
    </row>
    <row r="13" spans="1:8" x14ac:dyDescent="0.25">
      <c r="A13" t="s">
        <v>134</v>
      </c>
      <c r="B13">
        <v>12</v>
      </c>
      <c r="C13" t="s">
        <v>52</v>
      </c>
      <c r="D13" t="e">
        <f>VLOOKUP(B13,'inventario 1-12'!$B:$E,3,FALSE)</f>
        <v>#N/A</v>
      </c>
      <c r="E13">
        <v>450</v>
      </c>
      <c r="F13" t="e">
        <f>VLOOKUP(B13,'inventario 1-12'!$B:$E,5,FALSE)</f>
        <v>#N/A</v>
      </c>
      <c r="G13">
        <f t="shared" si="1"/>
        <v>585</v>
      </c>
      <c r="H13" t="e">
        <f t="shared" si="0"/>
        <v>#N/A</v>
      </c>
    </row>
    <row r="14" spans="1:8" x14ac:dyDescent="0.25">
      <c r="A14" t="s">
        <v>134</v>
      </c>
      <c r="B14">
        <v>13</v>
      </c>
      <c r="C14" t="s">
        <v>146</v>
      </c>
      <c r="D14" t="e">
        <f>VLOOKUP(B14,'inventario 1-12'!$B:$E,3,FALSE)</f>
        <v>#N/A</v>
      </c>
      <c r="E14">
        <v>400</v>
      </c>
      <c r="F14" t="e">
        <f>VLOOKUP(B14,'inventario 1-12'!$B:$E,5,FALSE)</f>
        <v>#N/A</v>
      </c>
      <c r="G14">
        <f t="shared" si="1"/>
        <v>520</v>
      </c>
      <c r="H14" t="e">
        <f t="shared" si="0"/>
        <v>#N/A</v>
      </c>
    </row>
    <row r="15" spans="1:8" x14ac:dyDescent="0.25">
      <c r="A15" t="s">
        <v>134</v>
      </c>
      <c r="B15">
        <v>14</v>
      </c>
      <c r="C15" t="s">
        <v>43</v>
      </c>
      <c r="D15" t="e">
        <f>VLOOKUP(B15,'inventario 1-12'!$B:$E,3,FALSE)</f>
        <v>#N/A</v>
      </c>
      <c r="E15">
        <v>280</v>
      </c>
      <c r="F15" t="e">
        <f>VLOOKUP(B15,'inventario 1-12'!$B:$E,5,FALSE)</f>
        <v>#N/A</v>
      </c>
      <c r="G15">
        <f t="shared" si="1"/>
        <v>364</v>
      </c>
      <c r="H15" t="e">
        <f t="shared" si="0"/>
        <v>#N/A</v>
      </c>
    </row>
    <row r="16" spans="1:8" x14ac:dyDescent="0.25">
      <c r="A16" t="s">
        <v>134</v>
      </c>
      <c r="B16">
        <v>15</v>
      </c>
      <c r="C16" t="s">
        <v>138</v>
      </c>
      <c r="D16" t="e">
        <f>VLOOKUP(B16,'inventario 1-12'!$B:$E,3,FALSE)</f>
        <v>#N/A</v>
      </c>
      <c r="E16">
        <v>220</v>
      </c>
      <c r="F16" t="e">
        <f>VLOOKUP(B16,'inventario 1-12'!$B:$E,5,FALSE)</f>
        <v>#N/A</v>
      </c>
      <c r="G16">
        <f t="shared" si="1"/>
        <v>286</v>
      </c>
      <c r="H16" t="e">
        <f t="shared" si="0"/>
        <v>#N/A</v>
      </c>
    </row>
    <row r="17" spans="1:8" x14ac:dyDescent="0.25">
      <c r="A17" t="s">
        <v>134</v>
      </c>
      <c r="B17">
        <v>16</v>
      </c>
      <c r="C17" t="s">
        <v>65</v>
      </c>
      <c r="D17" t="e">
        <f>VLOOKUP(B17,'inventario 1-12'!$B:$E,3,FALSE)</f>
        <v>#N/A</v>
      </c>
      <c r="E17">
        <v>380</v>
      </c>
      <c r="F17" t="e">
        <f>VLOOKUP(B17,'inventario 1-12'!$B:$E,5,FALSE)</f>
        <v>#N/A</v>
      </c>
      <c r="G17">
        <f t="shared" si="1"/>
        <v>494</v>
      </c>
      <c r="H17" t="e">
        <f t="shared" si="0"/>
        <v>#N/A</v>
      </c>
    </row>
    <row r="18" spans="1:8" x14ac:dyDescent="0.25">
      <c r="A18" t="s">
        <v>134</v>
      </c>
      <c r="B18">
        <v>17</v>
      </c>
      <c r="C18" t="s">
        <v>100</v>
      </c>
      <c r="D18" t="e">
        <f>VLOOKUP(B18,'inventario 1-12'!$B:$E,3,FALSE)</f>
        <v>#N/A</v>
      </c>
      <c r="E18">
        <v>530</v>
      </c>
      <c r="F18" t="e">
        <f>VLOOKUP(B18,'inventario 1-12'!$B:$E,5,FALSE)</f>
        <v>#N/A</v>
      </c>
      <c r="G18">
        <f t="shared" si="1"/>
        <v>689</v>
      </c>
      <c r="H18" t="e">
        <f t="shared" si="0"/>
        <v>#N/A</v>
      </c>
    </row>
    <row r="19" spans="1:8" x14ac:dyDescent="0.25">
      <c r="A19" t="s">
        <v>134</v>
      </c>
      <c r="B19">
        <v>18</v>
      </c>
      <c r="C19" t="s">
        <v>45</v>
      </c>
      <c r="D19" t="e">
        <f>VLOOKUP(B19,'inventario 1-12'!$B:$E,3,FALSE)</f>
        <v>#N/A</v>
      </c>
      <c r="E19">
        <v>460</v>
      </c>
      <c r="F19" t="e">
        <f>VLOOKUP(B19,'inventario 1-12'!$B:$E,5,FALSE)</f>
        <v>#N/A</v>
      </c>
      <c r="G19">
        <f t="shared" si="1"/>
        <v>598</v>
      </c>
      <c r="H19" t="e">
        <f t="shared" si="0"/>
        <v>#N/A</v>
      </c>
    </row>
    <row r="20" spans="1:8" x14ac:dyDescent="0.25">
      <c r="A20" t="s">
        <v>134</v>
      </c>
      <c r="B20">
        <v>19</v>
      </c>
      <c r="C20" t="s">
        <v>44</v>
      </c>
      <c r="D20" t="e">
        <f>VLOOKUP(B20,'inventario 1-12'!$B:$E,3,FALSE)</f>
        <v>#N/A</v>
      </c>
      <c r="E20">
        <v>390</v>
      </c>
      <c r="F20" t="e">
        <f>VLOOKUP(B20,'inventario 1-12'!$B:$E,5,FALSE)</f>
        <v>#N/A</v>
      </c>
      <c r="G20">
        <f t="shared" si="1"/>
        <v>507</v>
      </c>
      <c r="H20" t="e">
        <f t="shared" si="0"/>
        <v>#N/A</v>
      </c>
    </row>
    <row r="21" spans="1:8" x14ac:dyDescent="0.25">
      <c r="A21" t="s">
        <v>134</v>
      </c>
      <c r="B21">
        <v>20</v>
      </c>
      <c r="C21" t="s">
        <v>147</v>
      </c>
      <c r="D21" t="e">
        <f>VLOOKUP(B21,'inventario 1-12'!$B:$E,3,FALSE)</f>
        <v>#N/A</v>
      </c>
      <c r="E21">
        <v>580</v>
      </c>
      <c r="F21" t="e">
        <f>VLOOKUP(B21,'inventario 1-12'!$B:$E,5,FALSE)</f>
        <v>#N/A</v>
      </c>
      <c r="G21">
        <f t="shared" si="1"/>
        <v>754</v>
      </c>
      <c r="H21" t="e">
        <f t="shared" si="0"/>
        <v>#N/A</v>
      </c>
    </row>
    <row r="22" spans="1:8" x14ac:dyDescent="0.25">
      <c r="A22" t="s">
        <v>134</v>
      </c>
      <c r="B22">
        <v>21</v>
      </c>
      <c r="C22" t="s">
        <v>48</v>
      </c>
      <c r="D22" t="e">
        <f>VLOOKUP(B22,'inventario 1-12'!$B:$E,3,FALSE)</f>
        <v>#N/A</v>
      </c>
      <c r="E22">
        <v>490</v>
      </c>
      <c r="F22" t="e">
        <f>VLOOKUP(B22,'inventario 1-12'!$B:$E,5,FALSE)</f>
        <v>#N/A</v>
      </c>
      <c r="G22">
        <f t="shared" si="1"/>
        <v>637</v>
      </c>
      <c r="H22" t="e">
        <f t="shared" si="0"/>
        <v>#N/A</v>
      </c>
    </row>
    <row r="23" spans="1:8" x14ac:dyDescent="0.25">
      <c r="A23" t="s">
        <v>134</v>
      </c>
      <c r="B23">
        <v>22</v>
      </c>
      <c r="C23" t="s">
        <v>50</v>
      </c>
      <c r="D23" t="e">
        <f>VLOOKUP(B23,'inventario 1-12'!$B:$E,3,FALSE)</f>
        <v>#N/A</v>
      </c>
      <c r="E23">
        <v>690</v>
      </c>
      <c r="F23" t="e">
        <f>VLOOKUP(B23,'inventario 1-12'!$B:$E,5,FALSE)</f>
        <v>#N/A</v>
      </c>
      <c r="G23">
        <f t="shared" si="1"/>
        <v>897</v>
      </c>
      <c r="H23" t="e">
        <f t="shared" si="0"/>
        <v>#N/A</v>
      </c>
    </row>
    <row r="24" spans="1:8" x14ac:dyDescent="0.25">
      <c r="A24" t="s">
        <v>134</v>
      </c>
      <c r="B24">
        <v>23</v>
      </c>
      <c r="C24" t="s">
        <v>49</v>
      </c>
      <c r="D24" t="e">
        <f>VLOOKUP(B24,'inventario 1-12'!$B:$E,3,FALSE)</f>
        <v>#N/A</v>
      </c>
      <c r="E24">
        <v>1000</v>
      </c>
      <c r="F24" t="e">
        <f>VLOOKUP(B24,'inventario 1-12'!$B:$E,5,FALSE)</f>
        <v>#N/A</v>
      </c>
      <c r="G24">
        <f t="shared" si="1"/>
        <v>1300</v>
      </c>
      <c r="H24" t="e">
        <f t="shared" si="0"/>
        <v>#N/A</v>
      </c>
    </row>
    <row r="25" spans="1:8" x14ac:dyDescent="0.25">
      <c r="A25" t="s">
        <v>134</v>
      </c>
      <c r="B25">
        <v>26</v>
      </c>
      <c r="C25" t="s">
        <v>61</v>
      </c>
      <c r="D25" t="e">
        <f>VLOOKUP(B25,'inventario 1-12'!$B:$E,3,FALSE)</f>
        <v>#N/A</v>
      </c>
      <c r="E25">
        <v>500</v>
      </c>
      <c r="F25" t="e">
        <f>VLOOKUP(B25,'inventario 1-12'!$B:$E,5,FALSE)</f>
        <v>#N/A</v>
      </c>
      <c r="G25">
        <f t="shared" si="1"/>
        <v>650</v>
      </c>
      <c r="H25" t="e">
        <f t="shared" si="0"/>
        <v>#N/A</v>
      </c>
    </row>
    <row r="26" spans="1:8" x14ac:dyDescent="0.25">
      <c r="A26" t="s">
        <v>134</v>
      </c>
      <c r="B26">
        <v>27</v>
      </c>
      <c r="C26" t="s">
        <v>62</v>
      </c>
      <c r="D26" t="e">
        <f>VLOOKUP(B26,'inventario 1-12'!$B:$E,3,FALSE)</f>
        <v>#N/A</v>
      </c>
      <c r="E26">
        <v>100</v>
      </c>
      <c r="F26" t="e">
        <f>VLOOKUP(B26,'inventario 1-12'!$B:$E,5,FALSE)</f>
        <v>#N/A</v>
      </c>
      <c r="G26">
        <f t="shared" si="1"/>
        <v>130</v>
      </c>
      <c r="H26" t="e">
        <f t="shared" si="0"/>
        <v>#N/A</v>
      </c>
    </row>
    <row r="27" spans="1:8" x14ac:dyDescent="0.25">
      <c r="A27" t="s">
        <v>134</v>
      </c>
      <c r="B27">
        <v>28</v>
      </c>
      <c r="C27" t="s">
        <v>156</v>
      </c>
      <c r="D27" t="e">
        <f>VLOOKUP(B27,'inventario 1-12'!$B:$E,3,FALSE)</f>
        <v>#N/A</v>
      </c>
      <c r="E27">
        <v>150</v>
      </c>
      <c r="F27" t="e">
        <f>VLOOKUP(B27,'inventario 1-12'!$B:$E,5,FALSE)</f>
        <v>#N/A</v>
      </c>
      <c r="G27">
        <f t="shared" si="1"/>
        <v>195</v>
      </c>
      <c r="H27" t="e">
        <f t="shared" si="0"/>
        <v>#N/A</v>
      </c>
    </row>
    <row r="28" spans="1:8" x14ac:dyDescent="0.25">
      <c r="A28" t="s">
        <v>134</v>
      </c>
      <c r="B28">
        <v>29</v>
      </c>
      <c r="C28" t="s">
        <v>54</v>
      </c>
      <c r="D28" t="e">
        <f>VLOOKUP(B28,'inventario 1-12'!$B:$E,3,FALSE)</f>
        <v>#N/A</v>
      </c>
      <c r="E28">
        <v>180</v>
      </c>
      <c r="F28" t="e">
        <f>VLOOKUP(B28,'inventario 1-12'!$B:$E,5,FALSE)</f>
        <v>#N/A</v>
      </c>
      <c r="G28">
        <f t="shared" si="1"/>
        <v>234</v>
      </c>
      <c r="H28" t="e">
        <f t="shared" si="0"/>
        <v>#N/A</v>
      </c>
    </row>
    <row r="29" spans="1:8" x14ac:dyDescent="0.25">
      <c r="A29" t="s">
        <v>134</v>
      </c>
      <c r="B29">
        <v>30</v>
      </c>
      <c r="C29" t="s">
        <v>89</v>
      </c>
      <c r="D29" t="e">
        <f>VLOOKUP(B29,'inventario 1-12'!$B:$E,3,FALSE)</f>
        <v>#N/A</v>
      </c>
      <c r="E29">
        <v>130</v>
      </c>
      <c r="F29" t="e">
        <f>VLOOKUP(B29,'inventario 1-12'!$B:$E,5,FALSE)</f>
        <v>#N/A</v>
      </c>
      <c r="G29">
        <f t="shared" si="1"/>
        <v>169</v>
      </c>
      <c r="H29" t="e">
        <f t="shared" si="0"/>
        <v>#N/A</v>
      </c>
    </row>
    <row r="30" spans="1:8" x14ac:dyDescent="0.25">
      <c r="A30" t="s">
        <v>134</v>
      </c>
      <c r="B30">
        <v>31</v>
      </c>
      <c r="C30" t="s">
        <v>88</v>
      </c>
      <c r="D30" t="e">
        <f>VLOOKUP(B30,'inventario 1-12'!$B:$E,3,FALSE)</f>
        <v>#N/A</v>
      </c>
      <c r="E30">
        <v>170</v>
      </c>
      <c r="F30" t="e">
        <f>VLOOKUP(B30,'inventario 1-12'!$B:$E,5,FALSE)</f>
        <v>#N/A</v>
      </c>
      <c r="G30">
        <f t="shared" si="1"/>
        <v>221</v>
      </c>
      <c r="H30" t="e">
        <f t="shared" si="0"/>
        <v>#N/A</v>
      </c>
    </row>
    <row r="31" spans="1:8" x14ac:dyDescent="0.25">
      <c r="A31" t="s">
        <v>134</v>
      </c>
      <c r="B31">
        <v>32</v>
      </c>
      <c r="C31" t="s">
        <v>97</v>
      </c>
      <c r="D31" t="e">
        <f>VLOOKUP(B31,'inventario 1-12'!$B:$E,3,FALSE)</f>
        <v>#N/A</v>
      </c>
      <c r="E31">
        <v>300</v>
      </c>
      <c r="F31" t="e">
        <f>VLOOKUP(B31,'inventario 1-12'!$B:$E,5,FALSE)</f>
        <v>#N/A</v>
      </c>
      <c r="G31">
        <f t="shared" si="1"/>
        <v>390</v>
      </c>
      <c r="H31" t="e">
        <f t="shared" si="0"/>
        <v>#N/A</v>
      </c>
    </row>
    <row r="32" spans="1:8" x14ac:dyDescent="0.25">
      <c r="A32" t="s">
        <v>134</v>
      </c>
      <c r="B32">
        <v>33</v>
      </c>
      <c r="C32" t="s">
        <v>101</v>
      </c>
      <c r="D32" t="e">
        <f>VLOOKUP(B32,'inventario 1-12'!$B:$E,3,FALSE)</f>
        <v>#N/A</v>
      </c>
      <c r="E32">
        <v>520</v>
      </c>
      <c r="F32" t="e">
        <f>VLOOKUP(B32,'inventario 1-12'!$B:$E,5,FALSE)</f>
        <v>#N/A</v>
      </c>
      <c r="G32">
        <f t="shared" si="1"/>
        <v>676</v>
      </c>
      <c r="H32" t="e">
        <f t="shared" si="0"/>
        <v>#N/A</v>
      </c>
    </row>
    <row r="33" spans="1:8" x14ac:dyDescent="0.25">
      <c r="A33" t="s">
        <v>134</v>
      </c>
      <c r="B33">
        <v>34</v>
      </c>
      <c r="C33" t="s">
        <v>98</v>
      </c>
      <c r="D33" t="e">
        <f>VLOOKUP(B33,'inventario 1-12'!$B:$E,3,FALSE)</f>
        <v>#N/A</v>
      </c>
      <c r="E33">
        <v>520</v>
      </c>
      <c r="F33" t="e">
        <f>VLOOKUP(B33,'inventario 1-12'!$B:$E,5,FALSE)</f>
        <v>#N/A</v>
      </c>
      <c r="G33">
        <f t="shared" si="1"/>
        <v>676</v>
      </c>
      <c r="H33" t="e">
        <f t="shared" si="0"/>
        <v>#N/A</v>
      </c>
    </row>
    <row r="34" spans="1:8" x14ac:dyDescent="0.25">
      <c r="A34" t="s">
        <v>134</v>
      </c>
      <c r="B34">
        <v>35</v>
      </c>
      <c r="C34" t="s">
        <v>103</v>
      </c>
      <c r="D34" t="e">
        <f>VLOOKUP(B34,'inventario 1-12'!$B:$E,3,FALSE)</f>
        <v>#N/A</v>
      </c>
      <c r="E34">
        <v>380</v>
      </c>
      <c r="F34" t="e">
        <f>VLOOKUP(B34,'inventario 1-12'!$B:$E,5,FALSE)</f>
        <v>#N/A</v>
      </c>
      <c r="G34">
        <f t="shared" si="1"/>
        <v>494</v>
      </c>
      <c r="H34" t="e">
        <f t="shared" ref="H34:H65" si="2">D34*F34</f>
        <v>#N/A</v>
      </c>
    </row>
    <row r="35" spans="1:8" x14ac:dyDescent="0.25">
      <c r="A35" t="s">
        <v>134</v>
      </c>
      <c r="B35">
        <v>36</v>
      </c>
      <c r="C35" t="s">
        <v>85</v>
      </c>
      <c r="D35" t="e">
        <f>VLOOKUP(B35,'inventario 1-12'!$B:$E,3,FALSE)</f>
        <v>#N/A</v>
      </c>
      <c r="E35">
        <v>490</v>
      </c>
      <c r="F35" t="e">
        <f>VLOOKUP(B35,'inventario 1-12'!$B:$E,5,FALSE)</f>
        <v>#N/A</v>
      </c>
      <c r="G35">
        <f t="shared" si="1"/>
        <v>637</v>
      </c>
      <c r="H35" t="e">
        <f t="shared" si="2"/>
        <v>#N/A</v>
      </c>
    </row>
    <row r="36" spans="1:8" x14ac:dyDescent="0.25">
      <c r="A36" t="s">
        <v>134</v>
      </c>
      <c r="B36">
        <v>37</v>
      </c>
      <c r="C36" t="s">
        <v>129</v>
      </c>
      <c r="D36" t="e">
        <f>VLOOKUP(B36,'inventario 1-12'!$B:$E,3,FALSE)</f>
        <v>#N/A</v>
      </c>
      <c r="E36">
        <v>250</v>
      </c>
      <c r="F36" t="e">
        <f>VLOOKUP(B36,'inventario 1-12'!$B:$E,5,FALSE)</f>
        <v>#N/A</v>
      </c>
      <c r="G36">
        <f t="shared" si="1"/>
        <v>325</v>
      </c>
      <c r="H36" t="e">
        <f t="shared" si="2"/>
        <v>#N/A</v>
      </c>
    </row>
    <row r="37" spans="1:8" x14ac:dyDescent="0.25">
      <c r="A37" t="s">
        <v>134</v>
      </c>
      <c r="B37">
        <v>38</v>
      </c>
      <c r="C37" t="s">
        <v>131</v>
      </c>
      <c r="D37" t="e">
        <f>VLOOKUP(B37,'inventario 1-12'!$B:$E,3,FALSE)</f>
        <v>#N/A</v>
      </c>
      <c r="E37">
        <v>450</v>
      </c>
      <c r="F37" t="e">
        <f>VLOOKUP(B37,'inventario 1-12'!$B:$E,5,FALSE)</f>
        <v>#N/A</v>
      </c>
      <c r="G37">
        <f t="shared" si="1"/>
        <v>585</v>
      </c>
      <c r="H37" t="e">
        <f t="shared" si="2"/>
        <v>#N/A</v>
      </c>
    </row>
    <row r="38" spans="1:8" x14ac:dyDescent="0.25">
      <c r="A38" t="s">
        <v>134</v>
      </c>
      <c r="B38">
        <v>39</v>
      </c>
      <c r="C38" t="s">
        <v>157</v>
      </c>
      <c r="D38" t="e">
        <f>VLOOKUP(B38,'inventario 1-12'!$B:$E,3,FALSE)</f>
        <v>#N/A</v>
      </c>
      <c r="E38">
        <v>490</v>
      </c>
      <c r="F38" t="e">
        <f>VLOOKUP(B38,'inventario 1-12'!$B:$E,5,FALSE)</f>
        <v>#N/A</v>
      </c>
      <c r="G38">
        <f t="shared" si="1"/>
        <v>637</v>
      </c>
      <c r="H38" t="e">
        <f t="shared" si="2"/>
        <v>#N/A</v>
      </c>
    </row>
    <row r="39" spans="1:8" x14ac:dyDescent="0.25">
      <c r="A39" t="s">
        <v>134</v>
      </c>
      <c r="B39">
        <v>107</v>
      </c>
      <c r="C39" t="s">
        <v>148</v>
      </c>
      <c r="D39" t="e">
        <f>VLOOKUP(B39,'inventario 1-12'!$B:$E,3,FALSE)</f>
        <v>#N/A</v>
      </c>
      <c r="E39">
        <v>420</v>
      </c>
      <c r="F39" t="e">
        <f>VLOOKUP(B39,'inventario 1-12'!$B:$E,5,FALSE)</f>
        <v>#N/A</v>
      </c>
      <c r="G39">
        <f t="shared" si="1"/>
        <v>546</v>
      </c>
      <c r="H39" t="e">
        <f t="shared" si="2"/>
        <v>#N/A</v>
      </c>
    </row>
    <row r="40" spans="1:8" x14ac:dyDescent="0.25">
      <c r="A40" t="s">
        <v>134</v>
      </c>
      <c r="B40">
        <v>108</v>
      </c>
      <c r="C40" t="s">
        <v>149</v>
      </c>
      <c r="D40" t="e">
        <f>VLOOKUP(B40,'inventario 1-12'!$B:$E,3,FALSE)</f>
        <v>#N/A</v>
      </c>
      <c r="E40">
        <v>420</v>
      </c>
      <c r="F40" t="e">
        <f>VLOOKUP(B40,'inventario 1-12'!$B:$E,5,FALSE)</f>
        <v>#N/A</v>
      </c>
      <c r="G40">
        <f t="shared" si="1"/>
        <v>546</v>
      </c>
      <c r="H40" t="e">
        <f t="shared" si="2"/>
        <v>#N/A</v>
      </c>
    </row>
    <row r="41" spans="1:8" x14ac:dyDescent="0.25">
      <c r="A41" t="s">
        <v>134</v>
      </c>
      <c r="B41">
        <v>109</v>
      </c>
      <c r="C41" t="s">
        <v>150</v>
      </c>
      <c r="D41" t="e">
        <f>VLOOKUP(B41,'inventario 1-12'!$B:$E,3,FALSE)</f>
        <v>#N/A</v>
      </c>
      <c r="E41">
        <v>190</v>
      </c>
      <c r="F41" t="e">
        <f>VLOOKUP(B41,'inventario 1-12'!$B:$E,5,FALSE)</f>
        <v>#N/A</v>
      </c>
      <c r="G41">
        <f t="shared" si="1"/>
        <v>247</v>
      </c>
      <c r="H41" t="e">
        <f t="shared" si="2"/>
        <v>#N/A</v>
      </c>
    </row>
    <row r="42" spans="1:8" x14ac:dyDescent="0.25">
      <c r="A42" t="s">
        <v>134</v>
      </c>
      <c r="B42">
        <v>110</v>
      </c>
      <c r="C42" t="s">
        <v>151</v>
      </c>
      <c r="D42" t="e">
        <f>VLOOKUP(B42,'inventario 1-12'!$B:$E,3,FALSE)</f>
        <v>#N/A</v>
      </c>
      <c r="E42">
        <v>319</v>
      </c>
      <c r="F42" t="e">
        <f>VLOOKUP(B42,'inventario 1-12'!$B:$E,5,FALSE)</f>
        <v>#N/A</v>
      </c>
      <c r="G42">
        <f t="shared" si="1"/>
        <v>414.7</v>
      </c>
      <c r="H42" t="e">
        <f t="shared" si="2"/>
        <v>#N/A</v>
      </c>
    </row>
    <row r="43" spans="1:8" x14ac:dyDescent="0.25">
      <c r="A43" t="s">
        <v>134</v>
      </c>
      <c r="B43">
        <v>111</v>
      </c>
      <c r="C43" t="s">
        <v>152</v>
      </c>
      <c r="D43" t="e">
        <f>VLOOKUP(B43,'inventario 1-12'!$B:$E,3,FALSE)</f>
        <v>#N/A</v>
      </c>
      <c r="E43">
        <v>305</v>
      </c>
      <c r="F43" t="e">
        <f>VLOOKUP(B43,'inventario 1-12'!$B:$E,5,FALSE)</f>
        <v>#N/A</v>
      </c>
      <c r="G43">
        <f t="shared" si="1"/>
        <v>396.5</v>
      </c>
      <c r="H43" t="e">
        <f t="shared" si="2"/>
        <v>#N/A</v>
      </c>
    </row>
    <row r="44" spans="1:8" x14ac:dyDescent="0.25">
      <c r="A44" t="s">
        <v>139</v>
      </c>
      <c r="B44">
        <v>24</v>
      </c>
      <c r="C44" t="s">
        <v>30</v>
      </c>
      <c r="D44" t="e">
        <f>VLOOKUP(B44,'inventario 1-12'!$B:$E,3,FALSE)</f>
        <v>#N/A</v>
      </c>
      <c r="E44">
        <v>1550</v>
      </c>
      <c r="F44" t="e">
        <f>VLOOKUP(B44,'inventario 1-12'!$B:$E,5,FALSE)</f>
        <v>#N/A</v>
      </c>
      <c r="G44">
        <f t="shared" si="1"/>
        <v>2015</v>
      </c>
      <c r="H44" t="e">
        <f t="shared" si="2"/>
        <v>#N/A</v>
      </c>
    </row>
    <row r="45" spans="1:8" x14ac:dyDescent="0.25">
      <c r="A45" t="s">
        <v>139</v>
      </c>
      <c r="B45">
        <v>25</v>
      </c>
      <c r="C45" t="s">
        <v>31</v>
      </c>
      <c r="D45" t="e">
        <f>VLOOKUP(B45,'inventario 1-12'!$B:$E,3,FALSE)</f>
        <v>#N/A</v>
      </c>
      <c r="E45">
        <v>150</v>
      </c>
      <c r="F45" t="e">
        <f>VLOOKUP(B45,'inventario 1-12'!$B:$E,5,FALSE)</f>
        <v>#N/A</v>
      </c>
      <c r="G45">
        <f t="shared" si="1"/>
        <v>195</v>
      </c>
      <c r="H45" t="e">
        <f t="shared" si="2"/>
        <v>#N/A</v>
      </c>
    </row>
    <row r="46" spans="1:8" x14ac:dyDescent="0.25">
      <c r="A46" t="s">
        <v>139</v>
      </c>
      <c r="B46">
        <v>40</v>
      </c>
      <c r="C46" t="s">
        <v>14</v>
      </c>
      <c r="D46" t="e">
        <f>VLOOKUP(B46,'inventario 1-12'!$B:$E,3,FALSE)</f>
        <v>#N/A</v>
      </c>
      <c r="E46">
        <v>220</v>
      </c>
      <c r="F46" t="e">
        <f>VLOOKUP(B46,'inventario 1-12'!$B:$E,5,FALSE)</f>
        <v>#N/A</v>
      </c>
      <c r="G46">
        <f t="shared" si="1"/>
        <v>286</v>
      </c>
      <c r="H46" t="e">
        <f t="shared" si="2"/>
        <v>#N/A</v>
      </c>
    </row>
    <row r="47" spans="1:8" x14ac:dyDescent="0.25">
      <c r="A47" t="s">
        <v>139</v>
      </c>
      <c r="B47">
        <v>41</v>
      </c>
      <c r="C47" t="s">
        <v>46</v>
      </c>
      <c r="D47" t="e">
        <f>VLOOKUP(B47,'inventario 1-12'!$B:$E,3,FALSE)</f>
        <v>#N/A</v>
      </c>
      <c r="E47">
        <v>350</v>
      </c>
      <c r="F47" t="e">
        <f>VLOOKUP(B47,'inventario 1-12'!$B:$E,5,FALSE)</f>
        <v>#N/A</v>
      </c>
      <c r="G47">
        <f t="shared" si="1"/>
        <v>455</v>
      </c>
      <c r="H47" t="e">
        <f t="shared" si="2"/>
        <v>#N/A</v>
      </c>
    </row>
    <row r="48" spans="1:8" x14ac:dyDescent="0.25">
      <c r="A48" t="s">
        <v>139</v>
      </c>
      <c r="B48">
        <v>42</v>
      </c>
      <c r="C48" t="s">
        <v>47</v>
      </c>
      <c r="D48" t="e">
        <f>VLOOKUP(B48,'inventario 1-12'!$B:$E,3,FALSE)</f>
        <v>#N/A</v>
      </c>
      <c r="E48">
        <v>310</v>
      </c>
      <c r="F48" t="e">
        <f>VLOOKUP(B48,'inventario 1-12'!$B:$E,5,FALSE)</f>
        <v>#N/A</v>
      </c>
      <c r="G48">
        <f t="shared" si="1"/>
        <v>403</v>
      </c>
      <c r="H48" t="e">
        <f t="shared" si="2"/>
        <v>#N/A</v>
      </c>
    </row>
    <row r="49" spans="1:8" x14ac:dyDescent="0.25">
      <c r="A49" t="s">
        <v>139</v>
      </c>
      <c r="B49">
        <v>43</v>
      </c>
      <c r="C49" t="s">
        <v>32</v>
      </c>
      <c r="D49" t="e">
        <f>VLOOKUP(B49,'inventario 1-12'!$B:$E,3,FALSE)</f>
        <v>#N/A</v>
      </c>
      <c r="E49">
        <v>450</v>
      </c>
      <c r="F49" t="e">
        <f>VLOOKUP(B49,'inventario 1-12'!$B:$E,5,FALSE)</f>
        <v>#N/A</v>
      </c>
      <c r="G49">
        <f t="shared" si="1"/>
        <v>585</v>
      </c>
      <c r="H49" t="e">
        <f t="shared" si="2"/>
        <v>#N/A</v>
      </c>
    </row>
    <row r="50" spans="1:8" x14ac:dyDescent="0.25">
      <c r="A50" t="s">
        <v>139</v>
      </c>
      <c r="B50">
        <v>44</v>
      </c>
      <c r="C50" t="s">
        <v>158</v>
      </c>
      <c r="D50" t="e">
        <f>VLOOKUP(B50,'inventario 1-12'!$B:$E,3,FALSE)</f>
        <v>#N/A</v>
      </c>
      <c r="E50">
        <v>750</v>
      </c>
      <c r="F50" t="e">
        <f>VLOOKUP(B50,'inventario 1-12'!$B:$E,5,FALSE)</f>
        <v>#N/A</v>
      </c>
      <c r="G50">
        <f t="shared" si="1"/>
        <v>975</v>
      </c>
      <c r="H50" t="e">
        <f t="shared" si="2"/>
        <v>#N/A</v>
      </c>
    </row>
    <row r="51" spans="1:8" x14ac:dyDescent="0.25">
      <c r="A51" t="s">
        <v>139</v>
      </c>
      <c r="B51">
        <v>45</v>
      </c>
      <c r="C51" t="s">
        <v>159</v>
      </c>
      <c r="D51" t="e">
        <f>VLOOKUP(B51,'inventario 1-12'!$B:$E,3,FALSE)</f>
        <v>#N/A</v>
      </c>
      <c r="E51">
        <v>190</v>
      </c>
      <c r="F51" t="e">
        <f>VLOOKUP(B51,'inventario 1-12'!$B:$E,5,FALSE)</f>
        <v>#N/A</v>
      </c>
      <c r="G51">
        <f t="shared" si="1"/>
        <v>247</v>
      </c>
      <c r="H51" t="e">
        <f t="shared" si="2"/>
        <v>#N/A</v>
      </c>
    </row>
    <row r="52" spans="1:8" x14ac:dyDescent="0.25">
      <c r="A52" t="s">
        <v>139</v>
      </c>
      <c r="B52">
        <v>46</v>
      </c>
      <c r="C52" t="s">
        <v>27</v>
      </c>
      <c r="D52" t="e">
        <f>VLOOKUP(B52,'inventario 1-12'!$B:$E,3,FALSE)</f>
        <v>#N/A</v>
      </c>
      <c r="E52">
        <v>100</v>
      </c>
      <c r="F52" t="e">
        <f>VLOOKUP(B52,'inventario 1-12'!$B:$E,5,FALSE)</f>
        <v>#N/A</v>
      </c>
      <c r="G52">
        <f t="shared" si="1"/>
        <v>130</v>
      </c>
      <c r="H52" t="e">
        <f t="shared" si="2"/>
        <v>#N/A</v>
      </c>
    </row>
    <row r="53" spans="1:8" x14ac:dyDescent="0.25">
      <c r="A53" t="s">
        <v>139</v>
      </c>
      <c r="B53">
        <v>47</v>
      </c>
      <c r="C53" t="s">
        <v>28</v>
      </c>
      <c r="D53" t="e">
        <f>VLOOKUP(B53,'inventario 1-12'!$B:$E,3,FALSE)</f>
        <v>#N/A</v>
      </c>
      <c r="E53">
        <v>100</v>
      </c>
      <c r="F53" t="e">
        <f>VLOOKUP(B53,'inventario 1-12'!$B:$E,5,FALSE)</f>
        <v>#N/A</v>
      </c>
      <c r="G53">
        <f t="shared" si="1"/>
        <v>130</v>
      </c>
      <c r="H53" t="e">
        <f t="shared" si="2"/>
        <v>#N/A</v>
      </c>
    </row>
    <row r="54" spans="1:8" x14ac:dyDescent="0.25">
      <c r="A54" t="s">
        <v>139</v>
      </c>
      <c r="B54">
        <v>48</v>
      </c>
      <c r="C54" t="s">
        <v>26</v>
      </c>
      <c r="D54" t="e">
        <f>VLOOKUP(B54,'inventario 1-12'!$B:$E,3,FALSE)</f>
        <v>#N/A</v>
      </c>
      <c r="E54">
        <v>300</v>
      </c>
      <c r="F54" t="e">
        <f>VLOOKUP(B54,'inventario 1-12'!$B:$E,5,FALSE)</f>
        <v>#N/A</v>
      </c>
      <c r="G54">
        <f t="shared" si="1"/>
        <v>390</v>
      </c>
      <c r="H54" t="e">
        <f t="shared" si="2"/>
        <v>#N/A</v>
      </c>
    </row>
    <row r="55" spans="1:8" x14ac:dyDescent="0.25">
      <c r="A55" t="s">
        <v>139</v>
      </c>
      <c r="B55">
        <v>49</v>
      </c>
      <c r="C55" t="s">
        <v>93</v>
      </c>
      <c r="D55" t="e">
        <f>VLOOKUP(B55,'inventario 1-12'!$B:$E,3,FALSE)</f>
        <v>#N/A</v>
      </c>
      <c r="E55">
        <v>500</v>
      </c>
      <c r="F55" t="e">
        <f>VLOOKUP(B55,'inventario 1-12'!$B:$E,5,FALSE)</f>
        <v>#N/A</v>
      </c>
      <c r="G55">
        <f t="shared" si="1"/>
        <v>650</v>
      </c>
      <c r="H55" t="e">
        <f t="shared" si="2"/>
        <v>#N/A</v>
      </c>
    </row>
    <row r="56" spans="1:8" x14ac:dyDescent="0.25">
      <c r="A56" t="s">
        <v>139</v>
      </c>
      <c r="B56">
        <v>50</v>
      </c>
      <c r="C56" t="s">
        <v>13</v>
      </c>
      <c r="D56" t="e">
        <f>VLOOKUP(B56,'inventario 1-12'!$B:$E,3,FALSE)</f>
        <v>#N/A</v>
      </c>
      <c r="E56">
        <v>150</v>
      </c>
      <c r="F56" t="e">
        <f>VLOOKUP(B56,'inventario 1-12'!$B:$E,5,FALSE)</f>
        <v>#N/A</v>
      </c>
      <c r="G56">
        <f t="shared" si="1"/>
        <v>195</v>
      </c>
      <c r="H56" t="e">
        <f t="shared" si="2"/>
        <v>#N/A</v>
      </c>
    </row>
    <row r="57" spans="1:8" x14ac:dyDescent="0.25">
      <c r="A57" t="s">
        <v>139</v>
      </c>
      <c r="B57">
        <v>51</v>
      </c>
      <c r="C57" t="s">
        <v>33</v>
      </c>
      <c r="D57" t="e">
        <f>VLOOKUP(B57,'inventario 1-12'!$B:$E,3,FALSE)</f>
        <v>#N/A</v>
      </c>
      <c r="E57">
        <v>300</v>
      </c>
      <c r="F57" t="e">
        <f>VLOOKUP(B57,'inventario 1-12'!$B:$E,5,FALSE)</f>
        <v>#N/A</v>
      </c>
      <c r="G57">
        <f t="shared" si="1"/>
        <v>390</v>
      </c>
      <c r="H57" t="e">
        <f t="shared" si="2"/>
        <v>#N/A</v>
      </c>
    </row>
    <row r="58" spans="1:8" x14ac:dyDescent="0.25">
      <c r="A58" t="s">
        <v>139</v>
      </c>
      <c r="B58">
        <v>52</v>
      </c>
      <c r="C58" t="s">
        <v>8</v>
      </c>
      <c r="D58" t="e">
        <f>VLOOKUP(B58,'inventario 1-12'!$B:$E,3,FALSE)</f>
        <v>#N/A</v>
      </c>
      <c r="E58">
        <v>350</v>
      </c>
      <c r="F58" t="e">
        <f>VLOOKUP(B58,'inventario 1-12'!$B:$E,5,FALSE)</f>
        <v>#N/A</v>
      </c>
      <c r="G58">
        <f t="shared" si="1"/>
        <v>455</v>
      </c>
      <c r="H58" t="e">
        <f t="shared" si="2"/>
        <v>#N/A</v>
      </c>
    </row>
    <row r="59" spans="1:8" x14ac:dyDescent="0.25">
      <c r="A59" t="s">
        <v>139</v>
      </c>
      <c r="B59">
        <v>53</v>
      </c>
      <c r="C59" t="s">
        <v>40</v>
      </c>
      <c r="D59" t="e">
        <f>VLOOKUP(B59,'inventario 1-12'!$B:$E,3,FALSE)</f>
        <v>#N/A</v>
      </c>
      <c r="E59">
        <v>290</v>
      </c>
      <c r="F59" t="e">
        <f>VLOOKUP(B59,'inventario 1-12'!$B:$E,5,FALSE)</f>
        <v>#N/A</v>
      </c>
      <c r="G59">
        <f t="shared" si="1"/>
        <v>377</v>
      </c>
      <c r="H59" t="e">
        <f t="shared" si="2"/>
        <v>#N/A</v>
      </c>
    </row>
    <row r="60" spans="1:8" x14ac:dyDescent="0.25">
      <c r="A60" t="s">
        <v>139</v>
      </c>
      <c r="B60">
        <v>54</v>
      </c>
      <c r="C60" t="s">
        <v>34</v>
      </c>
      <c r="D60" t="e">
        <f>VLOOKUP(B60,'inventario 1-12'!$B:$E,3,FALSE)</f>
        <v>#N/A</v>
      </c>
      <c r="E60">
        <v>270</v>
      </c>
      <c r="F60" t="e">
        <f>VLOOKUP(B60,'inventario 1-12'!$B:$E,5,FALSE)</f>
        <v>#N/A</v>
      </c>
      <c r="G60">
        <f t="shared" si="1"/>
        <v>351</v>
      </c>
      <c r="H60" t="e">
        <f t="shared" si="2"/>
        <v>#N/A</v>
      </c>
    </row>
    <row r="61" spans="1:8" x14ac:dyDescent="0.25">
      <c r="A61" t="s">
        <v>139</v>
      </c>
      <c r="B61">
        <v>55</v>
      </c>
      <c r="C61" t="s">
        <v>104</v>
      </c>
      <c r="D61" t="e">
        <f>VLOOKUP(B61,'inventario 1-12'!$B:$E,3,FALSE)</f>
        <v>#N/A</v>
      </c>
      <c r="E61">
        <v>400</v>
      </c>
      <c r="F61" t="e">
        <f>VLOOKUP(B61,'inventario 1-12'!$B:$E,5,FALSE)</f>
        <v>#N/A</v>
      </c>
      <c r="G61">
        <f t="shared" si="1"/>
        <v>520</v>
      </c>
      <c r="H61" t="e">
        <f t="shared" si="2"/>
        <v>#N/A</v>
      </c>
    </row>
    <row r="62" spans="1:8" x14ac:dyDescent="0.25">
      <c r="A62" t="s">
        <v>139</v>
      </c>
      <c r="B62">
        <v>56</v>
      </c>
      <c r="C62" t="s">
        <v>18</v>
      </c>
      <c r="D62" t="e">
        <f>VLOOKUP(B62,'inventario 1-12'!$B:$E,3,FALSE)</f>
        <v>#N/A</v>
      </c>
      <c r="E62">
        <v>280</v>
      </c>
      <c r="F62" t="e">
        <f>VLOOKUP(B62,'inventario 1-12'!$B:$E,5,FALSE)</f>
        <v>#N/A</v>
      </c>
      <c r="G62">
        <f t="shared" si="1"/>
        <v>364</v>
      </c>
      <c r="H62" t="e">
        <f t="shared" si="2"/>
        <v>#N/A</v>
      </c>
    </row>
    <row r="63" spans="1:8" x14ac:dyDescent="0.25">
      <c r="A63" t="s">
        <v>139</v>
      </c>
      <c r="B63">
        <v>57</v>
      </c>
      <c r="C63" t="s">
        <v>15</v>
      </c>
      <c r="D63" t="e">
        <f>VLOOKUP(B63,'inventario 1-12'!$B:$E,3,FALSE)</f>
        <v>#N/A</v>
      </c>
      <c r="E63">
        <v>330</v>
      </c>
      <c r="F63" t="e">
        <f>VLOOKUP(B63,'inventario 1-12'!$B:$E,5,FALSE)</f>
        <v>#N/A</v>
      </c>
      <c r="G63">
        <f t="shared" si="1"/>
        <v>429</v>
      </c>
      <c r="H63" t="e">
        <f t="shared" si="2"/>
        <v>#N/A</v>
      </c>
    </row>
    <row r="64" spans="1:8" x14ac:dyDescent="0.25">
      <c r="A64" t="s">
        <v>139</v>
      </c>
      <c r="B64">
        <v>58</v>
      </c>
      <c r="C64" t="s">
        <v>84</v>
      </c>
      <c r="D64" t="e">
        <f>VLOOKUP(B64,'inventario 1-12'!$B:$E,3,FALSE)</f>
        <v>#N/A</v>
      </c>
      <c r="E64">
        <v>320</v>
      </c>
      <c r="F64" t="e">
        <f>VLOOKUP(B64,'inventario 1-12'!$B:$E,5,FALSE)</f>
        <v>#N/A</v>
      </c>
      <c r="G64">
        <f t="shared" si="1"/>
        <v>416</v>
      </c>
      <c r="H64" t="e">
        <f t="shared" si="2"/>
        <v>#N/A</v>
      </c>
    </row>
    <row r="65" spans="1:8" x14ac:dyDescent="0.25">
      <c r="A65" t="s">
        <v>139</v>
      </c>
      <c r="B65">
        <v>59</v>
      </c>
      <c r="C65" t="s">
        <v>85</v>
      </c>
      <c r="D65" t="e">
        <f>VLOOKUP(B65,'inventario 1-12'!$B:$E,3,FALSE)</f>
        <v>#N/A</v>
      </c>
      <c r="E65">
        <v>340</v>
      </c>
      <c r="F65" t="e">
        <f>VLOOKUP(B65,'inventario 1-12'!$B:$E,5,FALSE)</f>
        <v>#N/A</v>
      </c>
      <c r="G65">
        <f t="shared" si="1"/>
        <v>442</v>
      </c>
      <c r="H65" t="e">
        <f t="shared" si="2"/>
        <v>#N/A</v>
      </c>
    </row>
    <row r="66" spans="1:8" x14ac:dyDescent="0.25">
      <c r="A66" t="s">
        <v>139</v>
      </c>
      <c r="B66">
        <v>60</v>
      </c>
      <c r="C66" t="s">
        <v>86</v>
      </c>
      <c r="D66" t="e">
        <f>VLOOKUP(B66,'inventario 1-12'!$B:$E,3,FALSE)</f>
        <v>#N/A</v>
      </c>
      <c r="E66">
        <v>270</v>
      </c>
      <c r="F66" t="e">
        <f>VLOOKUP(B66,'inventario 1-12'!$B:$E,5,FALSE)</f>
        <v>#N/A</v>
      </c>
      <c r="G66">
        <f t="shared" si="1"/>
        <v>351</v>
      </c>
      <c r="H66" t="e">
        <f t="shared" ref="H66:H97" si="3">D66*F66</f>
        <v>#N/A</v>
      </c>
    </row>
    <row r="67" spans="1:8" x14ac:dyDescent="0.25">
      <c r="A67" t="s">
        <v>139</v>
      </c>
      <c r="B67">
        <v>61</v>
      </c>
      <c r="C67" t="s">
        <v>87</v>
      </c>
      <c r="D67" t="e">
        <f>VLOOKUP(B67,'inventario 1-12'!$B:$E,3,FALSE)</f>
        <v>#N/A</v>
      </c>
      <c r="E67">
        <v>750</v>
      </c>
      <c r="F67" t="e">
        <f>VLOOKUP(B67,'inventario 1-12'!$B:$E,5,FALSE)</f>
        <v>#N/A</v>
      </c>
      <c r="G67">
        <f t="shared" ref="G67:G115" si="4">E67+0.3*E67</f>
        <v>975</v>
      </c>
      <c r="H67" t="e">
        <f t="shared" si="3"/>
        <v>#N/A</v>
      </c>
    </row>
    <row r="68" spans="1:8" x14ac:dyDescent="0.25">
      <c r="A68" t="s">
        <v>139</v>
      </c>
      <c r="B68">
        <v>62</v>
      </c>
      <c r="C68" t="s">
        <v>90</v>
      </c>
      <c r="D68" t="e">
        <f>VLOOKUP(B68,'inventario 1-12'!$B:$E,3,FALSE)</f>
        <v>#N/A</v>
      </c>
      <c r="E68">
        <v>60</v>
      </c>
      <c r="F68" t="e">
        <f>VLOOKUP(B68,'inventario 1-12'!$B:$E,5,FALSE)</f>
        <v>#N/A</v>
      </c>
      <c r="G68">
        <f t="shared" si="4"/>
        <v>78</v>
      </c>
      <c r="H68" t="e">
        <f t="shared" si="3"/>
        <v>#N/A</v>
      </c>
    </row>
    <row r="69" spans="1:8" x14ac:dyDescent="0.25">
      <c r="A69" t="s">
        <v>139</v>
      </c>
      <c r="B69">
        <v>63</v>
      </c>
      <c r="C69" t="s">
        <v>91</v>
      </c>
      <c r="D69" t="e">
        <f>VLOOKUP(B69,'inventario 1-12'!$B:$E,3,FALSE)</f>
        <v>#N/A</v>
      </c>
      <c r="E69">
        <v>420</v>
      </c>
      <c r="F69" t="e">
        <f>VLOOKUP(B69,'inventario 1-12'!$B:$E,5,FALSE)</f>
        <v>#N/A</v>
      </c>
      <c r="G69">
        <f t="shared" si="4"/>
        <v>546</v>
      </c>
      <c r="H69" t="e">
        <f t="shared" si="3"/>
        <v>#N/A</v>
      </c>
    </row>
    <row r="70" spans="1:8" x14ac:dyDescent="0.25">
      <c r="A70" t="s">
        <v>139</v>
      </c>
      <c r="B70">
        <v>64</v>
      </c>
      <c r="C70" t="s">
        <v>92</v>
      </c>
      <c r="D70" t="e">
        <f>VLOOKUP(B70,'inventario 1-12'!$B:$E,3,FALSE)</f>
        <v>#N/A</v>
      </c>
      <c r="E70">
        <v>380</v>
      </c>
      <c r="F70" t="e">
        <f>VLOOKUP(B70,'inventario 1-12'!$B:$E,5,FALSE)</f>
        <v>#N/A</v>
      </c>
      <c r="G70">
        <f t="shared" si="4"/>
        <v>494</v>
      </c>
      <c r="H70" t="e">
        <f t="shared" si="3"/>
        <v>#N/A</v>
      </c>
    </row>
    <row r="71" spans="1:8" x14ac:dyDescent="0.25">
      <c r="A71" t="s">
        <v>139</v>
      </c>
      <c r="B71">
        <v>65</v>
      </c>
      <c r="C71" t="s">
        <v>160</v>
      </c>
      <c r="D71" t="e">
        <f>VLOOKUP(B71,'inventario 1-12'!$B:$E,3,FALSE)</f>
        <v>#N/A</v>
      </c>
      <c r="E71">
        <v>490</v>
      </c>
      <c r="F71" t="e">
        <f>VLOOKUP(B71,'inventario 1-12'!$B:$E,5,FALSE)</f>
        <v>#N/A</v>
      </c>
      <c r="G71">
        <f t="shared" si="4"/>
        <v>637</v>
      </c>
      <c r="H71" t="e">
        <f t="shared" si="3"/>
        <v>#N/A</v>
      </c>
    </row>
    <row r="72" spans="1:8" x14ac:dyDescent="0.25">
      <c r="A72" t="s">
        <v>139</v>
      </c>
      <c r="B72">
        <v>66</v>
      </c>
      <c r="C72" t="s">
        <v>94</v>
      </c>
      <c r="D72" t="e">
        <f>VLOOKUP(B72,'inventario 1-12'!$B:$E,3,FALSE)</f>
        <v>#N/A</v>
      </c>
      <c r="E72">
        <v>1200</v>
      </c>
      <c r="F72" t="e">
        <f>VLOOKUP(B72,'inventario 1-12'!$B:$E,5,FALSE)</f>
        <v>#N/A</v>
      </c>
      <c r="G72">
        <f t="shared" si="4"/>
        <v>1560</v>
      </c>
      <c r="H72" t="e">
        <f t="shared" si="3"/>
        <v>#N/A</v>
      </c>
    </row>
    <row r="73" spans="1:8" x14ac:dyDescent="0.25">
      <c r="A73" t="s">
        <v>139</v>
      </c>
      <c r="B73">
        <v>67</v>
      </c>
      <c r="C73" t="s">
        <v>95</v>
      </c>
      <c r="D73" t="e">
        <f>VLOOKUP(B73,'inventario 1-12'!$B:$E,3,FALSE)</f>
        <v>#N/A</v>
      </c>
      <c r="E73">
        <v>500</v>
      </c>
      <c r="F73" t="e">
        <f>VLOOKUP(B73,'inventario 1-12'!$B:$E,5,FALSE)</f>
        <v>#N/A</v>
      </c>
      <c r="G73">
        <f t="shared" si="4"/>
        <v>650</v>
      </c>
      <c r="H73" t="e">
        <f t="shared" si="3"/>
        <v>#N/A</v>
      </c>
    </row>
    <row r="74" spans="1:8" x14ac:dyDescent="0.25">
      <c r="A74" t="s">
        <v>139</v>
      </c>
      <c r="B74">
        <v>68</v>
      </c>
      <c r="C74" t="s">
        <v>96</v>
      </c>
      <c r="D74" t="e">
        <f>VLOOKUP(B74,'inventario 1-12'!$B:$E,3,FALSE)</f>
        <v>#N/A</v>
      </c>
      <c r="E74">
        <v>230</v>
      </c>
      <c r="F74" t="e">
        <f>VLOOKUP(B74,'inventario 1-12'!$B:$E,5,FALSE)</f>
        <v>#N/A</v>
      </c>
      <c r="G74">
        <f t="shared" si="4"/>
        <v>299</v>
      </c>
      <c r="H74" t="e">
        <f t="shared" si="3"/>
        <v>#N/A</v>
      </c>
    </row>
    <row r="75" spans="1:8" x14ac:dyDescent="0.25">
      <c r="A75" t="s">
        <v>139</v>
      </c>
      <c r="B75">
        <v>69</v>
      </c>
      <c r="C75" t="s">
        <v>102</v>
      </c>
      <c r="D75" t="e">
        <f>VLOOKUP(B75,'inventario 1-12'!$B:$E,3,FALSE)</f>
        <v>#N/A</v>
      </c>
      <c r="E75">
        <v>250</v>
      </c>
      <c r="F75" t="e">
        <f>VLOOKUP(B75,'inventario 1-12'!$B:$E,5,FALSE)</f>
        <v>#N/A</v>
      </c>
      <c r="G75">
        <f t="shared" si="4"/>
        <v>325</v>
      </c>
      <c r="H75" t="e">
        <f t="shared" si="3"/>
        <v>#N/A</v>
      </c>
    </row>
    <row r="76" spans="1:8" x14ac:dyDescent="0.25">
      <c r="A76" t="s">
        <v>139</v>
      </c>
      <c r="B76">
        <v>112</v>
      </c>
      <c r="C76" t="s">
        <v>153</v>
      </c>
      <c r="D76" t="e">
        <f>VLOOKUP(B76,'inventario 1-12'!$B:$E,3,FALSE)</f>
        <v>#N/A</v>
      </c>
      <c r="E76">
        <v>270</v>
      </c>
      <c r="F76" t="e">
        <f>VLOOKUP(B76,'inventario 1-12'!$B:$E,5,FALSE)</f>
        <v>#N/A</v>
      </c>
      <c r="G76">
        <f t="shared" si="4"/>
        <v>351</v>
      </c>
      <c r="H76" t="e">
        <f t="shared" si="3"/>
        <v>#N/A</v>
      </c>
    </row>
    <row r="77" spans="1:8" x14ac:dyDescent="0.25">
      <c r="A77" t="s">
        <v>139</v>
      </c>
      <c r="B77">
        <v>113</v>
      </c>
      <c r="C77" t="s">
        <v>154</v>
      </c>
      <c r="D77" t="e">
        <f>VLOOKUP(B77,'inventario 1-12'!$B:$E,3,FALSE)</f>
        <v>#N/A</v>
      </c>
      <c r="E77">
        <v>250</v>
      </c>
      <c r="F77" t="e">
        <f>VLOOKUP(B77,'inventario 1-12'!$B:$E,5,FALSE)</f>
        <v>#N/A</v>
      </c>
      <c r="G77">
        <f t="shared" si="4"/>
        <v>325</v>
      </c>
      <c r="H77" t="e">
        <f t="shared" si="3"/>
        <v>#N/A</v>
      </c>
    </row>
    <row r="78" spans="1:8" x14ac:dyDescent="0.25">
      <c r="A78" t="s">
        <v>139</v>
      </c>
      <c r="B78">
        <v>114</v>
      </c>
      <c r="C78" t="s">
        <v>155</v>
      </c>
      <c r="D78" t="e">
        <f>VLOOKUP(B78,'inventario 1-12'!$B:$E,3,FALSE)</f>
        <v>#N/A</v>
      </c>
      <c r="E78">
        <v>150</v>
      </c>
      <c r="F78" t="e">
        <f>VLOOKUP(B78,'inventario 1-12'!$B:$E,5,FALSE)</f>
        <v>#N/A</v>
      </c>
      <c r="G78">
        <f t="shared" si="4"/>
        <v>195</v>
      </c>
      <c r="H78" t="e">
        <f t="shared" si="3"/>
        <v>#N/A</v>
      </c>
    </row>
    <row r="79" spans="1:8" x14ac:dyDescent="0.25">
      <c r="A79" t="s">
        <v>140</v>
      </c>
      <c r="B79">
        <v>70</v>
      </c>
      <c r="C79" t="s">
        <v>9</v>
      </c>
      <c r="D79" t="e">
        <f>VLOOKUP(B79,'inventario 1-12'!$B:$E,3,FALSE)</f>
        <v>#N/A</v>
      </c>
      <c r="E79">
        <v>310</v>
      </c>
      <c r="F79" t="e">
        <f>VLOOKUP(B79,'inventario 1-12'!$B:$E,5,FALSE)</f>
        <v>#N/A</v>
      </c>
      <c r="G79">
        <f t="shared" si="4"/>
        <v>403</v>
      </c>
      <c r="H79" t="e">
        <f t="shared" si="3"/>
        <v>#N/A</v>
      </c>
    </row>
    <row r="80" spans="1:8" x14ac:dyDescent="0.25">
      <c r="A80" t="s">
        <v>140</v>
      </c>
      <c r="B80">
        <v>71</v>
      </c>
      <c r="C80" t="s">
        <v>10</v>
      </c>
      <c r="D80" t="e">
        <f>VLOOKUP(B80,'inventario 1-12'!$B:$E,3,FALSE)</f>
        <v>#N/A</v>
      </c>
      <c r="E80">
        <v>300</v>
      </c>
      <c r="F80" t="e">
        <f>VLOOKUP(B80,'inventario 1-12'!$B:$E,5,FALSE)</f>
        <v>#N/A</v>
      </c>
      <c r="G80">
        <f t="shared" si="4"/>
        <v>390</v>
      </c>
      <c r="H80" t="e">
        <f t="shared" si="3"/>
        <v>#N/A</v>
      </c>
    </row>
    <row r="81" spans="1:8" x14ac:dyDescent="0.25">
      <c r="A81" t="s">
        <v>140</v>
      </c>
      <c r="B81">
        <v>72</v>
      </c>
      <c r="C81" t="s">
        <v>23</v>
      </c>
      <c r="D81" t="e">
        <f>VLOOKUP(B81,'inventario 1-12'!$B:$E,3,FALSE)</f>
        <v>#N/A</v>
      </c>
      <c r="E81">
        <v>646</v>
      </c>
      <c r="F81" t="e">
        <f>VLOOKUP(B81,'inventario 1-12'!$B:$E,5,FALSE)</f>
        <v>#N/A</v>
      </c>
      <c r="G81">
        <f t="shared" si="4"/>
        <v>839.8</v>
      </c>
      <c r="H81" t="e">
        <f t="shared" si="3"/>
        <v>#N/A</v>
      </c>
    </row>
    <row r="82" spans="1:8" x14ac:dyDescent="0.25">
      <c r="A82" t="s">
        <v>140</v>
      </c>
      <c r="B82">
        <v>73</v>
      </c>
      <c r="C82" t="s">
        <v>24</v>
      </c>
      <c r="D82" t="e">
        <f>VLOOKUP(B82,'inventario 1-12'!$B:$E,3,FALSE)</f>
        <v>#N/A</v>
      </c>
      <c r="E82">
        <v>579</v>
      </c>
      <c r="F82" t="e">
        <f>VLOOKUP(B82,'inventario 1-12'!$B:$E,5,FALSE)</f>
        <v>#N/A</v>
      </c>
      <c r="G82">
        <f t="shared" si="4"/>
        <v>752.7</v>
      </c>
      <c r="H82" t="e">
        <f t="shared" si="3"/>
        <v>#N/A</v>
      </c>
    </row>
    <row r="83" spans="1:8" x14ac:dyDescent="0.25">
      <c r="A83" t="s">
        <v>140</v>
      </c>
      <c r="B83">
        <v>74</v>
      </c>
      <c r="C83" t="s">
        <v>20</v>
      </c>
      <c r="D83" t="e">
        <f>VLOOKUP(B83,'inventario 1-12'!$B:$E,3,FALSE)</f>
        <v>#N/A</v>
      </c>
      <c r="E83">
        <v>686</v>
      </c>
      <c r="F83" t="e">
        <f>VLOOKUP(B83,'inventario 1-12'!$B:$E,5,FALSE)</f>
        <v>#N/A</v>
      </c>
      <c r="G83">
        <f t="shared" si="4"/>
        <v>891.8</v>
      </c>
      <c r="H83" t="e">
        <f t="shared" si="3"/>
        <v>#N/A</v>
      </c>
    </row>
    <row r="84" spans="1:8" x14ac:dyDescent="0.25">
      <c r="A84" t="s">
        <v>140</v>
      </c>
      <c r="B84">
        <v>75</v>
      </c>
      <c r="C84" t="s">
        <v>21</v>
      </c>
      <c r="D84" t="e">
        <f>VLOOKUP(B84,'inventario 1-12'!$B:$E,3,FALSE)</f>
        <v>#N/A</v>
      </c>
      <c r="E84">
        <v>467</v>
      </c>
      <c r="F84" t="e">
        <f>VLOOKUP(B84,'inventario 1-12'!$B:$E,5,FALSE)</f>
        <v>#N/A</v>
      </c>
      <c r="G84">
        <f t="shared" si="4"/>
        <v>607.1</v>
      </c>
      <c r="H84" t="e">
        <f t="shared" si="3"/>
        <v>#N/A</v>
      </c>
    </row>
    <row r="85" spans="1:8" x14ac:dyDescent="0.25">
      <c r="A85" t="s">
        <v>140</v>
      </c>
      <c r="B85">
        <v>76</v>
      </c>
      <c r="C85" t="s">
        <v>22</v>
      </c>
      <c r="D85" t="e">
        <f>VLOOKUP(B85,'inventario 1-12'!$B:$E,3,FALSE)</f>
        <v>#N/A</v>
      </c>
      <c r="E85">
        <v>162</v>
      </c>
      <c r="F85" t="e">
        <f>VLOOKUP(B85,'inventario 1-12'!$B:$E,5,FALSE)</f>
        <v>#N/A</v>
      </c>
      <c r="G85">
        <f t="shared" si="4"/>
        <v>210.6</v>
      </c>
      <c r="H85" t="e">
        <f t="shared" si="3"/>
        <v>#N/A</v>
      </c>
    </row>
    <row r="86" spans="1:8" x14ac:dyDescent="0.25">
      <c r="A86" t="s">
        <v>140</v>
      </c>
      <c r="B86">
        <v>77</v>
      </c>
      <c r="C86" t="s">
        <v>68</v>
      </c>
      <c r="D86" t="e">
        <f>VLOOKUP(B86,'inventario 1-12'!$B:$E,3,FALSE)</f>
        <v>#N/A</v>
      </c>
      <c r="E86">
        <v>183</v>
      </c>
      <c r="F86" t="e">
        <f>VLOOKUP(B86,'inventario 1-12'!$B:$E,5,FALSE)</f>
        <v>#N/A</v>
      </c>
      <c r="G86">
        <f t="shared" si="4"/>
        <v>237.9</v>
      </c>
      <c r="H86" t="e">
        <f t="shared" si="3"/>
        <v>#N/A</v>
      </c>
    </row>
    <row r="87" spans="1:8" x14ac:dyDescent="0.25">
      <c r="A87" t="s">
        <v>140</v>
      </c>
      <c r="B87">
        <v>78</v>
      </c>
      <c r="C87" t="s">
        <v>67</v>
      </c>
      <c r="D87" t="e">
        <f>VLOOKUP(B87,'inventario 1-12'!$B:$E,3,FALSE)</f>
        <v>#N/A</v>
      </c>
      <c r="E87">
        <v>449</v>
      </c>
      <c r="F87" t="e">
        <f>VLOOKUP(B87,'inventario 1-12'!$B:$E,5,FALSE)</f>
        <v>#N/A</v>
      </c>
      <c r="G87">
        <f t="shared" si="4"/>
        <v>583.70000000000005</v>
      </c>
      <c r="H87" t="e">
        <f t="shared" si="3"/>
        <v>#N/A</v>
      </c>
    </row>
    <row r="88" spans="1:8" x14ac:dyDescent="0.25">
      <c r="A88" t="s">
        <v>140</v>
      </c>
      <c r="B88">
        <v>79</v>
      </c>
      <c r="C88" t="s">
        <v>41</v>
      </c>
      <c r="D88" t="e">
        <f>VLOOKUP(B88,'inventario 1-12'!$B:$E,3,FALSE)</f>
        <v>#N/A</v>
      </c>
      <c r="E88">
        <v>165</v>
      </c>
      <c r="F88" t="e">
        <f>VLOOKUP(B88,'inventario 1-12'!$B:$E,5,FALSE)</f>
        <v>#N/A</v>
      </c>
      <c r="G88">
        <f t="shared" si="4"/>
        <v>214.5</v>
      </c>
      <c r="H88" t="e">
        <f t="shared" si="3"/>
        <v>#N/A</v>
      </c>
    </row>
    <row r="89" spans="1:8" x14ac:dyDescent="0.25">
      <c r="A89" t="s">
        <v>140</v>
      </c>
      <c r="B89">
        <v>80</v>
      </c>
      <c r="C89" t="s">
        <v>180</v>
      </c>
      <c r="D89" t="e">
        <f>VLOOKUP(B89,'inventario 1-12'!$B:$E,3,FALSE)</f>
        <v>#N/A</v>
      </c>
      <c r="E89">
        <f>300/6</f>
        <v>50</v>
      </c>
      <c r="F89" t="e">
        <f>VLOOKUP(B89,'inventario 1-12'!$B:$E,5,FALSE)</f>
        <v>#N/A</v>
      </c>
      <c r="G89">
        <f t="shared" si="4"/>
        <v>65</v>
      </c>
      <c r="H89" t="e">
        <f t="shared" si="3"/>
        <v>#N/A</v>
      </c>
    </row>
    <row r="90" spans="1:8" x14ac:dyDescent="0.25">
      <c r="A90" t="s">
        <v>140</v>
      </c>
      <c r="B90">
        <v>81</v>
      </c>
      <c r="C90" t="s">
        <v>17</v>
      </c>
      <c r="D90" t="e">
        <f>VLOOKUP(B90,'inventario 1-12'!$B:$E,3,FALSE)</f>
        <v>#N/A</v>
      </c>
      <c r="E90">
        <v>360</v>
      </c>
      <c r="F90" t="e">
        <f>VLOOKUP(B90,'inventario 1-12'!$B:$E,5,FALSE)</f>
        <v>#N/A</v>
      </c>
      <c r="G90">
        <f t="shared" si="4"/>
        <v>468</v>
      </c>
      <c r="H90" t="e">
        <f t="shared" si="3"/>
        <v>#N/A</v>
      </c>
    </row>
    <row r="91" spans="1:8" x14ac:dyDescent="0.25">
      <c r="A91" t="s">
        <v>140</v>
      </c>
      <c r="B91">
        <v>82</v>
      </c>
      <c r="C91" t="s">
        <v>19</v>
      </c>
      <c r="D91" t="e">
        <f>VLOOKUP(B91,'inventario 1-12'!$B:$E,3,FALSE)</f>
        <v>#N/A</v>
      </c>
      <c r="E91">
        <v>328</v>
      </c>
      <c r="F91" t="e">
        <f>VLOOKUP(B91,'inventario 1-12'!$B:$E,5,FALSE)</f>
        <v>#N/A</v>
      </c>
      <c r="G91">
        <f t="shared" si="4"/>
        <v>426.4</v>
      </c>
      <c r="H91" t="e">
        <f t="shared" si="3"/>
        <v>#N/A</v>
      </c>
    </row>
    <row r="92" spans="1:8" x14ac:dyDescent="0.25">
      <c r="A92" t="s">
        <v>140</v>
      </c>
      <c r="B92">
        <v>83</v>
      </c>
      <c r="C92" t="s">
        <v>64</v>
      </c>
      <c r="D92" t="e">
        <f>VLOOKUP(B92,'inventario 1-12'!$B:$E,3,FALSE)</f>
        <v>#N/A</v>
      </c>
      <c r="E92">
        <v>287</v>
      </c>
      <c r="F92" t="e">
        <f>VLOOKUP(B92,'inventario 1-12'!$B:$E,5,FALSE)</f>
        <v>#N/A</v>
      </c>
      <c r="G92">
        <f t="shared" si="4"/>
        <v>373.1</v>
      </c>
      <c r="H92" t="e">
        <f t="shared" si="3"/>
        <v>#N/A</v>
      </c>
    </row>
    <row r="93" spans="1:8" x14ac:dyDescent="0.25">
      <c r="A93" t="s">
        <v>140</v>
      </c>
      <c r="B93">
        <v>84</v>
      </c>
      <c r="C93" t="s">
        <v>63</v>
      </c>
      <c r="D93" t="e">
        <f>VLOOKUP(B93,'inventario 1-12'!$B:$E,3,FALSE)</f>
        <v>#N/A</v>
      </c>
      <c r="E93">
        <v>407</v>
      </c>
      <c r="F93" t="e">
        <f>VLOOKUP(B93,'inventario 1-12'!$B:$E,5,FALSE)</f>
        <v>#N/A</v>
      </c>
      <c r="G93">
        <f t="shared" si="4"/>
        <v>529.1</v>
      </c>
      <c r="H93" t="e">
        <f t="shared" si="3"/>
        <v>#N/A</v>
      </c>
    </row>
    <row r="94" spans="1:8" x14ac:dyDescent="0.25">
      <c r="A94" t="s">
        <v>140</v>
      </c>
      <c r="B94">
        <v>85</v>
      </c>
      <c r="C94" t="s">
        <v>25</v>
      </c>
      <c r="D94" t="e">
        <f>VLOOKUP(B94,'inventario 1-12'!$B:$E,3,FALSE)</f>
        <v>#N/A</v>
      </c>
      <c r="E94">
        <v>469</v>
      </c>
      <c r="F94" t="e">
        <f>VLOOKUP(B94,'inventario 1-12'!$B:$E,5,FALSE)</f>
        <v>#N/A</v>
      </c>
      <c r="G94">
        <f t="shared" si="4"/>
        <v>609.70000000000005</v>
      </c>
      <c r="H94" t="e">
        <f t="shared" si="3"/>
        <v>#N/A</v>
      </c>
    </row>
    <row r="95" spans="1:8" x14ac:dyDescent="0.25">
      <c r="A95" t="s">
        <v>140</v>
      </c>
      <c r="B95">
        <v>86</v>
      </c>
      <c r="C95" t="s">
        <v>99</v>
      </c>
      <c r="D95" t="e">
        <f>VLOOKUP(B95,'inventario 1-12'!$B:$E,3,FALSE)</f>
        <v>#N/A</v>
      </c>
      <c r="E95">
        <v>460</v>
      </c>
      <c r="F95" t="e">
        <f>VLOOKUP(B95,'inventario 1-12'!$B:$E,5,FALSE)</f>
        <v>#N/A</v>
      </c>
      <c r="G95">
        <f t="shared" si="4"/>
        <v>598</v>
      </c>
      <c r="H95" t="e">
        <f t="shared" si="3"/>
        <v>#N/A</v>
      </c>
    </row>
    <row r="96" spans="1:8" x14ac:dyDescent="0.25">
      <c r="A96" t="s">
        <v>140</v>
      </c>
      <c r="B96">
        <v>87</v>
      </c>
      <c r="C96" t="s">
        <v>126</v>
      </c>
      <c r="D96" t="e">
        <f>VLOOKUP(B96,'inventario 1-12'!$B:$E,3,FALSE)</f>
        <v>#N/A</v>
      </c>
      <c r="E96">
        <v>472</v>
      </c>
      <c r="F96" t="e">
        <f>VLOOKUP(B96,'inventario 1-12'!$B:$E,5,FALSE)</f>
        <v>#N/A</v>
      </c>
      <c r="G96">
        <f t="shared" si="4"/>
        <v>613.6</v>
      </c>
      <c r="H96" t="e">
        <f t="shared" si="3"/>
        <v>#N/A</v>
      </c>
    </row>
    <row r="97" spans="1:8" x14ac:dyDescent="0.25">
      <c r="A97" t="s">
        <v>140</v>
      </c>
      <c r="B97">
        <v>88</v>
      </c>
      <c r="C97" t="s">
        <v>127</v>
      </c>
      <c r="D97" t="e">
        <f>VLOOKUP(B97,'inventario 1-12'!$B:$E,3,FALSE)</f>
        <v>#N/A</v>
      </c>
      <c r="E97">
        <v>329</v>
      </c>
      <c r="F97" t="e">
        <f>VLOOKUP(B97,'inventario 1-12'!$B:$E,5,FALSE)</f>
        <v>#N/A</v>
      </c>
      <c r="G97">
        <f t="shared" si="4"/>
        <v>427.7</v>
      </c>
      <c r="H97" t="e">
        <f t="shared" si="3"/>
        <v>#N/A</v>
      </c>
    </row>
    <row r="98" spans="1:8" x14ac:dyDescent="0.25">
      <c r="A98" t="s">
        <v>140</v>
      </c>
      <c r="B98">
        <v>89</v>
      </c>
      <c r="C98" t="s">
        <v>128</v>
      </c>
      <c r="D98" t="e">
        <f>VLOOKUP(B98,'inventario 1-12'!$B:$E,3,FALSE)</f>
        <v>#N/A</v>
      </c>
      <c r="E98">
        <v>350</v>
      </c>
      <c r="F98" t="e">
        <f>VLOOKUP(B98,'inventario 1-12'!$B:$E,5,FALSE)</f>
        <v>#N/A</v>
      </c>
      <c r="G98">
        <f t="shared" si="4"/>
        <v>455</v>
      </c>
      <c r="H98" t="e">
        <f t="shared" ref="H98:H115" si="5">D98*F98</f>
        <v>#N/A</v>
      </c>
    </row>
    <row r="99" spans="1:8" x14ac:dyDescent="0.25">
      <c r="A99" t="s">
        <v>140</v>
      </c>
      <c r="B99">
        <v>90</v>
      </c>
      <c r="C99" t="s">
        <v>130</v>
      </c>
      <c r="D99" t="e">
        <f>VLOOKUP(B99,'inventario 1-12'!$B:$E,3,FALSE)</f>
        <v>#N/A</v>
      </c>
      <c r="F99" t="e">
        <f>VLOOKUP(B99,'inventario 1-12'!$B:$E,5,FALSE)</f>
        <v>#N/A</v>
      </c>
      <c r="G99">
        <f t="shared" si="4"/>
        <v>0</v>
      </c>
      <c r="H99" t="e">
        <f t="shared" si="5"/>
        <v>#N/A</v>
      </c>
    </row>
    <row r="100" spans="1:8" x14ac:dyDescent="0.25">
      <c r="A100" t="s">
        <v>135</v>
      </c>
      <c r="B100">
        <v>91</v>
      </c>
      <c r="C100" t="s">
        <v>55</v>
      </c>
      <c r="D100" t="e">
        <f>VLOOKUP(B100,'inventario 1-12'!$B:$E,3,FALSE)</f>
        <v>#N/A</v>
      </c>
      <c r="F100" t="e">
        <f>VLOOKUP(B100,'inventario 1-12'!$B:$E,5,FALSE)</f>
        <v>#N/A</v>
      </c>
      <c r="G100">
        <f t="shared" si="4"/>
        <v>0</v>
      </c>
      <c r="H100" t="e">
        <f t="shared" si="5"/>
        <v>#N/A</v>
      </c>
    </row>
    <row r="101" spans="1:8" x14ac:dyDescent="0.25">
      <c r="A101" t="s">
        <v>135</v>
      </c>
      <c r="B101">
        <v>92</v>
      </c>
      <c r="C101" t="s">
        <v>56</v>
      </c>
      <c r="D101" t="e">
        <f>VLOOKUP(B101,'inventario 1-12'!$B:$E,3,FALSE)</f>
        <v>#N/A</v>
      </c>
      <c r="F101" t="e">
        <f>VLOOKUP(B101,'inventario 1-12'!$B:$E,5,FALSE)</f>
        <v>#N/A</v>
      </c>
      <c r="G101">
        <f t="shared" si="4"/>
        <v>0</v>
      </c>
      <c r="H101" t="e">
        <f t="shared" si="5"/>
        <v>#N/A</v>
      </c>
    </row>
    <row r="102" spans="1:8" x14ac:dyDescent="0.25">
      <c r="A102" t="s">
        <v>135</v>
      </c>
      <c r="B102">
        <v>93</v>
      </c>
      <c r="C102" t="s">
        <v>57</v>
      </c>
      <c r="D102" t="e">
        <f>VLOOKUP(B102,'inventario 1-12'!$B:$E,3,FALSE)</f>
        <v>#N/A</v>
      </c>
      <c r="F102" t="e">
        <f>VLOOKUP(B102,'inventario 1-12'!$B:$E,5,FALSE)</f>
        <v>#N/A</v>
      </c>
      <c r="G102">
        <f t="shared" si="4"/>
        <v>0</v>
      </c>
      <c r="H102" t="e">
        <f t="shared" si="5"/>
        <v>#N/A</v>
      </c>
    </row>
    <row r="103" spans="1:8" x14ac:dyDescent="0.25">
      <c r="A103" t="s">
        <v>135</v>
      </c>
      <c r="B103">
        <v>94</v>
      </c>
      <c r="C103" t="s">
        <v>59</v>
      </c>
      <c r="D103" t="e">
        <f>VLOOKUP(B103,'inventario 1-12'!$B:$E,3,FALSE)</f>
        <v>#N/A</v>
      </c>
      <c r="F103" t="e">
        <f>VLOOKUP(B103,'inventario 1-12'!$B:$E,5,FALSE)</f>
        <v>#N/A</v>
      </c>
      <c r="G103">
        <f t="shared" si="4"/>
        <v>0</v>
      </c>
      <c r="H103" t="e">
        <f t="shared" si="5"/>
        <v>#N/A</v>
      </c>
    </row>
    <row r="104" spans="1:8" x14ac:dyDescent="0.25">
      <c r="A104" t="s">
        <v>135</v>
      </c>
      <c r="B104">
        <v>95</v>
      </c>
      <c r="C104" t="s">
        <v>29</v>
      </c>
      <c r="D104" t="e">
        <f>VLOOKUP(B104,'inventario 1-12'!$B:$E,3,FALSE)</f>
        <v>#N/A</v>
      </c>
      <c r="F104" t="e">
        <f>VLOOKUP(B104,'inventario 1-12'!$B:$E,5,FALSE)</f>
        <v>#N/A</v>
      </c>
      <c r="G104">
        <f t="shared" si="4"/>
        <v>0</v>
      </c>
      <c r="H104" t="e">
        <f t="shared" si="5"/>
        <v>#N/A</v>
      </c>
    </row>
    <row r="105" spans="1:8" x14ac:dyDescent="0.25">
      <c r="A105" t="s">
        <v>135</v>
      </c>
      <c r="B105">
        <v>96</v>
      </c>
      <c r="C105" t="s">
        <v>39</v>
      </c>
      <c r="D105" t="e">
        <f>VLOOKUP(B105,'inventario 1-12'!$B:$E,3,FALSE)</f>
        <v>#N/A</v>
      </c>
      <c r="F105" t="e">
        <f>VLOOKUP(B105,'inventario 1-12'!$B:$E,5,FALSE)</f>
        <v>#N/A</v>
      </c>
      <c r="G105">
        <f t="shared" si="4"/>
        <v>0</v>
      </c>
      <c r="H105" t="e">
        <f t="shared" si="5"/>
        <v>#N/A</v>
      </c>
    </row>
    <row r="106" spans="1:8" x14ac:dyDescent="0.25">
      <c r="A106" t="s">
        <v>135</v>
      </c>
      <c r="B106">
        <v>97</v>
      </c>
      <c r="C106" t="s">
        <v>38</v>
      </c>
      <c r="D106" t="e">
        <f>VLOOKUP(B106,'inventario 1-12'!$B:$E,3,FALSE)</f>
        <v>#N/A</v>
      </c>
      <c r="F106" t="e">
        <f>VLOOKUP(B106,'inventario 1-12'!$B:$E,5,FALSE)</f>
        <v>#N/A</v>
      </c>
      <c r="G106">
        <f t="shared" si="4"/>
        <v>0</v>
      </c>
      <c r="H106" t="e">
        <f t="shared" si="5"/>
        <v>#N/A</v>
      </c>
    </row>
    <row r="107" spans="1:8" x14ac:dyDescent="0.25">
      <c r="A107" t="s">
        <v>135</v>
      </c>
      <c r="B107">
        <v>98</v>
      </c>
      <c r="C107" t="s">
        <v>37</v>
      </c>
      <c r="D107" t="e">
        <f>VLOOKUP(B107,'inventario 1-12'!$B:$E,3,FALSE)</f>
        <v>#N/A</v>
      </c>
      <c r="F107" t="e">
        <f>VLOOKUP(B107,'inventario 1-12'!$B:$E,5,FALSE)</f>
        <v>#N/A</v>
      </c>
      <c r="G107">
        <f t="shared" si="4"/>
        <v>0</v>
      </c>
      <c r="H107" t="e">
        <f t="shared" si="5"/>
        <v>#N/A</v>
      </c>
    </row>
    <row r="108" spans="1:8" x14ac:dyDescent="0.25">
      <c r="A108" t="s">
        <v>135</v>
      </c>
      <c r="B108">
        <v>99</v>
      </c>
      <c r="C108" t="s">
        <v>36</v>
      </c>
      <c r="D108" t="e">
        <f>VLOOKUP(B108,'inventario 1-12'!$B:$E,3,FALSE)</f>
        <v>#N/A</v>
      </c>
      <c r="F108" t="e">
        <f>VLOOKUP(B108,'inventario 1-12'!$B:$E,5,FALSE)</f>
        <v>#N/A</v>
      </c>
      <c r="G108">
        <f t="shared" si="4"/>
        <v>0</v>
      </c>
      <c r="H108" t="e">
        <f t="shared" si="5"/>
        <v>#N/A</v>
      </c>
    </row>
    <row r="109" spans="1:8" x14ac:dyDescent="0.25">
      <c r="A109" t="s">
        <v>135</v>
      </c>
      <c r="B109">
        <v>100</v>
      </c>
      <c r="C109" t="s">
        <v>35</v>
      </c>
      <c r="D109" t="e">
        <f>VLOOKUP(B109,'inventario 1-12'!$B:$E,3,FALSE)</f>
        <v>#N/A</v>
      </c>
      <c r="F109" t="e">
        <f>VLOOKUP(B109,'inventario 1-12'!$B:$E,5,FALSE)</f>
        <v>#N/A</v>
      </c>
      <c r="G109">
        <f t="shared" si="4"/>
        <v>0</v>
      </c>
      <c r="H109" t="e">
        <f t="shared" si="5"/>
        <v>#N/A</v>
      </c>
    </row>
    <row r="110" spans="1:8" x14ac:dyDescent="0.25">
      <c r="A110" t="s">
        <v>136</v>
      </c>
      <c r="B110">
        <v>101</v>
      </c>
      <c r="C110" t="s">
        <v>51</v>
      </c>
      <c r="D110" t="e">
        <f>VLOOKUP(B110,'inventario 1-12'!$B:$E,3,FALSE)</f>
        <v>#N/A</v>
      </c>
      <c r="F110" t="e">
        <f>VLOOKUP(B110,'inventario 1-12'!$B:$E,5,FALSE)</f>
        <v>#N/A</v>
      </c>
      <c r="G110">
        <f t="shared" si="4"/>
        <v>0</v>
      </c>
      <c r="H110" t="e">
        <f t="shared" si="5"/>
        <v>#N/A</v>
      </c>
    </row>
    <row r="111" spans="1:8" x14ac:dyDescent="0.25">
      <c r="A111" t="s">
        <v>136</v>
      </c>
      <c r="B111">
        <v>102</v>
      </c>
      <c r="C111" t="s">
        <v>141</v>
      </c>
      <c r="D111" t="e">
        <f>VLOOKUP(B111,'inventario 1-12'!$B:$E,3,FALSE)</f>
        <v>#N/A</v>
      </c>
      <c r="F111" t="e">
        <f>VLOOKUP(B111,'inventario 1-12'!$B:$E,5,FALSE)</f>
        <v>#N/A</v>
      </c>
      <c r="G111">
        <f t="shared" si="4"/>
        <v>0</v>
      </c>
      <c r="H111" t="e">
        <f t="shared" si="5"/>
        <v>#N/A</v>
      </c>
    </row>
    <row r="112" spans="1:8" x14ac:dyDescent="0.25">
      <c r="A112" t="s">
        <v>136</v>
      </c>
      <c r="B112">
        <v>103</v>
      </c>
      <c r="C112" t="s">
        <v>42</v>
      </c>
      <c r="D112" t="e">
        <f>VLOOKUP(B112,'inventario 1-12'!$B:$E,3,FALSE)</f>
        <v>#N/A</v>
      </c>
      <c r="F112" t="e">
        <f>VLOOKUP(B112,'inventario 1-12'!$B:$E,5,FALSE)</f>
        <v>#N/A</v>
      </c>
      <c r="G112">
        <f t="shared" si="4"/>
        <v>0</v>
      </c>
      <c r="H112" t="e">
        <f t="shared" si="5"/>
        <v>#N/A</v>
      </c>
    </row>
    <row r="113" spans="6:8" x14ac:dyDescent="0.25">
      <c r="F113">
        <v>820</v>
      </c>
      <c r="G113">
        <f t="shared" si="4"/>
        <v>0</v>
      </c>
      <c r="H113">
        <f t="shared" si="5"/>
        <v>0</v>
      </c>
    </row>
    <row r="114" spans="6:8" x14ac:dyDescent="0.25">
      <c r="F114">
        <v>750</v>
      </c>
      <c r="G114">
        <f t="shared" si="4"/>
        <v>0</v>
      </c>
      <c r="H114">
        <f t="shared" si="5"/>
        <v>0</v>
      </c>
    </row>
    <row r="115" spans="6:8" x14ac:dyDescent="0.25">
      <c r="F115">
        <v>1250</v>
      </c>
      <c r="G115">
        <f t="shared" si="4"/>
        <v>0</v>
      </c>
      <c r="H115">
        <f t="shared" si="5"/>
        <v>0</v>
      </c>
    </row>
  </sheetData>
  <autoFilter ref="C1:H115" xr:uid="{C1FC07DD-E60D-448C-A2AA-3B4D0549AFA0}">
    <sortState xmlns:xlrd2="http://schemas.microsoft.com/office/spreadsheetml/2017/richdata2" ref="C2:H80">
      <sortCondition ref="C1:C77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44C0D-6F26-496D-815D-74A83188D5EE}">
  <dimension ref="A2:F15"/>
  <sheetViews>
    <sheetView zoomScale="84" zoomScaleNormal="84" workbookViewId="0">
      <pane ySplit="2" topLeftCell="A3" activePane="bottomLeft" state="frozen"/>
      <selection pane="bottomLeft" activeCell="J8" sqref="J8"/>
    </sheetView>
  </sheetViews>
  <sheetFormatPr baseColWidth="10" defaultRowHeight="15" x14ac:dyDescent="0.25"/>
  <cols>
    <col min="1" max="1" width="45" customWidth="1"/>
    <col min="2" max="2" width="20" customWidth="1"/>
    <col min="3" max="3" width="15" customWidth="1"/>
    <col min="4" max="4" width="13.85546875" customWidth="1"/>
    <col min="5" max="5" width="13" customWidth="1"/>
    <col min="6" max="6" width="14.42578125" customWidth="1"/>
  </cols>
  <sheetData>
    <row r="2" spans="1:6" ht="26.25" x14ac:dyDescent="0.4">
      <c r="A2" s="2" t="s">
        <v>69</v>
      </c>
      <c r="B2" s="2" t="s">
        <v>70</v>
      </c>
      <c r="C2" s="2" t="s">
        <v>71</v>
      </c>
      <c r="D2" s="2" t="s">
        <v>110</v>
      </c>
      <c r="E2" s="2" t="s">
        <v>111</v>
      </c>
      <c r="F2" s="2" t="s">
        <v>112</v>
      </c>
    </row>
    <row r="3" spans="1:6" ht="26.25" x14ac:dyDescent="0.4">
      <c r="A3" s="2" t="s">
        <v>72</v>
      </c>
      <c r="B3" s="3">
        <v>250</v>
      </c>
      <c r="C3" s="3">
        <v>450</v>
      </c>
      <c r="D3" s="1"/>
      <c r="E3" s="1"/>
    </row>
    <row r="4" spans="1:6" ht="26.25" x14ac:dyDescent="0.4">
      <c r="A4" s="2" t="s">
        <v>73</v>
      </c>
      <c r="B4" s="3">
        <v>250</v>
      </c>
      <c r="C4" s="3">
        <v>450</v>
      </c>
      <c r="D4" s="1"/>
      <c r="E4" s="1"/>
    </row>
    <row r="5" spans="1:6" ht="26.25" x14ac:dyDescent="0.4">
      <c r="A5" s="2" t="s">
        <v>74</v>
      </c>
      <c r="B5" s="3">
        <v>250</v>
      </c>
      <c r="C5" s="3">
        <v>450</v>
      </c>
      <c r="D5" s="1"/>
      <c r="E5" s="1"/>
    </row>
    <row r="6" spans="1:6" ht="26.25" x14ac:dyDescent="0.4">
      <c r="A6" s="2" t="s">
        <v>75</v>
      </c>
      <c r="B6" s="3">
        <v>250</v>
      </c>
      <c r="C6" s="3">
        <v>440</v>
      </c>
      <c r="D6" s="1"/>
      <c r="E6" s="1"/>
    </row>
    <row r="7" spans="1:6" ht="26.25" x14ac:dyDescent="0.4">
      <c r="A7" s="2" t="s">
        <v>76</v>
      </c>
      <c r="B7" s="3">
        <v>160</v>
      </c>
      <c r="C7" s="3">
        <v>290</v>
      </c>
      <c r="D7" s="1"/>
      <c r="E7" s="1"/>
    </row>
    <row r="8" spans="1:6" ht="26.25" x14ac:dyDescent="0.4">
      <c r="A8" s="2" t="s">
        <v>77</v>
      </c>
      <c r="B8" s="3">
        <v>180</v>
      </c>
      <c r="C8" s="3">
        <v>320</v>
      </c>
      <c r="D8" s="1"/>
      <c r="E8" s="1"/>
    </row>
    <row r="9" spans="1:6" ht="26.25" x14ac:dyDescent="0.4">
      <c r="A9" s="2" t="s">
        <v>78</v>
      </c>
      <c r="B9" s="3">
        <v>210</v>
      </c>
      <c r="C9" s="3">
        <v>380</v>
      </c>
      <c r="D9" s="1"/>
      <c r="E9" s="1"/>
    </row>
    <row r="10" spans="1:6" ht="26.25" x14ac:dyDescent="0.4">
      <c r="A10" s="2" t="s">
        <v>79</v>
      </c>
      <c r="B10" s="3">
        <v>400</v>
      </c>
      <c r="C10" s="3">
        <v>750</v>
      </c>
      <c r="D10" s="1"/>
      <c r="E10" s="1"/>
    </row>
    <row r="11" spans="1:6" ht="26.25" x14ac:dyDescent="0.4">
      <c r="A11" s="2" t="s">
        <v>80</v>
      </c>
      <c r="B11" s="3">
        <v>330</v>
      </c>
      <c r="C11" s="3">
        <v>620</v>
      </c>
      <c r="D11" s="1"/>
      <c r="E11" s="1"/>
    </row>
    <row r="12" spans="1:6" ht="26.25" x14ac:dyDescent="0.4">
      <c r="A12" s="2" t="s">
        <v>81</v>
      </c>
      <c r="B12" s="3"/>
      <c r="C12" s="3">
        <v>220</v>
      </c>
      <c r="E12" s="1"/>
    </row>
    <row r="13" spans="1:6" ht="26.25" x14ac:dyDescent="0.4">
      <c r="A13" s="2" t="s">
        <v>82</v>
      </c>
      <c r="B13" s="3"/>
      <c r="C13" s="3">
        <v>290</v>
      </c>
      <c r="E13" s="1"/>
    </row>
    <row r="14" spans="1:6" ht="26.25" x14ac:dyDescent="0.4">
      <c r="A14" s="2" t="s">
        <v>83</v>
      </c>
      <c r="B14" s="3"/>
      <c r="C14" s="3">
        <v>290</v>
      </c>
      <c r="E14" s="1"/>
    </row>
    <row r="15" spans="1:6" ht="26.25" x14ac:dyDescent="0.4">
      <c r="A15" s="2" t="s">
        <v>109</v>
      </c>
      <c r="C15" s="3">
        <v>180</v>
      </c>
      <c r="D15" s="3">
        <v>330</v>
      </c>
      <c r="E15" s="3">
        <v>480</v>
      </c>
      <c r="F15" s="3">
        <v>750</v>
      </c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614D-B205-46E2-91AD-ADA592D3232B}">
  <sheetPr filterMode="1"/>
  <dimension ref="A1:F239"/>
  <sheetViews>
    <sheetView zoomScale="82" zoomScaleNormal="82" workbookViewId="0">
      <selection activeCell="H120" sqref="H120"/>
    </sheetView>
  </sheetViews>
  <sheetFormatPr baseColWidth="10" defaultRowHeight="15" x14ac:dyDescent="0.25"/>
  <cols>
    <col min="1" max="1" width="14.28515625" bestFit="1" customWidth="1"/>
    <col min="2" max="2" width="7.7109375" customWidth="1"/>
    <col min="3" max="3" width="52" customWidth="1"/>
    <col min="4" max="5" width="19.140625" customWidth="1"/>
  </cols>
  <sheetData>
    <row r="1" spans="1:6" x14ac:dyDescent="0.25">
      <c r="A1" s="5" t="s">
        <v>132</v>
      </c>
      <c r="B1" s="5" t="s">
        <v>144</v>
      </c>
      <c r="C1" s="5" t="s">
        <v>143</v>
      </c>
      <c r="D1" s="6" t="s">
        <v>176</v>
      </c>
      <c r="E1" s="6"/>
      <c r="F1" s="6" t="s">
        <v>115</v>
      </c>
    </row>
    <row r="2" spans="1:6" hidden="1" x14ac:dyDescent="0.25">
      <c r="A2" s="5" t="s">
        <v>133</v>
      </c>
      <c r="B2" s="5">
        <v>1</v>
      </c>
      <c r="C2" s="5" t="s">
        <v>1</v>
      </c>
    </row>
    <row r="3" spans="1:6" hidden="1" x14ac:dyDescent="0.25">
      <c r="A3" s="5" t="s">
        <v>133</v>
      </c>
      <c r="B3" s="5">
        <v>2</v>
      </c>
      <c r="C3" s="5" t="s">
        <v>3</v>
      </c>
    </row>
    <row r="4" spans="1:6" hidden="1" x14ac:dyDescent="0.25">
      <c r="A4" s="5" t="s">
        <v>133</v>
      </c>
      <c r="B4" s="5">
        <v>3</v>
      </c>
      <c r="C4" s="5" t="s">
        <v>4</v>
      </c>
    </row>
    <row r="5" spans="1:6" hidden="1" x14ac:dyDescent="0.25">
      <c r="A5" s="5" t="s">
        <v>133</v>
      </c>
      <c r="B5" s="5">
        <v>4</v>
      </c>
      <c r="C5" s="5" t="s">
        <v>6</v>
      </c>
    </row>
    <row r="6" spans="1:6" hidden="1" x14ac:dyDescent="0.25">
      <c r="A6" s="5" t="s">
        <v>133</v>
      </c>
      <c r="B6" s="5">
        <v>5</v>
      </c>
      <c r="C6" s="5" t="s">
        <v>7</v>
      </c>
    </row>
    <row r="7" spans="1:6" hidden="1" x14ac:dyDescent="0.25">
      <c r="A7" s="5" t="s">
        <v>133</v>
      </c>
      <c r="B7" s="5">
        <v>6</v>
      </c>
      <c r="C7" s="5" t="s">
        <v>5</v>
      </c>
    </row>
    <row r="8" spans="1:6" hidden="1" x14ac:dyDescent="0.25">
      <c r="A8" s="5" t="s">
        <v>133</v>
      </c>
      <c r="B8" s="5">
        <v>7</v>
      </c>
      <c r="C8" s="5" t="s">
        <v>11</v>
      </c>
    </row>
    <row r="9" spans="1:6" x14ac:dyDescent="0.25">
      <c r="A9" s="5" t="s">
        <v>133</v>
      </c>
      <c r="B9" s="5">
        <v>8</v>
      </c>
      <c r="C9" s="5" t="s">
        <v>66</v>
      </c>
      <c r="D9">
        <v>614</v>
      </c>
      <c r="F9" t="s">
        <v>175</v>
      </c>
    </row>
    <row r="10" spans="1:6" hidden="1" x14ac:dyDescent="0.25">
      <c r="A10" s="5" t="s">
        <v>133</v>
      </c>
      <c r="B10" s="5">
        <v>9</v>
      </c>
      <c r="C10" s="5" t="s">
        <v>2</v>
      </c>
    </row>
    <row r="11" spans="1:6" hidden="1" x14ac:dyDescent="0.25">
      <c r="A11" s="5" t="s">
        <v>134</v>
      </c>
      <c r="B11" s="5">
        <v>10</v>
      </c>
      <c r="C11" s="5" t="s">
        <v>53</v>
      </c>
    </row>
    <row r="12" spans="1:6" x14ac:dyDescent="0.25">
      <c r="A12" s="5" t="s">
        <v>134</v>
      </c>
      <c r="B12" s="5">
        <v>11</v>
      </c>
      <c r="C12" s="5" t="s">
        <v>145</v>
      </c>
      <c r="D12">
        <v>388</v>
      </c>
      <c r="F12" t="s">
        <v>175</v>
      </c>
    </row>
    <row r="13" spans="1:6" x14ac:dyDescent="0.25">
      <c r="A13" s="5" t="s">
        <v>134</v>
      </c>
      <c r="B13" s="5">
        <v>12</v>
      </c>
      <c r="C13" s="5" t="s">
        <v>52</v>
      </c>
      <c r="D13">
        <v>388</v>
      </c>
      <c r="F13" t="s">
        <v>175</v>
      </c>
    </row>
    <row r="14" spans="1:6" hidden="1" x14ac:dyDescent="0.25">
      <c r="A14" s="5" t="s">
        <v>134</v>
      </c>
      <c r="B14" s="5">
        <v>13</v>
      </c>
      <c r="C14" s="5" t="s">
        <v>146</v>
      </c>
    </row>
    <row r="15" spans="1:6" hidden="1" x14ac:dyDescent="0.25">
      <c r="A15" s="5" t="s">
        <v>134</v>
      </c>
      <c r="B15" s="5">
        <v>14</v>
      </c>
      <c r="C15" s="5" t="s">
        <v>43</v>
      </c>
    </row>
    <row r="16" spans="1:6" hidden="1" x14ac:dyDescent="0.25">
      <c r="A16" s="5" t="s">
        <v>134</v>
      </c>
      <c r="B16" s="5">
        <v>15</v>
      </c>
      <c r="C16" s="5" t="s">
        <v>138</v>
      </c>
    </row>
    <row r="17" spans="1:6" hidden="1" x14ac:dyDescent="0.25">
      <c r="A17" s="5" t="s">
        <v>134</v>
      </c>
      <c r="B17" s="5">
        <v>16</v>
      </c>
      <c r="C17" s="5" t="s">
        <v>65</v>
      </c>
    </row>
    <row r="18" spans="1:6" hidden="1" x14ac:dyDescent="0.25">
      <c r="A18" s="5" t="s">
        <v>134</v>
      </c>
      <c r="B18" s="5">
        <v>17</v>
      </c>
      <c r="C18" s="5" t="s">
        <v>100</v>
      </c>
    </row>
    <row r="19" spans="1:6" hidden="1" x14ac:dyDescent="0.25">
      <c r="A19" s="5" t="s">
        <v>134</v>
      </c>
      <c r="B19" s="5">
        <v>18</v>
      </c>
      <c r="C19" s="5" t="s">
        <v>45</v>
      </c>
    </row>
    <row r="20" spans="1:6" hidden="1" x14ac:dyDescent="0.25">
      <c r="A20" s="5" t="s">
        <v>134</v>
      </c>
      <c r="B20" s="5">
        <v>19</v>
      </c>
      <c r="C20" s="5" t="s">
        <v>44</v>
      </c>
    </row>
    <row r="21" spans="1:6" hidden="1" x14ac:dyDescent="0.25">
      <c r="A21" s="5" t="s">
        <v>134</v>
      </c>
      <c r="B21" s="5">
        <v>20</v>
      </c>
      <c r="C21" s="5" t="s">
        <v>147</v>
      </c>
    </row>
    <row r="22" spans="1:6" hidden="1" x14ac:dyDescent="0.25">
      <c r="A22" s="5" t="s">
        <v>134</v>
      </c>
      <c r="B22" s="5">
        <v>21</v>
      </c>
      <c r="C22" s="5" t="s">
        <v>48</v>
      </c>
    </row>
    <row r="23" spans="1:6" hidden="1" x14ac:dyDescent="0.25">
      <c r="A23" s="5" t="s">
        <v>134</v>
      </c>
      <c r="B23" s="5">
        <v>22</v>
      </c>
      <c r="C23" s="5" t="s">
        <v>50</v>
      </c>
    </row>
    <row r="24" spans="1:6" hidden="1" x14ac:dyDescent="0.25">
      <c r="A24" s="5" t="s">
        <v>134</v>
      </c>
      <c r="B24" s="5">
        <v>23</v>
      </c>
      <c r="C24" s="5" t="s">
        <v>49</v>
      </c>
    </row>
    <row r="25" spans="1:6" hidden="1" x14ac:dyDescent="0.25">
      <c r="A25" s="5" t="s">
        <v>134</v>
      </c>
      <c r="B25" s="5">
        <v>26</v>
      </c>
      <c r="C25" s="5" t="s">
        <v>61</v>
      </c>
    </row>
    <row r="26" spans="1:6" hidden="1" x14ac:dyDescent="0.25">
      <c r="A26" s="5" t="s">
        <v>134</v>
      </c>
      <c r="B26" s="5">
        <v>27</v>
      </c>
      <c r="C26" s="5" t="s">
        <v>62</v>
      </c>
    </row>
    <row r="27" spans="1:6" hidden="1" x14ac:dyDescent="0.25">
      <c r="A27" s="5" t="s">
        <v>134</v>
      </c>
      <c r="B27" s="5">
        <v>28</v>
      </c>
      <c r="C27" s="5" t="s">
        <v>156</v>
      </c>
    </row>
    <row r="28" spans="1:6" x14ac:dyDescent="0.25">
      <c r="A28" s="5" t="s">
        <v>134</v>
      </c>
      <c r="B28" s="5">
        <v>29</v>
      </c>
      <c r="C28" s="5" t="s">
        <v>54</v>
      </c>
      <c r="D28">
        <v>177</v>
      </c>
      <c r="F28" t="s">
        <v>175</v>
      </c>
    </row>
    <row r="29" spans="1:6" hidden="1" x14ac:dyDescent="0.25">
      <c r="A29" s="5" t="s">
        <v>134</v>
      </c>
      <c r="B29" s="5">
        <v>30</v>
      </c>
      <c r="C29" s="5" t="s">
        <v>89</v>
      </c>
    </row>
    <row r="30" spans="1:6" hidden="1" x14ac:dyDescent="0.25">
      <c r="A30" s="5" t="s">
        <v>134</v>
      </c>
      <c r="B30" s="5">
        <v>31</v>
      </c>
      <c r="C30" s="5" t="s">
        <v>88</v>
      </c>
    </row>
    <row r="31" spans="1:6" hidden="1" x14ac:dyDescent="0.25">
      <c r="A31" s="5" t="s">
        <v>134</v>
      </c>
      <c r="B31" s="5">
        <v>32</v>
      </c>
      <c r="C31" s="5" t="s">
        <v>97</v>
      </c>
    </row>
    <row r="32" spans="1:6" hidden="1" x14ac:dyDescent="0.25">
      <c r="A32" s="5" t="s">
        <v>134</v>
      </c>
      <c r="B32" s="5">
        <v>33</v>
      </c>
      <c r="C32" s="5" t="s">
        <v>101</v>
      </c>
    </row>
    <row r="33" spans="1:6" hidden="1" x14ac:dyDescent="0.25">
      <c r="A33" s="5" t="s">
        <v>134</v>
      </c>
      <c r="B33" s="5">
        <v>34</v>
      </c>
      <c r="C33" s="5" t="s">
        <v>98</v>
      </c>
    </row>
    <row r="34" spans="1:6" hidden="1" x14ac:dyDescent="0.25">
      <c r="A34" s="5" t="s">
        <v>134</v>
      </c>
      <c r="B34" s="5">
        <v>35</v>
      </c>
      <c r="C34" s="5" t="s">
        <v>103</v>
      </c>
    </row>
    <row r="35" spans="1:6" hidden="1" x14ac:dyDescent="0.25">
      <c r="A35" s="5" t="s">
        <v>134</v>
      </c>
      <c r="B35" s="5">
        <v>37</v>
      </c>
      <c r="C35" s="5" t="s">
        <v>129</v>
      </c>
    </row>
    <row r="36" spans="1:6" hidden="1" x14ac:dyDescent="0.25">
      <c r="A36" s="5" t="s">
        <v>134</v>
      </c>
      <c r="B36" s="5">
        <v>38</v>
      </c>
      <c r="C36" s="5" t="s">
        <v>131</v>
      </c>
    </row>
    <row r="37" spans="1:6" hidden="1" x14ac:dyDescent="0.25">
      <c r="A37" s="5" t="s">
        <v>134</v>
      </c>
      <c r="B37" s="5">
        <v>39</v>
      </c>
      <c r="C37" s="5" t="s">
        <v>157</v>
      </c>
    </row>
    <row r="38" spans="1:6" hidden="1" x14ac:dyDescent="0.25">
      <c r="A38" s="5" t="s">
        <v>134</v>
      </c>
      <c r="B38" s="5">
        <v>105</v>
      </c>
      <c r="C38" s="5" t="s">
        <v>60</v>
      </c>
    </row>
    <row r="39" spans="1:6" hidden="1" x14ac:dyDescent="0.25">
      <c r="A39" s="5" t="s">
        <v>134</v>
      </c>
      <c r="B39" s="5">
        <v>107</v>
      </c>
      <c r="C39" s="5" t="s">
        <v>148</v>
      </c>
    </row>
    <row r="40" spans="1:6" hidden="1" x14ac:dyDescent="0.25">
      <c r="A40" s="5" t="s">
        <v>134</v>
      </c>
      <c r="B40" s="5">
        <v>108</v>
      </c>
      <c r="C40" s="5" t="s">
        <v>149</v>
      </c>
    </row>
    <row r="41" spans="1:6" hidden="1" x14ac:dyDescent="0.25">
      <c r="A41" s="5" t="s">
        <v>134</v>
      </c>
      <c r="B41" s="5">
        <v>109</v>
      </c>
      <c r="C41" s="5" t="s">
        <v>150</v>
      </c>
    </row>
    <row r="42" spans="1:6" hidden="1" x14ac:dyDescent="0.25">
      <c r="A42" s="5" t="s">
        <v>134</v>
      </c>
      <c r="B42" s="5">
        <v>110</v>
      </c>
      <c r="C42" s="5" t="s">
        <v>151</v>
      </c>
    </row>
    <row r="43" spans="1:6" hidden="1" x14ac:dyDescent="0.25">
      <c r="A43" s="5" t="s">
        <v>134</v>
      </c>
      <c r="B43" s="5">
        <v>111</v>
      </c>
      <c r="C43" s="5" t="s">
        <v>152</v>
      </c>
    </row>
    <row r="44" spans="1:6" x14ac:dyDescent="0.25">
      <c r="A44" s="5" t="s">
        <v>139</v>
      </c>
      <c r="B44" s="5">
        <v>24</v>
      </c>
      <c r="C44" s="5" t="s">
        <v>30</v>
      </c>
      <c r="D44">
        <f>540/6</f>
        <v>90</v>
      </c>
      <c r="F44" t="s">
        <v>175</v>
      </c>
    </row>
    <row r="45" spans="1:6" hidden="1" x14ac:dyDescent="0.25">
      <c r="A45" s="5" t="s">
        <v>139</v>
      </c>
      <c r="B45" s="5">
        <v>25</v>
      </c>
      <c r="C45" s="5" t="s">
        <v>31</v>
      </c>
    </row>
    <row r="46" spans="1:6" hidden="1" x14ac:dyDescent="0.25">
      <c r="A46" s="5" t="s">
        <v>139</v>
      </c>
      <c r="B46" s="5">
        <v>36</v>
      </c>
      <c r="C46" s="5" t="s">
        <v>85</v>
      </c>
    </row>
    <row r="47" spans="1:6" hidden="1" x14ac:dyDescent="0.25">
      <c r="A47" s="5" t="s">
        <v>139</v>
      </c>
      <c r="B47" s="5">
        <v>40</v>
      </c>
      <c r="C47" s="5" t="s">
        <v>14</v>
      </c>
    </row>
    <row r="48" spans="1:6" hidden="1" x14ac:dyDescent="0.25">
      <c r="A48" s="5" t="s">
        <v>139</v>
      </c>
      <c r="B48" s="5">
        <v>41</v>
      </c>
      <c r="C48" s="5" t="s">
        <v>46</v>
      </c>
    </row>
    <row r="49" spans="1:6" hidden="1" x14ac:dyDescent="0.25">
      <c r="A49" s="5" t="s">
        <v>139</v>
      </c>
      <c r="B49" s="5">
        <v>42</v>
      </c>
      <c r="C49" s="5" t="s">
        <v>47</v>
      </c>
    </row>
    <row r="50" spans="1:6" hidden="1" x14ac:dyDescent="0.25">
      <c r="A50" s="5" t="s">
        <v>139</v>
      </c>
      <c r="B50" s="5">
        <v>43</v>
      </c>
      <c r="C50" s="5" t="s">
        <v>32</v>
      </c>
    </row>
    <row r="51" spans="1:6" hidden="1" x14ac:dyDescent="0.25">
      <c r="A51" s="5" t="s">
        <v>139</v>
      </c>
      <c r="B51" s="5">
        <v>44</v>
      </c>
      <c r="C51" s="5" t="s">
        <v>158</v>
      </c>
    </row>
    <row r="52" spans="1:6" x14ac:dyDescent="0.25">
      <c r="A52" s="5" t="s">
        <v>139</v>
      </c>
      <c r="B52" s="5">
        <v>45</v>
      </c>
      <c r="C52" s="5" t="s">
        <v>159</v>
      </c>
      <c r="D52">
        <v>155</v>
      </c>
      <c r="F52" t="s">
        <v>175</v>
      </c>
    </row>
    <row r="53" spans="1:6" hidden="1" x14ac:dyDescent="0.25">
      <c r="A53" s="5" t="s">
        <v>139</v>
      </c>
      <c r="B53" s="5">
        <v>46</v>
      </c>
      <c r="C53" s="5" t="s">
        <v>27</v>
      </c>
    </row>
    <row r="54" spans="1:6" hidden="1" x14ac:dyDescent="0.25">
      <c r="A54" s="5" t="s">
        <v>139</v>
      </c>
      <c r="B54" s="5">
        <v>47</v>
      </c>
      <c r="C54" s="5" t="s">
        <v>28</v>
      </c>
    </row>
    <row r="55" spans="1:6" hidden="1" x14ac:dyDescent="0.25">
      <c r="A55" s="5" t="s">
        <v>139</v>
      </c>
      <c r="B55" s="5">
        <v>48</v>
      </c>
      <c r="C55" s="5" t="s">
        <v>26</v>
      </c>
    </row>
    <row r="56" spans="1:6" hidden="1" x14ac:dyDescent="0.25">
      <c r="A56" s="5" t="s">
        <v>139</v>
      </c>
      <c r="B56" s="5">
        <v>49</v>
      </c>
      <c r="C56" s="5" t="s">
        <v>93</v>
      </c>
    </row>
    <row r="57" spans="1:6" x14ac:dyDescent="0.25">
      <c r="A57" s="5" t="s">
        <v>139</v>
      </c>
      <c r="B57" s="5">
        <v>50</v>
      </c>
      <c r="C57" s="5" t="s">
        <v>13</v>
      </c>
      <c r="D57">
        <v>975</v>
      </c>
      <c r="F57" t="s">
        <v>175</v>
      </c>
    </row>
    <row r="58" spans="1:6" hidden="1" x14ac:dyDescent="0.25">
      <c r="A58" s="5" t="s">
        <v>139</v>
      </c>
      <c r="B58" s="5">
        <v>51</v>
      </c>
      <c r="C58" s="5" t="s">
        <v>165</v>
      </c>
    </row>
    <row r="59" spans="1:6" x14ac:dyDescent="0.25">
      <c r="A59" s="5" t="s">
        <v>139</v>
      </c>
      <c r="B59" s="5">
        <v>52</v>
      </c>
      <c r="C59" s="5" t="s">
        <v>8</v>
      </c>
      <c r="D59">
        <v>250</v>
      </c>
      <c r="F59" t="s">
        <v>181</v>
      </c>
    </row>
    <row r="60" spans="1:6" x14ac:dyDescent="0.25">
      <c r="A60" s="5" t="s">
        <v>139</v>
      </c>
      <c r="B60" s="5">
        <v>53</v>
      </c>
      <c r="C60" s="5" t="s">
        <v>40</v>
      </c>
      <c r="D60">
        <v>477</v>
      </c>
      <c r="F60" t="s">
        <v>175</v>
      </c>
    </row>
    <row r="61" spans="1:6" x14ac:dyDescent="0.25">
      <c r="A61" s="5" t="s">
        <v>139</v>
      </c>
      <c r="B61" s="5">
        <v>54</v>
      </c>
      <c r="C61" s="5" t="s">
        <v>34</v>
      </c>
      <c r="D61">
        <v>440</v>
      </c>
      <c r="F61" t="s">
        <v>175</v>
      </c>
    </row>
    <row r="62" spans="1:6" hidden="1" x14ac:dyDescent="0.25">
      <c r="A62" s="5" t="s">
        <v>139</v>
      </c>
      <c r="B62" s="5">
        <v>55</v>
      </c>
      <c r="C62" s="5" t="s">
        <v>104</v>
      </c>
    </row>
    <row r="63" spans="1:6" hidden="1" x14ac:dyDescent="0.25">
      <c r="A63" s="5" t="s">
        <v>139</v>
      </c>
      <c r="B63" s="5">
        <v>56</v>
      </c>
      <c r="C63" s="5" t="s">
        <v>18</v>
      </c>
    </row>
    <row r="64" spans="1:6" hidden="1" x14ac:dyDescent="0.25">
      <c r="A64" s="5" t="s">
        <v>139</v>
      </c>
      <c r="B64" s="5">
        <v>57</v>
      </c>
      <c r="C64" s="5" t="s">
        <v>166</v>
      </c>
    </row>
    <row r="65" spans="1:6" hidden="1" x14ac:dyDescent="0.25">
      <c r="A65" s="5" t="s">
        <v>139</v>
      </c>
      <c r="B65" s="5">
        <v>58</v>
      </c>
      <c r="C65" s="5" t="s">
        <v>84</v>
      </c>
    </row>
    <row r="66" spans="1:6" hidden="1" x14ac:dyDescent="0.25">
      <c r="A66" s="5" t="s">
        <v>139</v>
      </c>
      <c r="B66" s="5">
        <v>60</v>
      </c>
      <c r="C66" s="5" t="s">
        <v>86</v>
      </c>
    </row>
    <row r="67" spans="1:6" hidden="1" x14ac:dyDescent="0.25">
      <c r="A67" s="5" t="s">
        <v>139</v>
      </c>
      <c r="B67" s="5">
        <v>61</v>
      </c>
      <c r="C67" s="5" t="s">
        <v>87</v>
      </c>
    </row>
    <row r="68" spans="1:6" hidden="1" x14ac:dyDescent="0.25">
      <c r="A68" s="5" t="s">
        <v>139</v>
      </c>
      <c r="B68" s="5">
        <v>62</v>
      </c>
      <c r="C68" s="5" t="s">
        <v>90</v>
      </c>
    </row>
    <row r="69" spans="1:6" hidden="1" x14ac:dyDescent="0.25">
      <c r="A69" s="5" t="s">
        <v>139</v>
      </c>
      <c r="B69" s="5">
        <v>63</v>
      </c>
      <c r="C69" s="5" t="s">
        <v>91</v>
      </c>
    </row>
    <row r="70" spans="1:6" hidden="1" x14ac:dyDescent="0.25">
      <c r="A70" s="5" t="s">
        <v>139</v>
      </c>
      <c r="B70" s="5">
        <v>64</v>
      </c>
      <c r="C70" s="5" t="s">
        <v>92</v>
      </c>
    </row>
    <row r="71" spans="1:6" hidden="1" x14ac:dyDescent="0.25">
      <c r="A71" s="5" t="s">
        <v>139</v>
      </c>
      <c r="B71" s="5">
        <v>65</v>
      </c>
      <c r="C71" s="5" t="s">
        <v>160</v>
      </c>
    </row>
    <row r="72" spans="1:6" hidden="1" x14ac:dyDescent="0.25">
      <c r="A72" s="5" t="s">
        <v>139</v>
      </c>
      <c r="B72" s="5">
        <v>66</v>
      </c>
      <c r="C72" s="5" t="s">
        <v>94</v>
      </c>
    </row>
    <row r="73" spans="1:6" hidden="1" x14ac:dyDescent="0.25">
      <c r="A73" s="5" t="s">
        <v>139</v>
      </c>
      <c r="B73" s="5">
        <v>67</v>
      </c>
      <c r="C73" s="5" t="s">
        <v>95</v>
      </c>
    </row>
    <row r="74" spans="1:6" hidden="1" x14ac:dyDescent="0.25">
      <c r="A74" s="5" t="s">
        <v>139</v>
      </c>
      <c r="B74" s="5">
        <v>68</v>
      </c>
      <c r="C74" s="5" t="s">
        <v>96</v>
      </c>
    </row>
    <row r="75" spans="1:6" x14ac:dyDescent="0.25">
      <c r="A75" s="5" t="s">
        <v>139</v>
      </c>
      <c r="B75" s="5">
        <v>69</v>
      </c>
      <c r="C75" s="5" t="s">
        <v>177</v>
      </c>
      <c r="D75">
        <v>560</v>
      </c>
      <c r="F75" t="s">
        <v>178</v>
      </c>
    </row>
    <row r="76" spans="1:6" hidden="1" x14ac:dyDescent="0.25">
      <c r="A76" s="5" t="s">
        <v>139</v>
      </c>
      <c r="B76" s="5">
        <v>113</v>
      </c>
      <c r="C76" s="5" t="s">
        <v>154</v>
      </c>
    </row>
    <row r="77" spans="1:6" hidden="1" x14ac:dyDescent="0.25">
      <c r="A77" s="5" t="s">
        <v>139</v>
      </c>
      <c r="B77" s="5">
        <v>114</v>
      </c>
      <c r="C77" s="5" t="s">
        <v>155</v>
      </c>
    </row>
    <row r="78" spans="1:6" hidden="1" x14ac:dyDescent="0.25">
      <c r="A78" s="5" t="s">
        <v>140</v>
      </c>
      <c r="B78" s="5">
        <v>70</v>
      </c>
      <c r="C78" s="5" t="s">
        <v>9</v>
      </c>
    </row>
    <row r="79" spans="1:6" x14ac:dyDescent="0.25">
      <c r="A79" s="5" t="s">
        <v>140</v>
      </c>
      <c r="B79" s="5">
        <v>71</v>
      </c>
      <c r="C79" s="5" t="s">
        <v>179</v>
      </c>
      <c r="D79">
        <v>760</v>
      </c>
      <c r="F79" t="s">
        <v>175</v>
      </c>
    </row>
    <row r="80" spans="1:6" x14ac:dyDescent="0.25">
      <c r="A80" s="5" t="s">
        <v>140</v>
      </c>
      <c r="B80" s="5">
        <v>72</v>
      </c>
      <c r="C80" s="5" t="s">
        <v>23</v>
      </c>
      <c r="D80">
        <v>310</v>
      </c>
      <c r="F80" t="s">
        <v>175</v>
      </c>
    </row>
    <row r="81" spans="1:6" x14ac:dyDescent="0.25">
      <c r="A81" s="5" t="s">
        <v>140</v>
      </c>
      <c r="B81" s="5">
        <v>73</v>
      </c>
      <c r="C81" s="5" t="s">
        <v>24</v>
      </c>
      <c r="D81">
        <v>320</v>
      </c>
      <c r="F81" t="s">
        <v>175</v>
      </c>
    </row>
    <row r="82" spans="1:6" x14ac:dyDescent="0.25">
      <c r="A82" s="5" t="s">
        <v>140</v>
      </c>
      <c r="B82" s="5">
        <v>74</v>
      </c>
      <c r="C82" s="5" t="s">
        <v>20</v>
      </c>
      <c r="D82">
        <v>210</v>
      </c>
      <c r="F82" t="s">
        <v>175</v>
      </c>
    </row>
    <row r="83" spans="1:6" x14ac:dyDescent="0.25">
      <c r="A83" s="5" t="s">
        <v>140</v>
      </c>
      <c r="B83" s="5">
        <v>75</v>
      </c>
      <c r="C83" s="5" t="s">
        <v>21</v>
      </c>
      <c r="D83">
        <v>180</v>
      </c>
      <c r="F83" t="s">
        <v>175</v>
      </c>
    </row>
    <row r="84" spans="1:6" x14ac:dyDescent="0.25">
      <c r="A84" s="5" t="s">
        <v>140</v>
      </c>
      <c r="B84" s="5">
        <v>76</v>
      </c>
      <c r="C84" s="5" t="s">
        <v>22</v>
      </c>
      <c r="D84">
        <v>210</v>
      </c>
      <c r="F84" t="s">
        <v>175</v>
      </c>
    </row>
    <row r="85" spans="1:6" hidden="1" x14ac:dyDescent="0.25">
      <c r="A85" s="5" t="s">
        <v>140</v>
      </c>
      <c r="B85" s="5">
        <v>77</v>
      </c>
      <c r="C85" s="5" t="s">
        <v>68</v>
      </c>
    </row>
    <row r="86" spans="1:6" hidden="1" x14ac:dyDescent="0.25">
      <c r="A86" s="5" t="s">
        <v>140</v>
      </c>
      <c r="B86" s="5">
        <v>78</v>
      </c>
      <c r="C86" s="5" t="s">
        <v>67</v>
      </c>
    </row>
    <row r="87" spans="1:6" hidden="1" x14ac:dyDescent="0.25">
      <c r="A87" s="5" t="s">
        <v>140</v>
      </c>
      <c r="B87" s="5">
        <v>79</v>
      </c>
      <c r="C87" s="5" t="s">
        <v>41</v>
      </c>
    </row>
    <row r="88" spans="1:6" x14ac:dyDescent="0.25">
      <c r="A88" s="5" t="s">
        <v>140</v>
      </c>
      <c r="B88" s="5">
        <v>80</v>
      </c>
      <c r="C88" s="5" t="s">
        <v>180</v>
      </c>
      <c r="D88">
        <v>961</v>
      </c>
    </row>
    <row r="89" spans="1:6" hidden="1" x14ac:dyDescent="0.25">
      <c r="A89" s="5" t="s">
        <v>140</v>
      </c>
      <c r="B89" s="5">
        <v>81</v>
      </c>
      <c r="C89" s="5" t="s">
        <v>17</v>
      </c>
    </row>
    <row r="90" spans="1:6" hidden="1" x14ac:dyDescent="0.25">
      <c r="A90" s="5" t="s">
        <v>140</v>
      </c>
      <c r="B90" s="5">
        <v>82</v>
      </c>
      <c r="C90" s="5" t="s">
        <v>19</v>
      </c>
    </row>
    <row r="91" spans="1:6" hidden="1" x14ac:dyDescent="0.25">
      <c r="A91" s="5" t="s">
        <v>140</v>
      </c>
      <c r="B91" s="5">
        <v>83</v>
      </c>
      <c r="C91" s="5" t="s">
        <v>64</v>
      </c>
    </row>
    <row r="92" spans="1:6" hidden="1" x14ac:dyDescent="0.25">
      <c r="A92" s="5" t="s">
        <v>140</v>
      </c>
      <c r="B92" s="5">
        <v>84</v>
      </c>
      <c r="C92" s="5" t="s">
        <v>167</v>
      </c>
    </row>
    <row r="93" spans="1:6" x14ac:dyDescent="0.25">
      <c r="A93" s="5" t="s">
        <v>140</v>
      </c>
      <c r="B93" s="5">
        <v>85</v>
      </c>
      <c r="C93" s="5" t="s">
        <v>25</v>
      </c>
      <c r="D93">
        <v>468</v>
      </c>
      <c r="F93" t="s">
        <v>175</v>
      </c>
    </row>
    <row r="94" spans="1:6" hidden="1" x14ac:dyDescent="0.25">
      <c r="A94" s="5" t="s">
        <v>140</v>
      </c>
      <c r="B94" s="5">
        <v>86</v>
      </c>
      <c r="C94" s="5" t="s">
        <v>99</v>
      </c>
    </row>
    <row r="95" spans="1:6" hidden="1" x14ac:dyDescent="0.25">
      <c r="A95" s="5" t="s">
        <v>140</v>
      </c>
      <c r="B95" s="5">
        <v>87</v>
      </c>
      <c r="C95" s="5" t="s">
        <v>126</v>
      </c>
    </row>
    <row r="96" spans="1:6" hidden="1" x14ac:dyDescent="0.25">
      <c r="A96" s="5" t="s">
        <v>140</v>
      </c>
      <c r="B96" s="5">
        <v>88</v>
      </c>
      <c r="C96" s="5" t="s">
        <v>127</v>
      </c>
    </row>
    <row r="97" spans="1:6" hidden="1" x14ac:dyDescent="0.25">
      <c r="A97" s="5" t="s">
        <v>140</v>
      </c>
      <c r="B97" s="5">
        <v>89</v>
      </c>
      <c r="C97" s="5" t="s">
        <v>128</v>
      </c>
    </row>
    <row r="98" spans="1:6" hidden="1" x14ac:dyDescent="0.25">
      <c r="A98" s="5" t="s">
        <v>140</v>
      </c>
      <c r="B98" s="5">
        <v>90</v>
      </c>
      <c r="C98" s="5" t="s">
        <v>130</v>
      </c>
    </row>
    <row r="99" spans="1:6" hidden="1" x14ac:dyDescent="0.25">
      <c r="A99" s="5" t="s">
        <v>140</v>
      </c>
      <c r="B99" s="5">
        <v>115</v>
      </c>
      <c r="C99" s="5" t="s">
        <v>168</v>
      </c>
    </row>
    <row r="100" spans="1:6" hidden="1" x14ac:dyDescent="0.25">
      <c r="A100" s="5" t="s">
        <v>140</v>
      </c>
      <c r="B100" s="7">
        <v>116.178571428571</v>
      </c>
      <c r="C100" s="5" t="s">
        <v>169</v>
      </c>
    </row>
    <row r="101" spans="1:6" hidden="1" x14ac:dyDescent="0.25">
      <c r="A101" s="5" t="s">
        <v>140</v>
      </c>
      <c r="B101" s="7">
        <v>117.357142857143</v>
      </c>
      <c r="C101" s="5" t="s">
        <v>170</v>
      </c>
    </row>
    <row r="102" spans="1:6" hidden="1" x14ac:dyDescent="0.25">
      <c r="A102" s="5" t="s">
        <v>140</v>
      </c>
      <c r="B102" s="7">
        <v>118.53571428571399</v>
      </c>
      <c r="C102" s="5" t="s">
        <v>171</v>
      </c>
    </row>
    <row r="103" spans="1:6" hidden="1" x14ac:dyDescent="0.25">
      <c r="A103" s="5" t="s">
        <v>140</v>
      </c>
      <c r="B103" s="7">
        <v>119.71428571428601</v>
      </c>
      <c r="C103" s="5" t="s">
        <v>172</v>
      </c>
    </row>
    <row r="104" spans="1:6" hidden="1" x14ac:dyDescent="0.25">
      <c r="A104" s="5" t="s">
        <v>135</v>
      </c>
      <c r="B104" s="5">
        <v>91</v>
      </c>
      <c r="C104" s="5" t="s">
        <v>55</v>
      </c>
    </row>
    <row r="105" spans="1:6" hidden="1" x14ac:dyDescent="0.25">
      <c r="A105" s="5" t="s">
        <v>135</v>
      </c>
      <c r="B105" s="5">
        <v>92</v>
      </c>
      <c r="C105" s="5" t="s">
        <v>173</v>
      </c>
    </row>
    <row r="106" spans="1:6" x14ac:dyDescent="0.25">
      <c r="A106" s="5" t="s">
        <v>135</v>
      </c>
      <c r="B106" s="5">
        <v>93</v>
      </c>
      <c r="C106" s="5" t="s">
        <v>174</v>
      </c>
      <c r="D106">
        <v>560</v>
      </c>
      <c r="F106" t="s">
        <v>175</v>
      </c>
    </row>
    <row r="107" spans="1:6" hidden="1" x14ac:dyDescent="0.25">
      <c r="A107" s="5" t="s">
        <v>135</v>
      </c>
      <c r="B107" s="5">
        <v>94</v>
      </c>
      <c r="C107" s="5" t="s">
        <v>59</v>
      </c>
    </row>
    <row r="108" spans="1:6" x14ac:dyDescent="0.25">
      <c r="A108" s="5" t="s">
        <v>135</v>
      </c>
      <c r="B108" s="5">
        <v>95</v>
      </c>
      <c r="C108" s="5" t="s">
        <v>29</v>
      </c>
      <c r="D108">
        <v>610</v>
      </c>
      <c r="F108" t="s">
        <v>175</v>
      </c>
    </row>
    <row r="109" spans="1:6" hidden="1" x14ac:dyDescent="0.25">
      <c r="A109" s="5" t="s">
        <v>135</v>
      </c>
      <c r="B109" s="5">
        <v>96</v>
      </c>
      <c r="C109" s="5" t="s">
        <v>39</v>
      </c>
    </row>
    <row r="110" spans="1:6" hidden="1" x14ac:dyDescent="0.25">
      <c r="A110" s="5" t="s">
        <v>135</v>
      </c>
      <c r="B110" s="5">
        <v>97</v>
      </c>
      <c r="C110" s="5" t="s">
        <v>38</v>
      </c>
    </row>
    <row r="111" spans="1:6" hidden="1" x14ac:dyDescent="0.25">
      <c r="A111" s="5" t="s">
        <v>135</v>
      </c>
      <c r="B111" s="5">
        <v>98</v>
      </c>
      <c r="C111" s="5" t="s">
        <v>37</v>
      </c>
    </row>
    <row r="112" spans="1:6" hidden="1" x14ac:dyDescent="0.25">
      <c r="A112" s="5" t="s">
        <v>135</v>
      </c>
      <c r="B112" s="5">
        <v>99</v>
      </c>
      <c r="C112" s="5" t="s">
        <v>36</v>
      </c>
    </row>
    <row r="113" spans="1:3" hidden="1" x14ac:dyDescent="0.25">
      <c r="A113" s="5" t="s">
        <v>135</v>
      </c>
      <c r="B113" s="5">
        <v>100</v>
      </c>
      <c r="C113" s="5" t="s">
        <v>35</v>
      </c>
    </row>
    <row r="114" spans="1:3" hidden="1" x14ac:dyDescent="0.25">
      <c r="A114" s="5" t="s">
        <v>135</v>
      </c>
      <c r="B114" s="5">
        <v>104</v>
      </c>
      <c r="C114" s="5" t="s">
        <v>58</v>
      </c>
    </row>
    <row r="115" spans="1:3" hidden="1" x14ac:dyDescent="0.25">
      <c r="A115" s="5" t="s">
        <v>136</v>
      </c>
      <c r="B115" s="5">
        <v>101</v>
      </c>
      <c r="C115" s="5" t="s">
        <v>51</v>
      </c>
    </row>
    <row r="116" spans="1:3" hidden="1" x14ac:dyDescent="0.25">
      <c r="A116" s="5" t="s">
        <v>136</v>
      </c>
      <c r="B116" s="5">
        <v>102</v>
      </c>
      <c r="C116" s="5" t="s">
        <v>141</v>
      </c>
    </row>
    <row r="117" spans="1:3" hidden="1" x14ac:dyDescent="0.25">
      <c r="A117" s="5" t="s">
        <v>136</v>
      </c>
      <c r="B117" s="5">
        <v>103</v>
      </c>
      <c r="C117" s="5" t="s">
        <v>42</v>
      </c>
    </row>
    <row r="118" spans="1:3" hidden="1" x14ac:dyDescent="0.25">
      <c r="A118" s="5"/>
      <c r="B118" s="5">
        <v>106</v>
      </c>
      <c r="C118" s="5" t="s">
        <v>12</v>
      </c>
    </row>
    <row r="119" spans="1:3" x14ac:dyDescent="0.25">
      <c r="A119" s="5"/>
      <c r="B119" s="5"/>
      <c r="C119" s="5"/>
    </row>
    <row r="120" spans="1:3" x14ac:dyDescent="0.25">
      <c r="A120" s="5"/>
      <c r="B120" s="5"/>
      <c r="C120" s="5"/>
    </row>
    <row r="121" spans="1:3" x14ac:dyDescent="0.25">
      <c r="A121" s="5"/>
      <c r="B121" s="5"/>
      <c r="C121" s="5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  <row r="124" spans="1:3" x14ac:dyDescent="0.25">
      <c r="A124" s="5"/>
      <c r="B124" s="5"/>
      <c r="C124" s="5"/>
    </row>
    <row r="125" spans="1:3" x14ac:dyDescent="0.25">
      <c r="A125" s="5"/>
      <c r="B125" s="5"/>
      <c r="C125" s="5"/>
    </row>
    <row r="126" spans="1:3" x14ac:dyDescent="0.25">
      <c r="A126" s="5"/>
      <c r="B126" s="5"/>
      <c r="C126" s="5"/>
    </row>
    <row r="127" spans="1:3" x14ac:dyDescent="0.25">
      <c r="A127" s="5"/>
      <c r="B127" s="5"/>
      <c r="C127" s="5"/>
    </row>
    <row r="128" spans="1:3" x14ac:dyDescent="0.25">
      <c r="A128" s="5"/>
      <c r="B128" s="5"/>
      <c r="C128" s="5"/>
    </row>
    <row r="129" spans="1:3" x14ac:dyDescent="0.25">
      <c r="A129" s="5"/>
      <c r="B129" s="5"/>
      <c r="C129" s="5"/>
    </row>
    <row r="130" spans="1:3" x14ac:dyDescent="0.25">
      <c r="A130" s="5"/>
      <c r="B130" s="5"/>
      <c r="C130" s="5"/>
    </row>
    <row r="131" spans="1:3" x14ac:dyDescent="0.25">
      <c r="A131" s="5"/>
      <c r="B131" s="5"/>
      <c r="C131" s="5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5"/>
      <c r="B134" s="5"/>
      <c r="C134" s="5"/>
    </row>
    <row r="135" spans="1:3" x14ac:dyDescent="0.25">
      <c r="A135" s="5"/>
      <c r="B135" s="5"/>
      <c r="C135" s="5"/>
    </row>
    <row r="136" spans="1:3" x14ac:dyDescent="0.25">
      <c r="A136" s="5"/>
      <c r="B136" s="5"/>
      <c r="C136" s="5"/>
    </row>
    <row r="137" spans="1:3" x14ac:dyDescent="0.25">
      <c r="A137" s="5"/>
      <c r="B137" s="5"/>
      <c r="C137" s="5"/>
    </row>
    <row r="138" spans="1:3" x14ac:dyDescent="0.25">
      <c r="A138" s="5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5"/>
      <c r="C140" s="5"/>
    </row>
    <row r="141" spans="1:3" x14ac:dyDescent="0.25">
      <c r="A141" s="5"/>
      <c r="B141" s="5"/>
      <c r="C141" s="5"/>
    </row>
    <row r="142" spans="1:3" x14ac:dyDescent="0.25">
      <c r="A142" s="5"/>
      <c r="B142" s="5"/>
      <c r="C142" s="5"/>
    </row>
    <row r="143" spans="1:3" x14ac:dyDescent="0.25">
      <c r="A143" s="5"/>
      <c r="B143" s="5"/>
      <c r="C143" s="5"/>
    </row>
    <row r="144" spans="1:3" x14ac:dyDescent="0.25">
      <c r="A144" s="5"/>
      <c r="B144" s="5"/>
      <c r="C144" s="5"/>
    </row>
    <row r="145" spans="1:3" x14ac:dyDescent="0.25">
      <c r="A145" s="5"/>
      <c r="B145" s="5"/>
      <c r="C145" s="5"/>
    </row>
    <row r="146" spans="1:3" x14ac:dyDescent="0.25">
      <c r="A146" s="5"/>
      <c r="B146" s="5"/>
      <c r="C146" s="5"/>
    </row>
    <row r="147" spans="1:3" x14ac:dyDescent="0.25">
      <c r="A147" s="5"/>
      <c r="B147" s="5"/>
      <c r="C147" s="5"/>
    </row>
    <row r="148" spans="1:3" x14ac:dyDescent="0.25">
      <c r="A148" s="5"/>
      <c r="B148" s="5"/>
      <c r="C148" s="5"/>
    </row>
    <row r="149" spans="1:3" x14ac:dyDescent="0.25">
      <c r="A149" s="5"/>
      <c r="B149" s="5"/>
      <c r="C149" s="5"/>
    </row>
    <row r="150" spans="1:3" x14ac:dyDescent="0.25">
      <c r="A150" s="5"/>
      <c r="B150" s="5"/>
      <c r="C150" s="5"/>
    </row>
    <row r="151" spans="1:3" x14ac:dyDescent="0.25">
      <c r="A151" s="5"/>
      <c r="B151" s="5"/>
      <c r="C151" s="5"/>
    </row>
    <row r="152" spans="1:3" x14ac:dyDescent="0.25">
      <c r="A152" s="5"/>
      <c r="B152" s="5"/>
      <c r="C152" s="5"/>
    </row>
    <row r="153" spans="1:3" x14ac:dyDescent="0.25">
      <c r="A153" s="5"/>
      <c r="B153" s="5"/>
      <c r="C153" s="5"/>
    </row>
    <row r="154" spans="1:3" x14ac:dyDescent="0.25">
      <c r="A154" s="5"/>
      <c r="B154" s="5"/>
      <c r="C154" s="5"/>
    </row>
    <row r="155" spans="1:3" x14ac:dyDescent="0.25">
      <c r="A155" s="5"/>
      <c r="B155" s="5"/>
      <c r="C155" s="5"/>
    </row>
    <row r="156" spans="1:3" x14ac:dyDescent="0.25">
      <c r="A156" s="5"/>
      <c r="B156" s="5"/>
      <c r="C156" s="5"/>
    </row>
    <row r="157" spans="1:3" x14ac:dyDescent="0.25">
      <c r="A157" s="5"/>
      <c r="B157" s="5"/>
      <c r="C157" s="5"/>
    </row>
    <row r="158" spans="1:3" x14ac:dyDescent="0.25">
      <c r="A158" s="5"/>
      <c r="B158" s="5"/>
      <c r="C158" s="5"/>
    </row>
    <row r="159" spans="1:3" x14ac:dyDescent="0.25">
      <c r="A159" s="5"/>
      <c r="B159" s="5"/>
      <c r="C159" s="5"/>
    </row>
    <row r="160" spans="1:3" x14ac:dyDescent="0.25">
      <c r="A160" s="5"/>
      <c r="B160" s="5"/>
      <c r="C160" s="5"/>
    </row>
    <row r="161" spans="1:3" x14ac:dyDescent="0.25">
      <c r="A161" s="5"/>
      <c r="B161" s="5"/>
      <c r="C161" s="5"/>
    </row>
    <row r="162" spans="1:3" x14ac:dyDescent="0.25">
      <c r="A162" s="5"/>
      <c r="B162" s="5"/>
      <c r="C162" s="5"/>
    </row>
    <row r="163" spans="1:3" x14ac:dyDescent="0.25">
      <c r="A163" s="5"/>
      <c r="B163" s="5"/>
      <c r="C163" s="5"/>
    </row>
    <row r="164" spans="1:3" x14ac:dyDescent="0.25">
      <c r="A164" s="5"/>
      <c r="B164" s="5"/>
      <c r="C164" s="5"/>
    </row>
    <row r="165" spans="1:3" x14ac:dyDescent="0.25">
      <c r="A165" s="5"/>
      <c r="B165" s="5"/>
      <c r="C165" s="5"/>
    </row>
    <row r="166" spans="1:3" x14ac:dyDescent="0.25">
      <c r="A166" s="5"/>
      <c r="B166" s="5"/>
      <c r="C166" s="5"/>
    </row>
    <row r="167" spans="1:3" x14ac:dyDescent="0.25">
      <c r="A167" s="5"/>
      <c r="B167" s="5"/>
      <c r="C167" s="5"/>
    </row>
    <row r="168" spans="1:3" x14ac:dyDescent="0.25">
      <c r="A168" s="5"/>
      <c r="B168" s="5"/>
      <c r="C168" s="5"/>
    </row>
    <row r="169" spans="1:3" x14ac:dyDescent="0.25">
      <c r="A169" s="5"/>
      <c r="B169" s="5"/>
      <c r="C169" s="5"/>
    </row>
    <row r="170" spans="1:3" x14ac:dyDescent="0.25">
      <c r="A170" s="5"/>
      <c r="B170" s="5"/>
      <c r="C170" s="5"/>
    </row>
    <row r="171" spans="1:3" x14ac:dyDescent="0.25">
      <c r="A171" s="5"/>
      <c r="B171" s="5"/>
      <c r="C171" s="5"/>
    </row>
    <row r="172" spans="1:3" x14ac:dyDescent="0.25">
      <c r="A172" s="5"/>
      <c r="B172" s="5"/>
      <c r="C172" s="5"/>
    </row>
    <row r="173" spans="1:3" x14ac:dyDescent="0.25">
      <c r="A173" s="5"/>
      <c r="B173" s="5"/>
      <c r="C173" s="5"/>
    </row>
    <row r="174" spans="1:3" x14ac:dyDescent="0.25">
      <c r="A174" s="5"/>
      <c r="B174" s="5"/>
      <c r="C174" s="5"/>
    </row>
    <row r="175" spans="1:3" x14ac:dyDescent="0.25">
      <c r="A175" s="5"/>
      <c r="B175" s="5"/>
      <c r="C175" s="5"/>
    </row>
    <row r="176" spans="1:3" x14ac:dyDescent="0.25">
      <c r="A176" s="5"/>
      <c r="B176" s="5"/>
      <c r="C176" s="5"/>
    </row>
    <row r="177" spans="1:3" x14ac:dyDescent="0.25">
      <c r="A177" s="5"/>
      <c r="B177" s="5"/>
      <c r="C177" s="5"/>
    </row>
    <row r="178" spans="1:3" x14ac:dyDescent="0.25">
      <c r="A178" s="5"/>
      <c r="B178" s="5"/>
      <c r="C178" s="5"/>
    </row>
    <row r="179" spans="1:3" x14ac:dyDescent="0.25">
      <c r="A179" s="5"/>
      <c r="B179" s="5"/>
      <c r="C179" s="5"/>
    </row>
    <row r="180" spans="1:3" x14ac:dyDescent="0.25">
      <c r="A180" s="5"/>
      <c r="B180" s="5"/>
      <c r="C180" s="5"/>
    </row>
    <row r="181" spans="1:3" x14ac:dyDescent="0.25">
      <c r="A181" s="5"/>
      <c r="B181" s="5"/>
      <c r="C181" s="5"/>
    </row>
    <row r="182" spans="1:3" x14ac:dyDescent="0.25">
      <c r="A182" s="5"/>
      <c r="B182" s="5"/>
      <c r="C182" s="5"/>
    </row>
    <row r="183" spans="1:3" x14ac:dyDescent="0.25">
      <c r="A183" s="5"/>
      <c r="B183" s="5"/>
      <c r="C183" s="5"/>
    </row>
    <row r="184" spans="1:3" x14ac:dyDescent="0.25">
      <c r="A184" s="5"/>
      <c r="B184" s="5"/>
      <c r="C184" s="5"/>
    </row>
    <row r="185" spans="1:3" x14ac:dyDescent="0.25">
      <c r="A185" s="5"/>
      <c r="B185" s="5"/>
      <c r="C185" s="5"/>
    </row>
    <row r="186" spans="1:3" x14ac:dyDescent="0.25">
      <c r="A186" s="5"/>
      <c r="B186" s="5"/>
      <c r="C186" s="5"/>
    </row>
    <row r="187" spans="1:3" x14ac:dyDescent="0.25">
      <c r="A187" s="5"/>
      <c r="B187" s="5"/>
      <c r="C187" s="5"/>
    </row>
    <row r="188" spans="1:3" x14ac:dyDescent="0.25">
      <c r="A188" s="5"/>
      <c r="B188" s="5"/>
      <c r="C188" s="5"/>
    </row>
    <row r="189" spans="1:3" x14ac:dyDescent="0.25">
      <c r="A189" s="5"/>
      <c r="B189" s="5"/>
      <c r="C189" s="5"/>
    </row>
    <row r="190" spans="1:3" x14ac:dyDescent="0.25">
      <c r="A190" s="5"/>
      <c r="B190" s="5"/>
      <c r="C190" s="5"/>
    </row>
    <row r="191" spans="1:3" x14ac:dyDescent="0.25">
      <c r="A191" s="5"/>
      <c r="B191" s="5"/>
      <c r="C191" s="5"/>
    </row>
    <row r="192" spans="1:3" x14ac:dyDescent="0.25">
      <c r="A192" s="5"/>
      <c r="B192" s="5"/>
      <c r="C192" s="5"/>
    </row>
    <row r="193" spans="1:3" x14ac:dyDescent="0.25">
      <c r="A193" s="5"/>
      <c r="B193" s="5"/>
      <c r="C193" s="5"/>
    </row>
    <row r="194" spans="1:3" x14ac:dyDescent="0.25">
      <c r="A194" s="5"/>
      <c r="B194" s="5"/>
      <c r="C194" s="5"/>
    </row>
    <row r="195" spans="1:3" x14ac:dyDescent="0.25">
      <c r="A195" s="5"/>
      <c r="B195" s="5"/>
      <c r="C195" s="5"/>
    </row>
    <row r="196" spans="1:3" x14ac:dyDescent="0.25">
      <c r="A196" s="5"/>
      <c r="B196" s="5"/>
      <c r="C196" s="5"/>
    </row>
    <row r="197" spans="1:3" x14ac:dyDescent="0.25">
      <c r="A197" s="5"/>
      <c r="B197" s="5"/>
      <c r="C197" s="5"/>
    </row>
    <row r="198" spans="1:3" x14ac:dyDescent="0.25">
      <c r="A198" s="5"/>
      <c r="B198" s="5"/>
      <c r="C198" s="5"/>
    </row>
    <row r="199" spans="1:3" x14ac:dyDescent="0.25">
      <c r="A199" s="5"/>
      <c r="B199" s="5"/>
      <c r="C199" s="5"/>
    </row>
    <row r="200" spans="1:3" x14ac:dyDescent="0.25">
      <c r="A200" s="5"/>
      <c r="B200" s="5"/>
      <c r="C200" s="5"/>
    </row>
    <row r="201" spans="1:3" x14ac:dyDescent="0.25">
      <c r="A201" s="5"/>
      <c r="B201" s="5"/>
      <c r="C201" s="5"/>
    </row>
    <row r="202" spans="1:3" x14ac:dyDescent="0.25">
      <c r="A202" s="5"/>
      <c r="B202" s="5"/>
      <c r="C202" s="5"/>
    </row>
    <row r="203" spans="1:3" x14ac:dyDescent="0.25">
      <c r="A203" s="5"/>
      <c r="B203" s="5"/>
      <c r="C203" s="5"/>
    </row>
    <row r="204" spans="1:3" x14ac:dyDescent="0.25">
      <c r="A204" s="5"/>
      <c r="B204" s="5"/>
      <c r="C204" s="5"/>
    </row>
    <row r="205" spans="1:3" x14ac:dyDescent="0.25">
      <c r="A205" s="5"/>
      <c r="B205" s="5"/>
      <c r="C205" s="5"/>
    </row>
    <row r="206" spans="1:3" x14ac:dyDescent="0.25">
      <c r="A206" s="5"/>
      <c r="B206" s="5"/>
      <c r="C206" s="5"/>
    </row>
    <row r="207" spans="1:3" x14ac:dyDescent="0.25">
      <c r="A207" s="5"/>
      <c r="B207" s="5"/>
      <c r="C207" s="5"/>
    </row>
    <row r="208" spans="1:3" x14ac:dyDescent="0.25">
      <c r="A208" s="5"/>
      <c r="B208" s="5"/>
      <c r="C208" s="5"/>
    </row>
    <row r="209" spans="1:3" x14ac:dyDescent="0.25">
      <c r="A209" s="5"/>
      <c r="B209" s="5"/>
      <c r="C209" s="5"/>
    </row>
    <row r="210" spans="1:3" x14ac:dyDescent="0.25">
      <c r="A210" s="5"/>
      <c r="B210" s="5"/>
      <c r="C210" s="5"/>
    </row>
    <row r="211" spans="1:3" x14ac:dyDescent="0.25">
      <c r="A211" s="5"/>
      <c r="B211" s="5"/>
      <c r="C211" s="5"/>
    </row>
    <row r="212" spans="1:3" x14ac:dyDescent="0.25">
      <c r="A212" s="5"/>
      <c r="B212" s="5"/>
      <c r="C212" s="5"/>
    </row>
    <row r="213" spans="1:3" x14ac:dyDescent="0.25">
      <c r="A213" s="5"/>
      <c r="B213" s="5"/>
      <c r="C213" s="5"/>
    </row>
    <row r="214" spans="1:3" x14ac:dyDescent="0.25">
      <c r="A214" s="5"/>
      <c r="B214" s="5"/>
      <c r="C214" s="5"/>
    </row>
    <row r="215" spans="1:3" x14ac:dyDescent="0.25">
      <c r="A215" s="5"/>
      <c r="B215" s="5"/>
      <c r="C215" s="5"/>
    </row>
    <row r="216" spans="1:3" x14ac:dyDescent="0.25">
      <c r="A216" s="5"/>
      <c r="B216" s="5"/>
      <c r="C216" s="5"/>
    </row>
    <row r="217" spans="1:3" x14ac:dyDescent="0.25">
      <c r="A217" s="5"/>
      <c r="B217" s="5"/>
      <c r="C217" s="5"/>
    </row>
    <row r="218" spans="1:3" x14ac:dyDescent="0.25">
      <c r="A218" s="5"/>
      <c r="B218" s="5"/>
      <c r="C218" s="5"/>
    </row>
    <row r="219" spans="1:3" x14ac:dyDescent="0.25">
      <c r="A219" s="5"/>
      <c r="B219" s="5"/>
      <c r="C219" s="5"/>
    </row>
    <row r="220" spans="1:3" x14ac:dyDescent="0.25">
      <c r="A220" s="5"/>
      <c r="B220" s="5"/>
      <c r="C220" s="5"/>
    </row>
    <row r="221" spans="1:3" x14ac:dyDescent="0.25">
      <c r="A221" s="5"/>
      <c r="B221" s="5"/>
      <c r="C221" s="5"/>
    </row>
    <row r="222" spans="1:3" x14ac:dyDescent="0.25">
      <c r="A222" s="5"/>
      <c r="B222" s="5"/>
      <c r="C222" s="5"/>
    </row>
    <row r="223" spans="1:3" x14ac:dyDescent="0.25">
      <c r="A223" s="5"/>
      <c r="B223" s="5"/>
      <c r="C223" s="5"/>
    </row>
    <row r="224" spans="1:3" x14ac:dyDescent="0.25">
      <c r="A224" s="5"/>
      <c r="B224" s="5"/>
      <c r="C224" s="5"/>
    </row>
    <row r="225" spans="1:3" x14ac:dyDescent="0.25">
      <c r="A225" s="5"/>
      <c r="B225" s="5"/>
      <c r="C225" s="5"/>
    </row>
    <row r="226" spans="1:3" x14ac:dyDescent="0.25">
      <c r="A226" s="5"/>
      <c r="B226" s="5"/>
      <c r="C226" s="5"/>
    </row>
    <row r="227" spans="1:3" x14ac:dyDescent="0.25">
      <c r="A227" s="5"/>
      <c r="B227" s="5"/>
      <c r="C227" s="5"/>
    </row>
    <row r="228" spans="1:3" x14ac:dyDescent="0.25">
      <c r="A228" s="5"/>
      <c r="B228" s="5"/>
      <c r="C228" s="5"/>
    </row>
    <row r="229" spans="1:3" x14ac:dyDescent="0.25">
      <c r="A229" s="5"/>
      <c r="B229" s="5"/>
      <c r="C229" s="5"/>
    </row>
    <row r="230" spans="1:3" x14ac:dyDescent="0.25">
      <c r="A230" s="5"/>
      <c r="B230" s="5"/>
      <c r="C230" s="5"/>
    </row>
    <row r="231" spans="1:3" x14ac:dyDescent="0.25">
      <c r="A231" s="5"/>
      <c r="B231" s="5"/>
      <c r="C231" s="5"/>
    </row>
    <row r="232" spans="1:3" x14ac:dyDescent="0.25">
      <c r="A232" s="5"/>
      <c r="B232" s="5"/>
      <c r="C232" s="5"/>
    </row>
    <row r="233" spans="1:3" x14ac:dyDescent="0.25">
      <c r="A233" s="5"/>
      <c r="B233" s="5"/>
      <c r="C233" s="5"/>
    </row>
    <row r="234" spans="1:3" x14ac:dyDescent="0.25">
      <c r="A234" s="5"/>
      <c r="B234" s="5"/>
      <c r="C234" s="5"/>
    </row>
    <row r="235" spans="1:3" x14ac:dyDescent="0.25">
      <c r="A235" s="5"/>
      <c r="B235" s="5"/>
      <c r="C235" s="5"/>
    </row>
    <row r="236" spans="1:3" x14ac:dyDescent="0.25">
      <c r="A236" s="5"/>
      <c r="B236" s="5"/>
      <c r="C236" s="5"/>
    </row>
    <row r="237" spans="1:3" x14ac:dyDescent="0.25">
      <c r="A237" s="5"/>
      <c r="B237" s="5"/>
      <c r="C237" s="5"/>
    </row>
    <row r="238" spans="1:3" x14ac:dyDescent="0.25">
      <c r="A238" s="5"/>
      <c r="B238" s="5"/>
      <c r="C238" s="5"/>
    </row>
    <row r="239" spans="1:3" x14ac:dyDescent="0.25">
      <c r="A239" s="5"/>
      <c r="B239" s="5"/>
      <c r="C239" s="5"/>
    </row>
  </sheetData>
  <autoFilter ref="A1:F118" xr:uid="{DE93614D-B205-46E2-91AD-ADA592D3232B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90BB-E3D9-4128-A4E6-51BB6399D1E1}">
  <dimension ref="A1:J238"/>
  <sheetViews>
    <sheetView tabSelected="1" zoomScale="95" zoomScaleNormal="95" workbookViewId="0">
      <pane ySplit="1" topLeftCell="A87" activePane="bottomLeft" state="frozen"/>
      <selection pane="bottomLeft" activeCell="G147" sqref="G147"/>
    </sheetView>
  </sheetViews>
  <sheetFormatPr baseColWidth="10" defaultRowHeight="15" x14ac:dyDescent="0.25"/>
  <cols>
    <col min="1" max="1" width="14.28515625" bestFit="1" customWidth="1"/>
    <col min="2" max="2" width="25.85546875" style="8" customWidth="1"/>
    <col min="3" max="3" width="48" bestFit="1" customWidth="1"/>
    <col min="4" max="4" width="9.42578125" bestFit="1" customWidth="1"/>
    <col min="5" max="5" width="15.7109375" customWidth="1"/>
    <col min="6" max="6" width="20.28515625" style="5" customWidth="1"/>
    <col min="7" max="7" width="82.42578125" style="5" customWidth="1"/>
    <col min="8" max="8" width="11.42578125" style="5"/>
  </cols>
  <sheetData>
    <row r="1" spans="1:10" x14ac:dyDescent="0.25">
      <c r="A1" s="5" t="s">
        <v>132</v>
      </c>
      <c r="B1" s="7" t="s">
        <v>144</v>
      </c>
      <c r="C1" s="5" t="s">
        <v>143</v>
      </c>
      <c r="D1" s="5" t="s">
        <v>137</v>
      </c>
      <c r="E1" s="10" t="s">
        <v>164</v>
      </c>
      <c r="F1" s="5" t="s">
        <v>161</v>
      </c>
      <c r="G1" s="5" t="s">
        <v>115</v>
      </c>
      <c r="H1" s="5" t="s">
        <v>142</v>
      </c>
    </row>
    <row r="2" spans="1:10" x14ac:dyDescent="0.25">
      <c r="A2" s="5" t="s">
        <v>133</v>
      </c>
      <c r="B2" s="7"/>
      <c r="C2" s="5" t="s">
        <v>1</v>
      </c>
      <c r="D2" s="5"/>
      <c r="E2" s="10">
        <v>1600</v>
      </c>
      <c r="G2" s="11"/>
      <c r="H2" s="11"/>
      <c r="I2" s="9"/>
      <c r="J2" s="9"/>
    </row>
    <row r="3" spans="1:10" x14ac:dyDescent="0.25">
      <c r="A3" s="5" t="s">
        <v>133</v>
      </c>
      <c r="B3" s="7"/>
      <c r="C3" s="5" t="s">
        <v>3</v>
      </c>
      <c r="D3" s="5"/>
      <c r="E3" s="10"/>
      <c r="G3" s="11"/>
      <c r="H3" s="11"/>
      <c r="I3" s="9"/>
      <c r="J3" s="9"/>
    </row>
    <row r="4" spans="1:10" x14ac:dyDescent="0.25">
      <c r="A4" s="5" t="s">
        <v>133</v>
      </c>
      <c r="B4" s="7"/>
      <c r="C4" s="5" t="s">
        <v>4</v>
      </c>
      <c r="D4" s="5"/>
      <c r="E4" s="10">
        <v>1150</v>
      </c>
      <c r="G4" s="11"/>
      <c r="H4" s="11"/>
      <c r="I4" s="9"/>
      <c r="J4" s="9"/>
    </row>
    <row r="5" spans="1:10" x14ac:dyDescent="0.25">
      <c r="A5" s="5" t="s">
        <v>133</v>
      </c>
      <c r="B5" s="7"/>
      <c r="C5" s="5" t="s">
        <v>6</v>
      </c>
      <c r="D5" s="5"/>
      <c r="E5" s="10">
        <v>2200</v>
      </c>
    </row>
    <row r="6" spans="1:10" x14ac:dyDescent="0.25">
      <c r="A6" s="5" t="s">
        <v>133</v>
      </c>
      <c r="B6" s="7"/>
      <c r="C6" s="5" t="s">
        <v>7</v>
      </c>
      <c r="D6" s="5"/>
      <c r="E6" s="10">
        <v>3250</v>
      </c>
    </row>
    <row r="7" spans="1:10" x14ac:dyDescent="0.25">
      <c r="A7" s="5" t="s">
        <v>133</v>
      </c>
      <c r="B7" s="7"/>
      <c r="C7" s="5" t="s">
        <v>5</v>
      </c>
      <c r="D7" s="5"/>
      <c r="E7" s="10">
        <v>2550</v>
      </c>
    </row>
    <row r="8" spans="1:10" x14ac:dyDescent="0.25">
      <c r="A8" s="5" t="s">
        <v>133</v>
      </c>
      <c r="B8" s="7"/>
      <c r="C8" s="5" t="s">
        <v>11</v>
      </c>
      <c r="D8" s="5"/>
      <c r="E8" s="10"/>
    </row>
    <row r="9" spans="1:10" x14ac:dyDescent="0.25">
      <c r="A9" s="5" t="s">
        <v>133</v>
      </c>
      <c r="B9" s="7"/>
      <c r="C9" s="5" t="s">
        <v>66</v>
      </c>
      <c r="D9" s="5"/>
      <c r="E9" s="10">
        <v>720</v>
      </c>
    </row>
    <row r="10" spans="1:10" x14ac:dyDescent="0.25">
      <c r="A10" s="5" t="s">
        <v>133</v>
      </c>
      <c r="B10" s="7"/>
      <c r="C10" s="5" t="s">
        <v>2</v>
      </c>
      <c r="D10" s="5"/>
      <c r="E10" s="10">
        <v>2850</v>
      </c>
    </row>
    <row r="11" spans="1:10" x14ac:dyDescent="0.25">
      <c r="A11" s="5" t="s">
        <v>133</v>
      </c>
      <c r="B11" s="7"/>
      <c r="C11" s="5" t="s">
        <v>252</v>
      </c>
      <c r="D11" s="5">
        <v>0</v>
      </c>
      <c r="E11" s="10">
        <v>790</v>
      </c>
    </row>
    <row r="12" spans="1:10" x14ac:dyDescent="0.25">
      <c r="A12" s="5" t="s">
        <v>134</v>
      </c>
      <c r="B12" s="7">
        <v>736373854451</v>
      </c>
      <c r="C12" s="5" t="s">
        <v>53</v>
      </c>
      <c r="D12" s="5">
        <v>3</v>
      </c>
      <c r="E12" s="10">
        <v>480</v>
      </c>
    </row>
    <row r="13" spans="1:10" x14ac:dyDescent="0.25">
      <c r="A13" s="5" t="s">
        <v>134</v>
      </c>
      <c r="B13" s="7">
        <v>736373854437</v>
      </c>
      <c r="C13" s="5" t="s">
        <v>145</v>
      </c>
      <c r="D13" s="5">
        <v>1</v>
      </c>
      <c r="E13" s="10">
        <v>380</v>
      </c>
    </row>
    <row r="14" spans="1:10" x14ac:dyDescent="0.25">
      <c r="A14" s="5" t="s">
        <v>134</v>
      </c>
      <c r="B14" s="7">
        <v>736373854499</v>
      </c>
      <c r="C14" s="5" t="s">
        <v>52</v>
      </c>
      <c r="D14" s="5">
        <v>10</v>
      </c>
      <c r="E14" s="10">
        <v>580</v>
      </c>
    </row>
    <row r="15" spans="1:10" x14ac:dyDescent="0.25">
      <c r="A15" s="5" t="s">
        <v>134</v>
      </c>
      <c r="B15" s="7"/>
      <c r="C15" s="5" t="s">
        <v>146</v>
      </c>
      <c r="D15" s="5">
        <v>5</v>
      </c>
      <c r="E15" s="10"/>
    </row>
    <row r="16" spans="1:10" x14ac:dyDescent="0.25">
      <c r="A16" s="5" t="s">
        <v>134</v>
      </c>
      <c r="B16" s="7">
        <v>7793462000031</v>
      </c>
      <c r="C16" s="5" t="s">
        <v>43</v>
      </c>
      <c r="D16" s="5">
        <v>5</v>
      </c>
      <c r="E16" s="10">
        <v>490</v>
      </c>
    </row>
    <row r="17" spans="1:5" x14ac:dyDescent="0.25">
      <c r="A17" s="5" t="s">
        <v>134</v>
      </c>
      <c r="B17" s="7">
        <v>7797160100024</v>
      </c>
      <c r="C17" s="5" t="s">
        <v>138</v>
      </c>
      <c r="D17" s="5">
        <v>2</v>
      </c>
      <c r="E17" s="10">
        <v>580</v>
      </c>
    </row>
    <row r="18" spans="1:5" x14ac:dyDescent="0.25">
      <c r="A18" s="5" t="s">
        <v>134</v>
      </c>
      <c r="B18" s="7">
        <v>7790458661290</v>
      </c>
      <c r="C18" s="5" t="s">
        <v>190</v>
      </c>
      <c r="D18" s="5">
        <v>3</v>
      </c>
      <c r="E18" s="10">
        <v>980</v>
      </c>
    </row>
    <row r="19" spans="1:5" x14ac:dyDescent="0.25">
      <c r="A19" s="5" t="s">
        <v>134</v>
      </c>
      <c r="B19" s="7">
        <v>7790458658306</v>
      </c>
      <c r="C19" s="5" t="s">
        <v>191</v>
      </c>
      <c r="D19" s="5">
        <v>2</v>
      </c>
      <c r="E19" s="10">
        <v>950</v>
      </c>
    </row>
    <row r="20" spans="1:5" x14ac:dyDescent="0.25">
      <c r="A20" s="5" t="s">
        <v>134</v>
      </c>
      <c r="B20" s="7">
        <v>7798014060044</v>
      </c>
      <c r="C20" s="5" t="s">
        <v>45</v>
      </c>
      <c r="D20" s="5">
        <v>2</v>
      </c>
      <c r="E20" s="10">
        <v>1100</v>
      </c>
    </row>
    <row r="21" spans="1:5" x14ac:dyDescent="0.25">
      <c r="A21" s="5" t="s">
        <v>134</v>
      </c>
      <c r="B21" s="7">
        <v>7798014060068</v>
      </c>
      <c r="C21" s="5" t="s">
        <v>44</v>
      </c>
      <c r="D21" s="5">
        <v>1</v>
      </c>
      <c r="E21" s="10">
        <v>1100</v>
      </c>
    </row>
    <row r="22" spans="1:5" x14ac:dyDescent="0.25">
      <c r="A22" s="5" t="s">
        <v>134</v>
      </c>
      <c r="B22" s="7">
        <v>7793253005153</v>
      </c>
      <c r="C22" s="5" t="s">
        <v>147</v>
      </c>
      <c r="D22" s="5">
        <v>4</v>
      </c>
      <c r="E22" s="10">
        <v>850</v>
      </c>
    </row>
    <row r="23" spans="1:5" x14ac:dyDescent="0.25">
      <c r="A23" s="5" t="s">
        <v>134</v>
      </c>
      <c r="B23" s="7">
        <v>70330711525</v>
      </c>
      <c r="C23" s="5" t="s">
        <v>48</v>
      </c>
      <c r="D23" s="5">
        <v>7</v>
      </c>
      <c r="E23" s="10">
        <v>480</v>
      </c>
    </row>
    <row r="24" spans="1:5" x14ac:dyDescent="0.25">
      <c r="A24" s="5" t="s">
        <v>134</v>
      </c>
      <c r="B24" s="7">
        <v>70330717572</v>
      </c>
      <c r="C24" s="5" t="s">
        <v>50</v>
      </c>
      <c r="D24" s="5">
        <v>2</v>
      </c>
      <c r="E24" s="10">
        <v>580</v>
      </c>
    </row>
    <row r="25" spans="1:5" x14ac:dyDescent="0.25">
      <c r="A25" s="5" t="s">
        <v>134</v>
      </c>
      <c r="B25" s="7">
        <v>7500435201612</v>
      </c>
      <c r="C25" s="5" t="s">
        <v>49</v>
      </c>
      <c r="D25" s="5">
        <v>4</v>
      </c>
      <c r="E25" s="10">
        <v>480</v>
      </c>
    </row>
    <row r="26" spans="1:5" x14ac:dyDescent="0.25">
      <c r="A26" s="5" t="s">
        <v>134</v>
      </c>
      <c r="B26" s="7"/>
      <c r="C26" s="5" t="s">
        <v>61</v>
      </c>
      <c r="D26" s="5">
        <v>0</v>
      </c>
      <c r="E26" s="10"/>
    </row>
    <row r="27" spans="1:5" x14ac:dyDescent="0.25">
      <c r="A27" s="5" t="s">
        <v>134</v>
      </c>
      <c r="B27" s="7">
        <v>7798184785146</v>
      </c>
      <c r="C27" s="5" t="s">
        <v>62</v>
      </c>
      <c r="D27" s="5">
        <v>8</v>
      </c>
      <c r="E27" s="10"/>
    </row>
    <row r="28" spans="1:5" x14ac:dyDescent="0.25">
      <c r="A28" s="5" t="s">
        <v>134</v>
      </c>
      <c r="B28" s="7"/>
      <c r="C28" s="5" t="s">
        <v>156</v>
      </c>
      <c r="D28" s="5">
        <v>1</v>
      </c>
      <c r="E28" s="10"/>
    </row>
    <row r="29" spans="1:5" x14ac:dyDescent="0.25">
      <c r="A29" s="5" t="s">
        <v>134</v>
      </c>
      <c r="B29" s="7">
        <v>7798014060297</v>
      </c>
      <c r="C29" s="5" t="s">
        <v>54</v>
      </c>
      <c r="D29" s="5">
        <v>7</v>
      </c>
      <c r="E29" s="10">
        <v>480</v>
      </c>
    </row>
    <row r="30" spans="1:5" x14ac:dyDescent="0.25">
      <c r="A30" s="5" t="s">
        <v>134</v>
      </c>
      <c r="B30" s="7"/>
      <c r="C30" s="5" t="s">
        <v>89</v>
      </c>
      <c r="D30" s="5">
        <v>0</v>
      </c>
      <c r="E30" s="10"/>
    </row>
    <row r="31" spans="1:5" x14ac:dyDescent="0.25">
      <c r="A31" s="5" t="s">
        <v>134</v>
      </c>
      <c r="B31" s="7"/>
      <c r="C31" s="5" t="s">
        <v>88</v>
      </c>
      <c r="D31" s="5">
        <v>0</v>
      </c>
      <c r="E31" s="10"/>
    </row>
    <row r="32" spans="1:5" x14ac:dyDescent="0.25">
      <c r="A32" s="5" t="s">
        <v>134</v>
      </c>
      <c r="B32" s="7"/>
      <c r="C32" s="5" t="s">
        <v>101</v>
      </c>
      <c r="D32" s="5">
        <v>0</v>
      </c>
      <c r="E32" s="10"/>
    </row>
    <row r="33" spans="1:7" x14ac:dyDescent="0.25">
      <c r="A33" s="5" t="s">
        <v>134</v>
      </c>
      <c r="B33" s="7"/>
      <c r="C33" s="5" t="s">
        <v>98</v>
      </c>
      <c r="D33" s="5">
        <v>0</v>
      </c>
      <c r="E33" s="10"/>
    </row>
    <row r="34" spans="1:7" x14ac:dyDescent="0.25">
      <c r="A34" s="5" t="s">
        <v>134</v>
      </c>
      <c r="B34" s="7">
        <v>7793253004293</v>
      </c>
      <c r="C34" s="5" t="s">
        <v>129</v>
      </c>
      <c r="D34" s="5">
        <v>6</v>
      </c>
      <c r="E34" s="10">
        <v>990</v>
      </c>
    </row>
    <row r="35" spans="1:7" x14ac:dyDescent="0.25">
      <c r="A35" s="5" t="s">
        <v>134</v>
      </c>
      <c r="B35" s="7">
        <v>7791130003490</v>
      </c>
      <c r="C35" s="5" t="s">
        <v>131</v>
      </c>
      <c r="D35" s="5">
        <v>2</v>
      </c>
      <c r="E35" s="10">
        <v>1150</v>
      </c>
    </row>
    <row r="36" spans="1:7" x14ac:dyDescent="0.25">
      <c r="A36" s="5" t="s">
        <v>134</v>
      </c>
      <c r="B36" s="7">
        <v>7790207019624</v>
      </c>
      <c r="C36" s="5" t="s">
        <v>60</v>
      </c>
      <c r="D36" s="5">
        <v>2</v>
      </c>
      <c r="E36" s="10">
        <v>550</v>
      </c>
    </row>
    <row r="37" spans="1:7" x14ac:dyDescent="0.25">
      <c r="A37" s="5" t="s">
        <v>134</v>
      </c>
      <c r="B37" s="7"/>
      <c r="C37" s="5" t="s">
        <v>148</v>
      </c>
      <c r="D37" s="5">
        <v>1</v>
      </c>
      <c r="E37" s="10"/>
    </row>
    <row r="38" spans="1:7" x14ac:dyDescent="0.25">
      <c r="A38" s="5" t="s">
        <v>134</v>
      </c>
      <c r="B38" s="7">
        <v>7798014060051</v>
      </c>
      <c r="C38" s="5" t="s">
        <v>149</v>
      </c>
      <c r="D38" s="5">
        <v>4</v>
      </c>
      <c r="E38" s="10">
        <v>1100</v>
      </c>
    </row>
    <row r="39" spans="1:7" x14ac:dyDescent="0.25">
      <c r="A39" s="5" t="s">
        <v>134</v>
      </c>
      <c r="B39" s="7">
        <v>7791290780163</v>
      </c>
      <c r="C39" s="5" t="s">
        <v>150</v>
      </c>
      <c r="D39" s="5">
        <v>2</v>
      </c>
      <c r="E39" s="10">
        <v>430</v>
      </c>
    </row>
    <row r="40" spans="1:7" x14ac:dyDescent="0.25">
      <c r="A40" s="5" t="s">
        <v>134</v>
      </c>
      <c r="B40" s="7">
        <v>7791130962100</v>
      </c>
      <c r="C40" s="5" t="s">
        <v>151</v>
      </c>
      <c r="D40" s="5">
        <v>6</v>
      </c>
      <c r="E40" s="10">
        <v>450</v>
      </c>
    </row>
    <row r="41" spans="1:7" x14ac:dyDescent="0.25">
      <c r="A41" s="5" t="s">
        <v>134</v>
      </c>
      <c r="B41" s="7">
        <v>7791130003582</v>
      </c>
      <c r="C41" s="5" t="s">
        <v>152</v>
      </c>
      <c r="D41" s="5">
        <v>6</v>
      </c>
      <c r="E41" s="10">
        <v>430</v>
      </c>
    </row>
    <row r="42" spans="1:7" x14ac:dyDescent="0.25">
      <c r="A42" s="5" t="s">
        <v>134</v>
      </c>
      <c r="B42" s="7">
        <v>7790520997654</v>
      </c>
      <c r="C42" s="5" t="s">
        <v>183</v>
      </c>
      <c r="D42" s="5">
        <v>3</v>
      </c>
      <c r="E42" s="10">
        <v>1200</v>
      </c>
    </row>
    <row r="43" spans="1:7" x14ac:dyDescent="0.25">
      <c r="A43" s="5" t="s">
        <v>134</v>
      </c>
      <c r="B43" s="7">
        <v>7790520028693</v>
      </c>
      <c r="C43" s="5" t="s">
        <v>184</v>
      </c>
      <c r="D43" s="5">
        <v>2</v>
      </c>
      <c r="E43" s="10">
        <v>1240</v>
      </c>
    </row>
    <row r="44" spans="1:7" x14ac:dyDescent="0.25">
      <c r="A44" s="5" t="s">
        <v>134</v>
      </c>
      <c r="B44" s="7">
        <v>7790520995445</v>
      </c>
      <c r="C44" s="5" t="s">
        <v>185</v>
      </c>
      <c r="D44" s="5">
        <v>3</v>
      </c>
      <c r="E44" s="10">
        <v>1300</v>
      </c>
    </row>
    <row r="45" spans="1:7" x14ac:dyDescent="0.25">
      <c r="A45" s="5" t="s">
        <v>134</v>
      </c>
      <c r="B45" s="7">
        <v>7798184683579</v>
      </c>
      <c r="C45" s="5" t="s">
        <v>188</v>
      </c>
      <c r="D45" s="5">
        <v>8</v>
      </c>
      <c r="E45" s="10">
        <v>1000</v>
      </c>
      <c r="F45" s="5">
        <v>770</v>
      </c>
      <c r="G45" s="5" t="s">
        <v>175</v>
      </c>
    </row>
    <row r="46" spans="1:7" x14ac:dyDescent="0.25">
      <c r="A46" s="5" t="s">
        <v>134</v>
      </c>
      <c r="B46" s="7">
        <v>7790773034090</v>
      </c>
      <c r="C46" s="5" t="s">
        <v>189</v>
      </c>
      <c r="D46" s="5">
        <v>12</v>
      </c>
      <c r="E46" s="10">
        <v>200</v>
      </c>
    </row>
    <row r="47" spans="1:7" x14ac:dyDescent="0.25">
      <c r="A47" s="5" t="s">
        <v>134</v>
      </c>
      <c r="B47" s="7">
        <v>21893407875</v>
      </c>
      <c r="C47" s="5" t="s">
        <v>195</v>
      </c>
      <c r="D47" s="5">
        <v>5</v>
      </c>
      <c r="E47" s="10">
        <v>750</v>
      </c>
    </row>
    <row r="48" spans="1:7" x14ac:dyDescent="0.25">
      <c r="A48" s="5" t="s">
        <v>134</v>
      </c>
      <c r="B48" s="7">
        <v>21893407882</v>
      </c>
      <c r="C48" s="5" t="s">
        <v>196</v>
      </c>
      <c r="D48" s="5">
        <v>5</v>
      </c>
      <c r="E48" s="10">
        <v>930</v>
      </c>
    </row>
    <row r="49" spans="1:7" x14ac:dyDescent="0.25">
      <c r="A49" s="5" t="s">
        <v>134</v>
      </c>
      <c r="B49" s="7">
        <v>7797160100765</v>
      </c>
      <c r="C49" s="5" t="s">
        <v>253</v>
      </c>
      <c r="D49" s="5"/>
      <c r="E49" s="10">
        <v>680</v>
      </c>
    </row>
    <row r="50" spans="1:7" x14ac:dyDescent="0.25">
      <c r="A50" s="5" t="s">
        <v>241</v>
      </c>
      <c r="B50" s="7">
        <v>9991</v>
      </c>
      <c r="C50" s="5" t="s">
        <v>242</v>
      </c>
      <c r="D50" s="5"/>
      <c r="E50" s="10">
        <f>2850/5</f>
        <v>570</v>
      </c>
      <c r="F50" s="5">
        <f>8000/20</f>
        <v>400</v>
      </c>
      <c r="G50" s="5" t="s">
        <v>249</v>
      </c>
    </row>
    <row r="51" spans="1:7" x14ac:dyDescent="0.25">
      <c r="A51" s="5" t="s">
        <v>241</v>
      </c>
      <c r="B51" s="7">
        <v>9992</v>
      </c>
      <c r="C51" s="5" t="s">
        <v>243</v>
      </c>
      <c r="D51" s="5"/>
      <c r="E51" s="10">
        <f>2850/5</f>
        <v>570</v>
      </c>
      <c r="F51" s="5">
        <f>7000/20</f>
        <v>350</v>
      </c>
      <c r="G51" s="5" t="s">
        <v>249</v>
      </c>
    </row>
    <row r="52" spans="1:7" x14ac:dyDescent="0.25">
      <c r="A52" s="5" t="s">
        <v>241</v>
      </c>
      <c r="B52" s="7">
        <v>9993</v>
      </c>
      <c r="C52" s="5" t="s">
        <v>244</v>
      </c>
      <c r="D52" s="5"/>
      <c r="E52" s="10">
        <f>2500/5</f>
        <v>500</v>
      </c>
      <c r="F52" s="5">
        <f>5800/20</f>
        <v>290</v>
      </c>
      <c r="G52" s="5" t="s">
        <v>249</v>
      </c>
    </row>
    <row r="53" spans="1:7" x14ac:dyDescent="0.25">
      <c r="A53" s="5" t="s">
        <v>241</v>
      </c>
      <c r="B53" s="7">
        <v>9994</v>
      </c>
      <c r="C53" s="5" t="s">
        <v>245</v>
      </c>
      <c r="D53" s="5"/>
      <c r="E53" s="10">
        <v>500</v>
      </c>
      <c r="F53" s="5">
        <f>5800/20</f>
        <v>290</v>
      </c>
      <c r="G53" s="5" t="s">
        <v>249</v>
      </c>
    </row>
    <row r="54" spans="1:7" x14ac:dyDescent="0.25">
      <c r="A54" s="5" t="s">
        <v>241</v>
      </c>
      <c r="B54" s="7">
        <v>9995</v>
      </c>
      <c r="C54" s="5" t="s">
        <v>246</v>
      </c>
      <c r="D54" s="5"/>
      <c r="E54" s="12">
        <f>990/5</f>
        <v>198</v>
      </c>
      <c r="F54" s="5">
        <v>91.6</v>
      </c>
      <c r="G54" s="5" t="s">
        <v>249</v>
      </c>
    </row>
    <row r="55" spans="1:7" x14ac:dyDescent="0.25">
      <c r="A55" s="5" t="s">
        <v>241</v>
      </c>
      <c r="B55" s="7">
        <v>9996</v>
      </c>
      <c r="C55" s="5" t="s">
        <v>247</v>
      </c>
      <c r="D55" s="5"/>
      <c r="E55" s="10">
        <f>2600/5</f>
        <v>520</v>
      </c>
      <c r="F55" s="5">
        <f>8000/20</f>
        <v>400</v>
      </c>
      <c r="G55" s="5" t="s">
        <v>249</v>
      </c>
    </row>
    <row r="56" spans="1:7" x14ac:dyDescent="0.25">
      <c r="A56" s="5" t="s">
        <v>241</v>
      </c>
      <c r="B56" s="7">
        <v>9997</v>
      </c>
      <c r="C56" s="5" t="s">
        <v>248</v>
      </c>
      <c r="D56" s="5"/>
      <c r="E56" s="10">
        <f>820/5</f>
        <v>164</v>
      </c>
    </row>
    <row r="57" spans="1:7" x14ac:dyDescent="0.25">
      <c r="A57" s="5" t="s">
        <v>139</v>
      </c>
      <c r="B57" s="7">
        <v>7790940003034</v>
      </c>
      <c r="C57" s="5" t="s">
        <v>103</v>
      </c>
      <c r="D57" s="5">
        <v>1</v>
      </c>
      <c r="E57" s="10">
        <v>590</v>
      </c>
    </row>
    <row r="58" spans="1:7" x14ac:dyDescent="0.25">
      <c r="A58" s="5" t="s">
        <v>139</v>
      </c>
      <c r="B58" s="7">
        <v>7509546677163</v>
      </c>
      <c r="C58" s="5" t="s">
        <v>157</v>
      </c>
      <c r="D58" s="5">
        <v>5</v>
      </c>
      <c r="E58" s="10">
        <v>720</v>
      </c>
    </row>
    <row r="59" spans="1:7" x14ac:dyDescent="0.25">
      <c r="A59" s="5" t="s">
        <v>139</v>
      </c>
      <c r="B59" s="7">
        <v>7798014062680</v>
      </c>
      <c r="C59" s="5" t="s">
        <v>30</v>
      </c>
      <c r="D59" s="5">
        <v>6</v>
      </c>
      <c r="E59" s="10">
        <v>150</v>
      </c>
    </row>
    <row r="60" spans="1:7" x14ac:dyDescent="0.25">
      <c r="A60" s="5" t="s">
        <v>139</v>
      </c>
      <c r="B60" s="7">
        <v>7790250054894</v>
      </c>
      <c r="C60" s="5" t="s">
        <v>31</v>
      </c>
      <c r="D60" s="5">
        <v>6</v>
      </c>
      <c r="E60" s="10">
        <v>180</v>
      </c>
    </row>
    <row r="61" spans="1:7" x14ac:dyDescent="0.25">
      <c r="A61" s="5" t="s">
        <v>139</v>
      </c>
      <c r="B61" s="7">
        <v>7791293044613</v>
      </c>
      <c r="C61" s="5" t="s">
        <v>85</v>
      </c>
      <c r="D61" s="5">
        <v>4</v>
      </c>
      <c r="E61" s="10">
        <v>720</v>
      </c>
    </row>
    <row r="62" spans="1:7" x14ac:dyDescent="0.25">
      <c r="A62" s="5" t="s">
        <v>139</v>
      </c>
      <c r="B62" s="7">
        <v>7794417000205</v>
      </c>
      <c r="C62" s="5" t="s">
        <v>14</v>
      </c>
      <c r="D62" s="5">
        <v>8</v>
      </c>
      <c r="E62" s="10">
        <v>540</v>
      </c>
    </row>
    <row r="63" spans="1:7" x14ac:dyDescent="0.25">
      <c r="A63" s="5" t="s">
        <v>139</v>
      </c>
      <c r="B63" s="7">
        <v>6910021007206</v>
      </c>
      <c r="C63" s="5" t="s">
        <v>192</v>
      </c>
      <c r="D63" s="5">
        <v>1</v>
      </c>
      <c r="E63" s="10">
        <v>380</v>
      </c>
    </row>
    <row r="64" spans="1:7" x14ac:dyDescent="0.25">
      <c r="A64" s="5" t="s">
        <v>139</v>
      </c>
      <c r="B64" s="7">
        <v>7796851809369</v>
      </c>
      <c r="C64" s="5" t="s">
        <v>193</v>
      </c>
      <c r="D64" s="5">
        <v>2</v>
      </c>
      <c r="E64" s="10">
        <v>350</v>
      </c>
    </row>
    <row r="65" spans="1:7" x14ac:dyDescent="0.25">
      <c r="A65" s="5" t="s">
        <v>139</v>
      </c>
      <c r="B65" s="7">
        <v>77974457</v>
      </c>
      <c r="C65" s="5" t="s">
        <v>32</v>
      </c>
      <c r="D65" s="5">
        <v>3</v>
      </c>
      <c r="E65" s="10">
        <v>480</v>
      </c>
    </row>
    <row r="66" spans="1:7" x14ac:dyDescent="0.25">
      <c r="A66" s="5" t="s">
        <v>139</v>
      </c>
      <c r="B66" s="7"/>
      <c r="C66" s="5" t="s">
        <v>158</v>
      </c>
      <c r="D66" s="5">
        <v>5</v>
      </c>
      <c r="E66" s="10">
        <v>1250</v>
      </c>
    </row>
    <row r="67" spans="1:7" x14ac:dyDescent="0.25">
      <c r="A67" s="5" t="s">
        <v>139</v>
      </c>
      <c r="B67" s="7"/>
      <c r="C67" s="5" t="s">
        <v>254</v>
      </c>
      <c r="D67" s="5">
        <v>3</v>
      </c>
      <c r="E67" s="10">
        <v>350</v>
      </c>
      <c r="F67" s="5">
        <v>154</v>
      </c>
      <c r="G67" s="5" t="s">
        <v>175</v>
      </c>
    </row>
    <row r="68" spans="1:7" x14ac:dyDescent="0.25">
      <c r="A68" s="5" t="s">
        <v>139</v>
      </c>
      <c r="B68" s="7">
        <v>7794218106328</v>
      </c>
      <c r="C68" s="5" t="s">
        <v>27</v>
      </c>
      <c r="D68" s="5">
        <v>3</v>
      </c>
      <c r="E68" s="10">
        <v>390</v>
      </c>
    </row>
    <row r="69" spans="1:7" x14ac:dyDescent="0.25">
      <c r="A69" s="5" t="s">
        <v>139</v>
      </c>
      <c r="B69" s="7">
        <v>7796311000022</v>
      </c>
      <c r="C69" s="5" t="s">
        <v>28</v>
      </c>
      <c r="D69" s="5">
        <v>2</v>
      </c>
      <c r="E69" s="10">
        <v>830</v>
      </c>
      <c r="F69" s="5">
        <v>635</v>
      </c>
      <c r="G69" s="5" t="s">
        <v>175</v>
      </c>
    </row>
    <row r="70" spans="1:7" x14ac:dyDescent="0.25">
      <c r="A70" s="5" t="s">
        <v>139</v>
      </c>
      <c r="B70" s="7">
        <v>7794218106717</v>
      </c>
      <c r="C70" s="5" t="s">
        <v>26</v>
      </c>
      <c r="D70" s="5">
        <v>3</v>
      </c>
      <c r="E70" s="10">
        <v>380</v>
      </c>
    </row>
    <row r="71" spans="1:7" x14ac:dyDescent="0.25">
      <c r="A71" s="5" t="s">
        <v>139</v>
      </c>
      <c r="B71" s="7">
        <v>7794218106229</v>
      </c>
      <c r="C71" s="5" t="s">
        <v>93</v>
      </c>
      <c r="D71" s="5">
        <v>6</v>
      </c>
      <c r="E71" s="10">
        <v>800</v>
      </c>
      <c r="F71" s="5">
        <v>610</v>
      </c>
      <c r="G71" s="13" t="s">
        <v>249</v>
      </c>
    </row>
    <row r="72" spans="1:7" x14ac:dyDescent="0.25">
      <c r="A72" s="5" t="s">
        <v>139</v>
      </c>
      <c r="B72" s="7">
        <v>7794417005217</v>
      </c>
      <c r="C72" s="5" t="s">
        <v>13</v>
      </c>
      <c r="D72" s="5">
        <v>4</v>
      </c>
      <c r="E72" s="10">
        <f>F72+F72*0.3</f>
        <v>1690</v>
      </c>
      <c r="F72" s="5">
        <v>1300</v>
      </c>
      <c r="G72" s="5" t="s">
        <v>249</v>
      </c>
    </row>
    <row r="73" spans="1:7" x14ac:dyDescent="0.25">
      <c r="A73" s="5" t="s">
        <v>139</v>
      </c>
      <c r="B73" s="7">
        <v>7509546665689</v>
      </c>
      <c r="C73" s="5" t="s">
        <v>165</v>
      </c>
      <c r="D73" s="5">
        <v>2</v>
      </c>
      <c r="E73" s="10">
        <v>780</v>
      </c>
      <c r="G73" s="5" t="s">
        <v>255</v>
      </c>
    </row>
    <row r="74" spans="1:7" x14ac:dyDescent="0.25">
      <c r="A74" s="5" t="s">
        <v>139</v>
      </c>
      <c r="B74" s="7">
        <v>7795448039691</v>
      </c>
      <c r="C74" s="5" t="s">
        <v>8</v>
      </c>
      <c r="D74" s="5">
        <v>8</v>
      </c>
      <c r="E74" s="10">
        <v>250</v>
      </c>
      <c r="G74" s="5" t="s">
        <v>181</v>
      </c>
    </row>
    <row r="75" spans="1:7" x14ac:dyDescent="0.25">
      <c r="A75" s="5" t="s">
        <v>139</v>
      </c>
      <c r="B75" s="7">
        <v>7791014090325</v>
      </c>
      <c r="C75" s="5" t="s">
        <v>40</v>
      </c>
      <c r="D75" s="5">
        <v>5</v>
      </c>
      <c r="E75" s="10">
        <v>750</v>
      </c>
      <c r="F75" s="5">
        <v>573</v>
      </c>
      <c r="G75" s="5" t="s">
        <v>175</v>
      </c>
    </row>
    <row r="76" spans="1:7" x14ac:dyDescent="0.25">
      <c r="A76" s="5" t="s">
        <v>139</v>
      </c>
      <c r="B76" s="7">
        <v>77980182</v>
      </c>
      <c r="C76" s="5" t="s">
        <v>34</v>
      </c>
      <c r="D76" s="5">
        <v>10</v>
      </c>
      <c r="E76" s="10">
        <v>620</v>
      </c>
      <c r="F76" s="5">
        <v>475</v>
      </c>
      <c r="G76" s="5" t="s">
        <v>175</v>
      </c>
    </row>
    <row r="77" spans="1:7" x14ac:dyDescent="0.25">
      <c r="A77" s="5" t="s">
        <v>139</v>
      </c>
      <c r="B77" s="7">
        <v>7791274004377</v>
      </c>
      <c r="C77" s="5" t="s">
        <v>104</v>
      </c>
      <c r="D77" s="5">
        <v>4</v>
      </c>
      <c r="E77" s="10">
        <v>600</v>
      </c>
    </row>
    <row r="78" spans="1:7" x14ac:dyDescent="0.25">
      <c r="A78" s="5" t="s">
        <v>139</v>
      </c>
      <c r="B78" s="7">
        <v>7798035497003</v>
      </c>
      <c r="C78" s="5" t="s">
        <v>18</v>
      </c>
      <c r="D78" s="5">
        <v>10</v>
      </c>
      <c r="E78" s="10">
        <v>480</v>
      </c>
      <c r="F78" s="5">
        <v>270</v>
      </c>
      <c r="G78" s="5" t="s">
        <v>175</v>
      </c>
    </row>
    <row r="79" spans="1:7" x14ac:dyDescent="0.25">
      <c r="A79" s="5" t="s">
        <v>139</v>
      </c>
      <c r="B79" s="7"/>
      <c r="C79" s="5" t="s">
        <v>166</v>
      </c>
      <c r="D79" s="5">
        <v>0</v>
      </c>
      <c r="E79" s="10"/>
    </row>
    <row r="80" spans="1:7" x14ac:dyDescent="0.25">
      <c r="A80" s="5" t="s">
        <v>139</v>
      </c>
      <c r="B80" s="7">
        <v>7790740000257</v>
      </c>
      <c r="C80" s="5" t="s">
        <v>84</v>
      </c>
      <c r="D80" s="5">
        <v>3</v>
      </c>
      <c r="E80" s="10">
        <v>1030</v>
      </c>
      <c r="G80" s="5" t="s">
        <v>256</v>
      </c>
    </row>
    <row r="81" spans="1:10" x14ac:dyDescent="0.25">
      <c r="A81" s="5" t="s">
        <v>139</v>
      </c>
      <c r="B81" s="7"/>
      <c r="C81" s="5" t="s">
        <v>86</v>
      </c>
      <c r="D81" s="5">
        <v>0</v>
      </c>
      <c r="E81" s="10"/>
    </row>
    <row r="82" spans="1:10" x14ac:dyDescent="0.25">
      <c r="A82" s="5" t="s">
        <v>139</v>
      </c>
      <c r="B82" s="7"/>
      <c r="C82" s="5" t="s">
        <v>87</v>
      </c>
      <c r="D82" s="5">
        <v>0</v>
      </c>
      <c r="E82" s="10"/>
    </row>
    <row r="83" spans="1:10" x14ac:dyDescent="0.25">
      <c r="A83" s="5" t="s">
        <v>139</v>
      </c>
      <c r="B83" s="7"/>
      <c r="C83" s="5" t="s">
        <v>90</v>
      </c>
      <c r="D83" s="5">
        <v>0</v>
      </c>
      <c r="E83" s="10"/>
    </row>
    <row r="84" spans="1:10" x14ac:dyDescent="0.25">
      <c r="A84" s="5" t="s">
        <v>139</v>
      </c>
      <c r="B84" s="7">
        <v>7790990001813</v>
      </c>
      <c r="C84" s="5" t="s">
        <v>91</v>
      </c>
      <c r="D84" s="5">
        <v>5</v>
      </c>
      <c r="E84" s="10">
        <v>280</v>
      </c>
      <c r="F84" s="5">
        <v>212</v>
      </c>
      <c r="G84" s="5" t="s">
        <v>181</v>
      </c>
    </row>
    <row r="85" spans="1:10" s="17" customFormat="1" x14ac:dyDescent="0.25">
      <c r="A85" s="5" t="s">
        <v>139</v>
      </c>
      <c r="B85" s="7"/>
      <c r="C85" s="5" t="s">
        <v>92</v>
      </c>
      <c r="D85" s="5">
        <v>2</v>
      </c>
      <c r="E85" s="10">
        <v>150</v>
      </c>
      <c r="F85" s="5">
        <v>60</v>
      </c>
      <c r="G85" s="5" t="s">
        <v>181</v>
      </c>
      <c r="H85" s="5"/>
      <c r="I85"/>
      <c r="J85"/>
    </row>
    <row r="86" spans="1:10" x14ac:dyDescent="0.25">
      <c r="A86" s="14" t="s">
        <v>139</v>
      </c>
      <c r="B86" s="15">
        <v>7791720024195</v>
      </c>
      <c r="C86" s="14" t="s">
        <v>160</v>
      </c>
      <c r="D86" s="14">
        <v>1</v>
      </c>
      <c r="E86" s="16">
        <v>790</v>
      </c>
      <c r="F86" s="14"/>
      <c r="G86" s="14" t="s">
        <v>181</v>
      </c>
      <c r="H86" s="14"/>
      <c r="I86" s="17"/>
      <c r="J86" s="17"/>
    </row>
    <row r="87" spans="1:10" x14ac:dyDescent="0.25">
      <c r="A87" s="5" t="s">
        <v>139</v>
      </c>
      <c r="B87" s="7">
        <v>4005808257621</v>
      </c>
      <c r="C87" s="5" t="s">
        <v>94</v>
      </c>
      <c r="D87" s="5">
        <v>4</v>
      </c>
      <c r="E87" s="10">
        <v>530</v>
      </c>
      <c r="G87" s="5" t="s">
        <v>256</v>
      </c>
    </row>
    <row r="88" spans="1:10" x14ac:dyDescent="0.25">
      <c r="A88" s="5" t="s">
        <v>139</v>
      </c>
      <c r="B88" s="7">
        <v>4005808257621</v>
      </c>
      <c r="C88" s="5" t="s">
        <v>95</v>
      </c>
      <c r="D88" s="5">
        <v>5</v>
      </c>
      <c r="E88" s="10">
        <v>530</v>
      </c>
    </row>
    <row r="89" spans="1:10" x14ac:dyDescent="0.25">
      <c r="A89" s="5" t="s">
        <v>139</v>
      </c>
      <c r="B89" s="7">
        <v>7791293045122</v>
      </c>
      <c r="C89" s="5" t="s">
        <v>96</v>
      </c>
      <c r="D89" s="5">
        <v>1</v>
      </c>
      <c r="E89" s="10">
        <v>790</v>
      </c>
    </row>
    <row r="90" spans="1:10" x14ac:dyDescent="0.25">
      <c r="A90" s="5" t="s">
        <v>139</v>
      </c>
      <c r="B90" s="7">
        <v>7790458661894</v>
      </c>
      <c r="C90" s="5" t="s">
        <v>177</v>
      </c>
      <c r="D90" s="5">
        <v>7</v>
      </c>
      <c r="E90" s="10">
        <v>550</v>
      </c>
      <c r="G90" s="5" t="s">
        <v>175</v>
      </c>
    </row>
    <row r="91" spans="1:10" x14ac:dyDescent="0.25">
      <c r="A91" s="5" t="s">
        <v>139</v>
      </c>
      <c r="B91" s="7">
        <v>7702010631207</v>
      </c>
      <c r="C91" s="5" t="s">
        <v>154</v>
      </c>
      <c r="D91" s="5">
        <v>2</v>
      </c>
      <c r="E91" s="10">
        <v>900</v>
      </c>
      <c r="G91" s="5" t="s">
        <v>257</v>
      </c>
    </row>
    <row r="92" spans="1:10" x14ac:dyDescent="0.25">
      <c r="A92" s="5" t="s">
        <v>139</v>
      </c>
      <c r="B92" s="7">
        <v>7797160000027</v>
      </c>
      <c r="C92" s="5" t="s">
        <v>155</v>
      </c>
      <c r="D92" s="5">
        <v>2</v>
      </c>
      <c r="E92" s="10">
        <v>1250</v>
      </c>
      <c r="G92" s="5" t="s">
        <v>249</v>
      </c>
    </row>
    <row r="93" spans="1:10" x14ac:dyDescent="0.25">
      <c r="A93" s="5" t="s">
        <v>139</v>
      </c>
      <c r="B93" s="7">
        <v>7509546683379</v>
      </c>
      <c r="C93" s="5" t="s">
        <v>186</v>
      </c>
      <c r="D93" s="5">
        <v>3</v>
      </c>
      <c r="E93" s="10">
        <v>890</v>
      </c>
      <c r="G93" s="5" t="s">
        <v>181</v>
      </c>
    </row>
    <row r="94" spans="1:10" x14ac:dyDescent="0.25">
      <c r="A94" s="5" t="s">
        <v>139</v>
      </c>
      <c r="B94" s="7">
        <v>4005900973801</v>
      </c>
      <c r="C94" s="5" t="s">
        <v>187</v>
      </c>
      <c r="D94" s="5">
        <v>5</v>
      </c>
      <c r="E94" s="10"/>
    </row>
    <row r="95" spans="1:10" x14ac:dyDescent="0.25">
      <c r="A95" s="5" t="s">
        <v>139</v>
      </c>
      <c r="B95" s="7">
        <v>7798344320429</v>
      </c>
      <c r="C95" s="5" t="s">
        <v>194</v>
      </c>
      <c r="D95" s="5">
        <v>4</v>
      </c>
      <c r="E95" s="10"/>
    </row>
    <row r="96" spans="1:10" x14ac:dyDescent="0.25">
      <c r="A96" s="5" t="s">
        <v>139</v>
      </c>
      <c r="B96" s="18">
        <v>7509546686301</v>
      </c>
      <c r="C96" s="5" t="s">
        <v>258</v>
      </c>
      <c r="D96" s="5"/>
      <c r="E96" s="10">
        <v>850</v>
      </c>
      <c r="F96" s="5">
        <v>650</v>
      </c>
      <c r="G96" s="5" t="s">
        <v>256</v>
      </c>
    </row>
    <row r="97" spans="1:5" x14ac:dyDescent="0.25">
      <c r="A97" s="5" t="s">
        <v>140</v>
      </c>
      <c r="B97" s="7"/>
      <c r="C97" s="5" t="s">
        <v>9</v>
      </c>
      <c r="D97" s="5">
        <v>5</v>
      </c>
      <c r="E97" s="10"/>
    </row>
    <row r="98" spans="1:5" x14ac:dyDescent="0.25">
      <c r="A98" s="5" t="s">
        <v>140</v>
      </c>
      <c r="B98" s="7"/>
      <c r="C98" s="5" t="s">
        <v>179</v>
      </c>
      <c r="D98" s="5">
        <v>5</v>
      </c>
      <c r="E98" s="10"/>
    </row>
    <row r="99" spans="1:5" x14ac:dyDescent="0.25">
      <c r="A99" s="5" t="s">
        <v>140</v>
      </c>
      <c r="B99" s="7"/>
      <c r="C99" s="5" t="s">
        <v>23</v>
      </c>
      <c r="D99" s="5">
        <v>12</v>
      </c>
      <c r="E99" s="10"/>
    </row>
    <row r="100" spans="1:5" x14ac:dyDescent="0.25">
      <c r="A100" s="5" t="s">
        <v>140</v>
      </c>
      <c r="B100" s="7"/>
      <c r="C100" s="5" t="s">
        <v>24</v>
      </c>
      <c r="D100" s="5">
        <v>2</v>
      </c>
      <c r="E100" s="10"/>
    </row>
    <row r="101" spans="1:5" x14ac:dyDescent="0.25">
      <c r="A101" s="5" t="s">
        <v>140</v>
      </c>
      <c r="B101" s="7"/>
      <c r="C101" s="5" t="s">
        <v>20</v>
      </c>
      <c r="D101" s="5">
        <v>3</v>
      </c>
      <c r="E101" s="10"/>
    </row>
    <row r="102" spans="1:5" x14ac:dyDescent="0.25">
      <c r="A102" s="5" t="s">
        <v>140</v>
      </c>
      <c r="B102" s="7"/>
      <c r="C102" s="5" t="s">
        <v>21</v>
      </c>
      <c r="D102" s="5">
        <v>1</v>
      </c>
      <c r="E102" s="10"/>
    </row>
    <row r="103" spans="1:5" x14ac:dyDescent="0.25">
      <c r="A103" s="5" t="s">
        <v>140</v>
      </c>
      <c r="B103" s="7"/>
      <c r="C103" s="5" t="s">
        <v>22</v>
      </c>
      <c r="D103" s="5">
        <v>6</v>
      </c>
      <c r="E103" s="10"/>
    </row>
    <row r="104" spans="1:5" x14ac:dyDescent="0.25">
      <c r="A104" s="5" t="s">
        <v>140</v>
      </c>
      <c r="B104" s="7"/>
      <c r="C104" s="5" t="s">
        <v>68</v>
      </c>
      <c r="D104" s="5">
        <v>0</v>
      </c>
      <c r="E104" s="10"/>
    </row>
    <row r="105" spans="1:5" x14ac:dyDescent="0.25">
      <c r="A105" s="5" t="s">
        <v>140</v>
      </c>
      <c r="B105" s="7"/>
      <c r="C105" s="5" t="s">
        <v>67</v>
      </c>
      <c r="D105" s="5">
        <v>1</v>
      </c>
      <c r="E105" s="10"/>
    </row>
    <row r="106" spans="1:5" x14ac:dyDescent="0.25">
      <c r="A106" s="5" t="s">
        <v>140</v>
      </c>
      <c r="B106" s="7"/>
      <c r="C106" s="5" t="s">
        <v>41</v>
      </c>
      <c r="D106" s="5">
        <v>3</v>
      </c>
      <c r="E106" s="10"/>
    </row>
    <row r="107" spans="1:5" x14ac:dyDescent="0.25">
      <c r="A107" s="5" t="s">
        <v>140</v>
      </c>
      <c r="B107" s="7"/>
      <c r="C107" s="5" t="s">
        <v>180</v>
      </c>
      <c r="D107" s="5">
        <v>6</v>
      </c>
      <c r="E107" s="10"/>
    </row>
    <row r="108" spans="1:5" x14ac:dyDescent="0.25">
      <c r="A108" s="5" t="s">
        <v>140</v>
      </c>
      <c r="B108" s="7"/>
      <c r="C108" s="5" t="s">
        <v>17</v>
      </c>
      <c r="D108" s="5">
        <v>2</v>
      </c>
      <c r="E108" s="10"/>
    </row>
    <row r="109" spans="1:5" x14ac:dyDescent="0.25">
      <c r="A109" s="5" t="s">
        <v>140</v>
      </c>
      <c r="B109" s="7"/>
      <c r="C109" s="5" t="s">
        <v>19</v>
      </c>
      <c r="D109" s="5">
        <v>7</v>
      </c>
      <c r="E109" s="10"/>
    </row>
    <row r="110" spans="1:5" x14ac:dyDescent="0.25">
      <c r="A110" s="5" t="s">
        <v>140</v>
      </c>
      <c r="B110" s="7"/>
      <c r="C110" s="5" t="s">
        <v>64</v>
      </c>
      <c r="D110" s="5">
        <v>1</v>
      </c>
      <c r="E110" s="10"/>
    </row>
    <row r="111" spans="1:5" x14ac:dyDescent="0.25">
      <c r="A111" s="5" t="s">
        <v>140</v>
      </c>
      <c r="B111" s="7"/>
      <c r="C111" s="5" t="s">
        <v>167</v>
      </c>
      <c r="D111" s="5">
        <v>2</v>
      </c>
      <c r="E111" s="10"/>
    </row>
    <row r="112" spans="1:5" x14ac:dyDescent="0.25">
      <c r="A112" s="5" t="s">
        <v>140</v>
      </c>
      <c r="B112" s="7"/>
      <c r="C112" s="5" t="s">
        <v>25</v>
      </c>
      <c r="D112" s="5">
        <v>12</v>
      </c>
      <c r="E112" s="10"/>
    </row>
    <row r="113" spans="1:5" x14ac:dyDescent="0.25">
      <c r="A113" s="5" t="s">
        <v>140</v>
      </c>
      <c r="B113" s="7"/>
      <c r="C113" s="5" t="s">
        <v>99</v>
      </c>
      <c r="D113" s="5">
        <v>1</v>
      </c>
      <c r="E113" s="10"/>
    </row>
    <row r="114" spans="1:5" x14ac:dyDescent="0.25">
      <c r="A114" s="5" t="s">
        <v>140</v>
      </c>
      <c r="B114" s="7"/>
      <c r="C114" s="5" t="s">
        <v>126</v>
      </c>
      <c r="D114" s="5">
        <v>3</v>
      </c>
      <c r="E114" s="10"/>
    </row>
    <row r="115" spans="1:5" x14ac:dyDescent="0.25">
      <c r="A115" s="5" t="s">
        <v>140</v>
      </c>
      <c r="B115" s="7"/>
      <c r="C115" s="5" t="s">
        <v>127</v>
      </c>
      <c r="D115" s="5">
        <v>2</v>
      </c>
      <c r="E115" s="10"/>
    </row>
    <row r="116" spans="1:5" x14ac:dyDescent="0.25">
      <c r="A116" s="5" t="s">
        <v>140</v>
      </c>
      <c r="B116" s="7"/>
      <c r="C116" s="5" t="s">
        <v>128</v>
      </c>
      <c r="D116" s="5">
        <v>5</v>
      </c>
      <c r="E116" s="10"/>
    </row>
    <row r="117" spans="1:5" x14ac:dyDescent="0.25">
      <c r="A117" s="5" t="s">
        <v>140</v>
      </c>
      <c r="B117" s="7"/>
      <c r="C117" s="5" t="s">
        <v>130</v>
      </c>
      <c r="D117" s="5">
        <v>4</v>
      </c>
      <c r="E117" s="10"/>
    </row>
    <row r="118" spans="1:5" x14ac:dyDescent="0.25">
      <c r="A118" s="5" t="s">
        <v>140</v>
      </c>
      <c r="B118" s="7"/>
      <c r="C118" s="5" t="s">
        <v>168</v>
      </c>
      <c r="D118" s="5">
        <v>1</v>
      </c>
      <c r="E118" s="10"/>
    </row>
    <row r="119" spans="1:5" x14ac:dyDescent="0.25">
      <c r="A119" s="5" t="s">
        <v>140</v>
      </c>
      <c r="B119" s="7"/>
      <c r="C119" s="5" t="s">
        <v>169</v>
      </c>
      <c r="D119" s="5">
        <v>2</v>
      </c>
      <c r="E119" s="10"/>
    </row>
    <row r="120" spans="1:5" x14ac:dyDescent="0.25">
      <c r="A120" s="5" t="s">
        <v>140</v>
      </c>
      <c r="B120" s="7"/>
      <c r="C120" s="5" t="s">
        <v>170</v>
      </c>
      <c r="D120" s="5">
        <v>1</v>
      </c>
      <c r="E120" s="10"/>
    </row>
    <row r="121" spans="1:5" x14ac:dyDescent="0.25">
      <c r="A121" s="5" t="s">
        <v>140</v>
      </c>
      <c r="B121" s="7"/>
      <c r="C121" s="5" t="s">
        <v>171</v>
      </c>
      <c r="D121" s="5">
        <v>3</v>
      </c>
      <c r="E121" s="10"/>
    </row>
    <row r="122" spans="1:5" x14ac:dyDescent="0.25">
      <c r="A122" s="5" t="s">
        <v>140</v>
      </c>
      <c r="B122" s="7"/>
      <c r="C122" s="5" t="s">
        <v>172</v>
      </c>
      <c r="D122" s="5">
        <v>3</v>
      </c>
      <c r="E122" s="10"/>
    </row>
    <row r="123" spans="1:5" x14ac:dyDescent="0.25">
      <c r="A123" s="5" t="s">
        <v>135</v>
      </c>
      <c r="B123" s="7"/>
      <c r="C123" s="5" t="s">
        <v>55</v>
      </c>
      <c r="D123" s="5">
        <v>0</v>
      </c>
      <c r="E123" s="10"/>
    </row>
    <row r="124" spans="1:5" x14ac:dyDescent="0.25">
      <c r="A124" s="5" t="s">
        <v>135</v>
      </c>
      <c r="B124" s="7"/>
      <c r="C124" s="5" t="s">
        <v>173</v>
      </c>
      <c r="D124" s="5">
        <v>5</v>
      </c>
      <c r="E124" s="10"/>
    </row>
    <row r="125" spans="1:5" x14ac:dyDescent="0.25">
      <c r="A125" s="5" t="s">
        <v>135</v>
      </c>
      <c r="B125" s="7"/>
      <c r="C125" s="5" t="s">
        <v>174</v>
      </c>
      <c r="D125" s="5">
        <v>5</v>
      </c>
      <c r="E125" s="10"/>
    </row>
    <row r="126" spans="1:5" x14ac:dyDescent="0.25">
      <c r="A126" s="5" t="s">
        <v>135</v>
      </c>
      <c r="B126" s="7"/>
      <c r="C126" s="5" t="s">
        <v>59</v>
      </c>
      <c r="D126" s="5">
        <v>1</v>
      </c>
      <c r="E126" s="10"/>
    </row>
    <row r="127" spans="1:5" x14ac:dyDescent="0.25">
      <c r="A127" s="5" t="s">
        <v>135</v>
      </c>
      <c r="B127" s="7"/>
      <c r="C127" s="5" t="s">
        <v>29</v>
      </c>
      <c r="D127" s="5">
        <v>1</v>
      </c>
      <c r="E127" s="10"/>
    </row>
    <row r="128" spans="1:5" x14ac:dyDescent="0.25">
      <c r="A128" s="5" t="s">
        <v>135</v>
      </c>
      <c r="B128" s="7"/>
      <c r="C128" s="5" t="s">
        <v>39</v>
      </c>
      <c r="D128" s="5">
        <v>6</v>
      </c>
      <c r="E128" s="10"/>
    </row>
    <row r="129" spans="1:5" x14ac:dyDescent="0.25">
      <c r="A129" s="5" t="s">
        <v>135</v>
      </c>
      <c r="B129" s="7"/>
      <c r="C129" s="5" t="s">
        <v>38</v>
      </c>
      <c r="D129" s="5">
        <v>3</v>
      </c>
      <c r="E129" s="10"/>
    </row>
    <row r="130" spans="1:5" x14ac:dyDescent="0.25">
      <c r="A130" s="5" t="s">
        <v>135</v>
      </c>
      <c r="B130" s="7"/>
      <c r="C130" s="5" t="s">
        <v>37</v>
      </c>
      <c r="D130" s="5">
        <v>1</v>
      </c>
      <c r="E130" s="10"/>
    </row>
    <row r="131" spans="1:5" x14ac:dyDescent="0.25">
      <c r="A131" s="5" t="s">
        <v>135</v>
      </c>
      <c r="B131" s="7"/>
      <c r="C131" s="5" t="s">
        <v>36</v>
      </c>
      <c r="D131" s="5">
        <v>6</v>
      </c>
      <c r="E131" s="10"/>
    </row>
    <row r="132" spans="1:5" x14ac:dyDescent="0.25">
      <c r="A132" s="5" t="s">
        <v>135</v>
      </c>
      <c r="B132" s="7"/>
      <c r="C132" s="5" t="s">
        <v>35</v>
      </c>
      <c r="D132" s="5">
        <v>12</v>
      </c>
      <c r="E132" s="10"/>
    </row>
    <row r="133" spans="1:5" x14ac:dyDescent="0.25">
      <c r="A133" s="5" t="s">
        <v>135</v>
      </c>
      <c r="B133" s="7"/>
      <c r="C133" s="5" t="s">
        <v>58</v>
      </c>
      <c r="D133" s="5">
        <v>4</v>
      </c>
      <c r="E133" s="10"/>
    </row>
    <row r="134" spans="1:5" x14ac:dyDescent="0.25">
      <c r="A134" s="5" t="s">
        <v>136</v>
      </c>
      <c r="B134" s="7"/>
      <c r="C134" s="5" t="s">
        <v>51</v>
      </c>
      <c r="D134" s="5">
        <v>0</v>
      </c>
      <c r="E134" s="10"/>
    </row>
    <row r="135" spans="1:5" x14ac:dyDescent="0.25">
      <c r="A135" s="5" t="s">
        <v>136</v>
      </c>
      <c r="B135" s="7"/>
      <c r="C135" s="5" t="s">
        <v>141</v>
      </c>
      <c r="D135" s="5">
        <v>1</v>
      </c>
      <c r="E135" s="10"/>
    </row>
    <row r="136" spans="1:5" x14ac:dyDescent="0.25">
      <c r="A136" s="5" t="s">
        <v>136</v>
      </c>
      <c r="B136" s="7"/>
      <c r="C136" s="5" t="s">
        <v>42</v>
      </c>
      <c r="D136" s="5">
        <v>2</v>
      </c>
      <c r="E136" s="10"/>
    </row>
    <row r="137" spans="1:5" x14ac:dyDescent="0.25">
      <c r="A137" s="5" t="s">
        <v>136</v>
      </c>
      <c r="C137" s="5" t="s">
        <v>182</v>
      </c>
      <c r="D137" s="5">
        <v>3</v>
      </c>
      <c r="E137" s="10"/>
    </row>
    <row r="138" spans="1:5" x14ac:dyDescent="0.25">
      <c r="A138" s="5"/>
      <c r="B138" s="7"/>
      <c r="C138" s="5"/>
      <c r="D138" s="5"/>
      <c r="E138" s="10"/>
    </row>
    <row r="139" spans="1:5" x14ac:dyDescent="0.25">
      <c r="A139" s="5"/>
      <c r="B139" s="7"/>
      <c r="C139" s="5"/>
      <c r="D139" s="5"/>
      <c r="E139" s="10"/>
    </row>
    <row r="140" spans="1:5" x14ac:dyDescent="0.25">
      <c r="A140" s="5"/>
      <c r="B140" s="7"/>
      <c r="C140" s="5"/>
      <c r="D140" s="5"/>
      <c r="E140" s="10"/>
    </row>
    <row r="141" spans="1:5" x14ac:dyDescent="0.25">
      <c r="A141" s="5"/>
      <c r="B141" s="7"/>
      <c r="C141" s="5"/>
      <c r="D141" s="5"/>
      <c r="E141" s="10"/>
    </row>
    <row r="142" spans="1:5" x14ac:dyDescent="0.25">
      <c r="A142" s="5"/>
      <c r="B142" s="7"/>
      <c r="C142" s="5"/>
      <c r="D142" s="5"/>
      <c r="E142" s="10"/>
    </row>
    <row r="143" spans="1:5" x14ac:dyDescent="0.25">
      <c r="A143" s="5"/>
      <c r="B143" s="7"/>
      <c r="C143" s="5"/>
      <c r="D143" s="5"/>
      <c r="E143" s="10"/>
    </row>
    <row r="144" spans="1:5" x14ac:dyDescent="0.25">
      <c r="A144" s="5"/>
      <c r="B144" s="7"/>
      <c r="C144" s="5"/>
      <c r="D144" s="5"/>
      <c r="E144" s="10"/>
    </row>
    <row r="145" spans="1:5" x14ac:dyDescent="0.25">
      <c r="A145" s="5"/>
      <c r="B145" s="7"/>
      <c r="C145" s="5"/>
      <c r="D145" s="5"/>
      <c r="E145" s="10"/>
    </row>
    <row r="146" spans="1:5" x14ac:dyDescent="0.25">
      <c r="A146" s="5"/>
      <c r="B146" s="7"/>
      <c r="C146" s="5"/>
      <c r="D146" s="5"/>
      <c r="E146" s="10"/>
    </row>
    <row r="147" spans="1:5" x14ac:dyDescent="0.25">
      <c r="A147" s="5"/>
      <c r="B147" s="7"/>
      <c r="C147" s="5"/>
      <c r="D147" s="5"/>
      <c r="E147" s="10"/>
    </row>
    <row r="148" spans="1:5" x14ac:dyDescent="0.25">
      <c r="A148" s="5"/>
      <c r="B148" s="7"/>
      <c r="C148" s="5"/>
      <c r="D148" s="5"/>
      <c r="E148" s="10"/>
    </row>
    <row r="149" spans="1:5" x14ac:dyDescent="0.25">
      <c r="A149" s="5"/>
      <c r="B149" s="7"/>
      <c r="C149" s="5"/>
      <c r="D149" s="5"/>
      <c r="E149" s="10"/>
    </row>
    <row r="150" spans="1:5" x14ac:dyDescent="0.25">
      <c r="A150" s="5"/>
      <c r="B150" s="7"/>
      <c r="C150" s="5"/>
      <c r="D150" s="5"/>
      <c r="E150" s="10"/>
    </row>
    <row r="151" spans="1:5" x14ac:dyDescent="0.25">
      <c r="A151" s="5"/>
      <c r="B151" s="7"/>
      <c r="C151" s="5"/>
      <c r="D151" s="5"/>
      <c r="E151" s="10"/>
    </row>
    <row r="152" spans="1:5" x14ac:dyDescent="0.25">
      <c r="A152" s="5"/>
      <c r="B152" s="7"/>
      <c r="C152" s="5"/>
      <c r="D152" s="5"/>
      <c r="E152" s="10"/>
    </row>
    <row r="153" spans="1:5" x14ac:dyDescent="0.25">
      <c r="A153" s="5"/>
      <c r="B153" s="7"/>
      <c r="C153" s="5"/>
      <c r="D153" s="5"/>
      <c r="E153" s="10"/>
    </row>
    <row r="154" spans="1:5" x14ac:dyDescent="0.25">
      <c r="A154" s="5"/>
      <c r="B154" s="7"/>
      <c r="C154" s="5"/>
      <c r="D154" s="5"/>
      <c r="E154" s="10"/>
    </row>
    <row r="155" spans="1:5" x14ac:dyDescent="0.25">
      <c r="A155" s="5"/>
      <c r="B155" s="7"/>
      <c r="C155" s="5"/>
      <c r="D155" s="5"/>
      <c r="E155" s="10"/>
    </row>
    <row r="156" spans="1:5" x14ac:dyDescent="0.25">
      <c r="A156" s="5"/>
      <c r="B156" s="7"/>
      <c r="C156" s="5"/>
      <c r="D156" s="5"/>
      <c r="E156" s="10"/>
    </row>
    <row r="157" spans="1:5" x14ac:dyDescent="0.25">
      <c r="A157" s="5"/>
      <c r="B157" s="7"/>
      <c r="C157" s="5"/>
      <c r="D157" s="5"/>
      <c r="E157" s="10"/>
    </row>
    <row r="158" spans="1:5" x14ac:dyDescent="0.25">
      <c r="A158" s="5"/>
      <c r="B158" s="7"/>
      <c r="C158" s="5"/>
      <c r="D158" s="5"/>
      <c r="E158" s="10"/>
    </row>
    <row r="159" spans="1:5" x14ac:dyDescent="0.25">
      <c r="A159" s="5"/>
      <c r="B159" s="7"/>
      <c r="C159" s="5"/>
      <c r="D159" s="5"/>
      <c r="E159" s="10"/>
    </row>
    <row r="160" spans="1:5" x14ac:dyDescent="0.25">
      <c r="A160" s="5"/>
      <c r="B160" s="7"/>
      <c r="C160" s="5"/>
      <c r="D160" s="5"/>
      <c r="E160" s="10"/>
    </row>
    <row r="161" spans="1:5" x14ac:dyDescent="0.25">
      <c r="A161" s="5"/>
      <c r="B161" s="7"/>
      <c r="C161" s="5"/>
      <c r="D161" s="5"/>
      <c r="E161" s="10"/>
    </row>
    <row r="162" spans="1:5" x14ac:dyDescent="0.25">
      <c r="A162" s="5"/>
      <c r="B162" s="7"/>
      <c r="C162" s="5"/>
      <c r="D162" s="5"/>
      <c r="E162" s="10"/>
    </row>
    <row r="163" spans="1:5" x14ac:dyDescent="0.25">
      <c r="A163" s="5"/>
      <c r="B163" s="7"/>
      <c r="C163" s="5"/>
      <c r="D163" s="5"/>
      <c r="E163" s="10"/>
    </row>
    <row r="164" spans="1:5" x14ac:dyDescent="0.25">
      <c r="A164" s="5"/>
      <c r="B164" s="7"/>
      <c r="C164" s="5"/>
      <c r="D164" s="5"/>
      <c r="E164" s="10"/>
    </row>
    <row r="165" spans="1:5" x14ac:dyDescent="0.25">
      <c r="A165" s="5"/>
      <c r="B165" s="7"/>
      <c r="C165" s="5"/>
      <c r="D165" s="5"/>
      <c r="E165" s="10"/>
    </row>
    <row r="166" spans="1:5" x14ac:dyDescent="0.25">
      <c r="A166" s="5"/>
      <c r="B166" s="7"/>
      <c r="C166" s="5"/>
      <c r="D166" s="5"/>
      <c r="E166" s="10"/>
    </row>
    <row r="167" spans="1:5" x14ac:dyDescent="0.25">
      <c r="A167" s="5"/>
      <c r="B167" s="7"/>
      <c r="C167" s="5"/>
      <c r="D167" s="5"/>
      <c r="E167" s="10"/>
    </row>
    <row r="168" spans="1:5" x14ac:dyDescent="0.25">
      <c r="A168" s="5"/>
      <c r="B168" s="7"/>
      <c r="C168" s="5"/>
      <c r="D168" s="5"/>
      <c r="E168" s="10"/>
    </row>
    <row r="169" spans="1:5" x14ac:dyDescent="0.25">
      <c r="A169" s="5"/>
      <c r="B169" s="7"/>
      <c r="C169" s="5"/>
      <c r="D169" s="5"/>
      <c r="E169" s="10"/>
    </row>
    <row r="170" spans="1:5" x14ac:dyDescent="0.25">
      <c r="A170" s="5"/>
      <c r="B170" s="7"/>
      <c r="C170" s="5"/>
      <c r="D170" s="5"/>
      <c r="E170" s="10"/>
    </row>
    <row r="171" spans="1:5" x14ac:dyDescent="0.25">
      <c r="A171" s="5"/>
      <c r="B171" s="7"/>
      <c r="C171" s="5"/>
      <c r="D171" s="5"/>
      <c r="E171" s="10"/>
    </row>
    <row r="172" spans="1:5" x14ac:dyDescent="0.25">
      <c r="A172" s="5"/>
      <c r="B172" s="7"/>
      <c r="C172" s="5"/>
      <c r="D172" s="5"/>
      <c r="E172" s="10"/>
    </row>
    <row r="173" spans="1:5" x14ac:dyDescent="0.25">
      <c r="A173" s="5"/>
      <c r="B173" s="7"/>
      <c r="C173" s="5"/>
      <c r="D173" s="5"/>
      <c r="E173" s="10"/>
    </row>
    <row r="174" spans="1:5" x14ac:dyDescent="0.25">
      <c r="A174" s="5"/>
      <c r="B174" s="7"/>
      <c r="C174" s="5"/>
      <c r="D174" s="5"/>
      <c r="E174" s="10"/>
    </row>
    <row r="175" spans="1:5" x14ac:dyDescent="0.25">
      <c r="A175" s="5"/>
      <c r="B175" s="7"/>
      <c r="C175" s="5"/>
      <c r="D175" s="5"/>
      <c r="E175" s="10"/>
    </row>
    <row r="176" spans="1:5" x14ac:dyDescent="0.25">
      <c r="A176" s="5"/>
      <c r="B176" s="7"/>
      <c r="C176" s="5"/>
      <c r="D176" s="5"/>
      <c r="E176" s="10"/>
    </row>
    <row r="177" spans="1:5" x14ac:dyDescent="0.25">
      <c r="A177" s="5"/>
      <c r="B177" s="7"/>
      <c r="C177" s="5"/>
      <c r="D177" s="5"/>
      <c r="E177" s="10"/>
    </row>
    <row r="178" spans="1:5" x14ac:dyDescent="0.25">
      <c r="A178" s="5"/>
      <c r="B178" s="7"/>
      <c r="C178" s="5"/>
      <c r="D178" s="5"/>
      <c r="E178" s="10"/>
    </row>
    <row r="179" spans="1:5" x14ac:dyDescent="0.25">
      <c r="A179" s="5"/>
      <c r="B179" s="7"/>
      <c r="C179" s="5"/>
      <c r="D179" s="5"/>
      <c r="E179" s="10"/>
    </row>
    <row r="180" spans="1:5" x14ac:dyDescent="0.25">
      <c r="A180" s="5"/>
      <c r="B180" s="7"/>
      <c r="C180" s="5"/>
      <c r="D180" s="5"/>
      <c r="E180" s="10"/>
    </row>
    <row r="181" spans="1:5" x14ac:dyDescent="0.25">
      <c r="A181" s="5"/>
      <c r="B181" s="7"/>
      <c r="C181" s="5"/>
      <c r="D181" s="5"/>
      <c r="E181" s="10"/>
    </row>
    <row r="182" spans="1:5" x14ac:dyDescent="0.25">
      <c r="A182" s="5"/>
      <c r="B182" s="7"/>
      <c r="C182" s="5"/>
      <c r="D182" s="5"/>
      <c r="E182" s="10"/>
    </row>
    <row r="183" spans="1:5" x14ac:dyDescent="0.25">
      <c r="A183" s="5"/>
      <c r="B183" s="7"/>
      <c r="C183" s="5"/>
      <c r="D183" s="5"/>
      <c r="E183" s="10"/>
    </row>
    <row r="184" spans="1:5" x14ac:dyDescent="0.25">
      <c r="A184" s="5"/>
      <c r="B184" s="7"/>
      <c r="C184" s="5"/>
      <c r="D184" s="5"/>
      <c r="E184" s="10"/>
    </row>
    <row r="185" spans="1:5" x14ac:dyDescent="0.25">
      <c r="A185" s="5"/>
      <c r="B185" s="7"/>
      <c r="C185" s="5"/>
      <c r="D185" s="5"/>
      <c r="E185" s="10"/>
    </row>
    <row r="186" spans="1:5" x14ac:dyDescent="0.25">
      <c r="A186" s="5"/>
      <c r="B186" s="7"/>
      <c r="C186" s="5"/>
      <c r="D186" s="5"/>
      <c r="E186" s="10"/>
    </row>
    <row r="187" spans="1:5" x14ac:dyDescent="0.25">
      <c r="A187" s="5"/>
      <c r="B187" s="7"/>
      <c r="C187" s="5"/>
      <c r="D187" s="5"/>
      <c r="E187" s="10"/>
    </row>
    <row r="188" spans="1:5" x14ac:dyDescent="0.25">
      <c r="A188" s="5"/>
      <c r="B188" s="7"/>
      <c r="C188" s="5"/>
      <c r="D188" s="5"/>
      <c r="E188" s="10"/>
    </row>
    <row r="189" spans="1:5" x14ac:dyDescent="0.25">
      <c r="A189" s="5"/>
      <c r="B189" s="7"/>
      <c r="C189" s="5"/>
      <c r="D189" s="5"/>
      <c r="E189" s="10"/>
    </row>
    <row r="190" spans="1:5" x14ac:dyDescent="0.25">
      <c r="A190" s="5"/>
      <c r="B190" s="7"/>
      <c r="C190" s="5"/>
      <c r="D190" s="5"/>
      <c r="E190" s="10"/>
    </row>
    <row r="191" spans="1:5" x14ac:dyDescent="0.25">
      <c r="A191" s="5"/>
      <c r="B191" s="7"/>
      <c r="C191" s="5"/>
      <c r="D191" s="5"/>
      <c r="E191" s="10"/>
    </row>
    <row r="192" spans="1:5" x14ac:dyDescent="0.25">
      <c r="A192" s="5"/>
      <c r="B192" s="7"/>
      <c r="C192" s="5"/>
      <c r="D192" s="5"/>
      <c r="E192" s="10"/>
    </row>
    <row r="193" spans="1:5" x14ac:dyDescent="0.25">
      <c r="A193" s="5"/>
      <c r="B193" s="7"/>
      <c r="C193" s="5"/>
      <c r="D193" s="5"/>
      <c r="E193" s="10"/>
    </row>
    <row r="194" spans="1:5" x14ac:dyDescent="0.25">
      <c r="A194" s="5"/>
      <c r="B194" s="7"/>
      <c r="C194" s="5"/>
      <c r="D194" s="5"/>
      <c r="E194" s="10"/>
    </row>
    <row r="195" spans="1:5" x14ac:dyDescent="0.25">
      <c r="A195" s="5"/>
      <c r="B195" s="7"/>
      <c r="C195" s="5"/>
      <c r="D195" s="5"/>
      <c r="E195" s="10"/>
    </row>
    <row r="196" spans="1:5" x14ac:dyDescent="0.25">
      <c r="A196" s="5"/>
      <c r="B196" s="7"/>
      <c r="C196" s="5"/>
      <c r="D196" s="5"/>
      <c r="E196" s="10"/>
    </row>
    <row r="197" spans="1:5" x14ac:dyDescent="0.25">
      <c r="A197" s="5"/>
      <c r="B197" s="7"/>
      <c r="C197" s="5"/>
      <c r="D197" s="5"/>
      <c r="E197" s="10"/>
    </row>
    <row r="198" spans="1:5" x14ac:dyDescent="0.25">
      <c r="A198" s="5"/>
      <c r="B198" s="7"/>
      <c r="C198" s="5"/>
      <c r="D198" s="5"/>
      <c r="E198" s="10"/>
    </row>
    <row r="199" spans="1:5" x14ac:dyDescent="0.25">
      <c r="A199" s="5"/>
      <c r="B199" s="7"/>
      <c r="C199" s="5"/>
      <c r="D199" s="5"/>
      <c r="E199" s="10"/>
    </row>
    <row r="200" spans="1:5" x14ac:dyDescent="0.25">
      <c r="A200" s="5"/>
      <c r="B200" s="7"/>
      <c r="C200" s="5"/>
      <c r="D200" s="5"/>
      <c r="E200" s="10"/>
    </row>
    <row r="201" spans="1:5" x14ac:dyDescent="0.25">
      <c r="A201" s="5"/>
      <c r="B201" s="7"/>
      <c r="C201" s="5"/>
      <c r="D201" s="5"/>
      <c r="E201" s="10"/>
    </row>
    <row r="202" spans="1:5" x14ac:dyDescent="0.25">
      <c r="A202" s="5"/>
      <c r="B202" s="7"/>
      <c r="C202" s="5"/>
      <c r="D202" s="5"/>
      <c r="E202" s="10"/>
    </row>
    <row r="203" spans="1:5" x14ac:dyDescent="0.25">
      <c r="A203" s="5"/>
      <c r="B203" s="7"/>
      <c r="C203" s="5"/>
      <c r="D203" s="5"/>
      <c r="E203" s="10"/>
    </row>
    <row r="204" spans="1:5" x14ac:dyDescent="0.25">
      <c r="A204" s="5"/>
      <c r="B204" s="7"/>
      <c r="C204" s="5"/>
      <c r="D204" s="5"/>
      <c r="E204" s="10"/>
    </row>
    <row r="205" spans="1:5" x14ac:dyDescent="0.25">
      <c r="A205" s="5"/>
      <c r="B205" s="7"/>
      <c r="C205" s="5"/>
      <c r="D205" s="5"/>
      <c r="E205" s="10"/>
    </row>
    <row r="206" spans="1:5" x14ac:dyDescent="0.25">
      <c r="A206" s="5"/>
      <c r="B206" s="7"/>
      <c r="C206" s="5"/>
      <c r="D206" s="5"/>
      <c r="E206" s="10"/>
    </row>
    <row r="207" spans="1:5" x14ac:dyDescent="0.25">
      <c r="A207" s="5"/>
      <c r="B207" s="7"/>
      <c r="C207" s="5"/>
      <c r="D207" s="5"/>
      <c r="E207" s="10"/>
    </row>
    <row r="208" spans="1:5" x14ac:dyDescent="0.25">
      <c r="A208" s="5"/>
      <c r="B208" s="7"/>
      <c r="C208" s="5"/>
      <c r="D208" s="5"/>
      <c r="E208" s="10"/>
    </row>
    <row r="209" spans="1:5" x14ac:dyDescent="0.25">
      <c r="A209" s="5"/>
      <c r="B209" s="7"/>
      <c r="C209" s="5"/>
      <c r="D209" s="5"/>
      <c r="E209" s="10"/>
    </row>
    <row r="210" spans="1:5" x14ac:dyDescent="0.25">
      <c r="A210" s="5"/>
      <c r="B210" s="7"/>
      <c r="C210" s="5"/>
      <c r="D210" s="5"/>
      <c r="E210" s="10"/>
    </row>
    <row r="211" spans="1:5" x14ac:dyDescent="0.25">
      <c r="A211" s="5"/>
      <c r="B211" s="7"/>
      <c r="C211" s="5"/>
      <c r="D211" s="5"/>
      <c r="E211" s="10"/>
    </row>
    <row r="212" spans="1:5" x14ac:dyDescent="0.25">
      <c r="A212" s="5"/>
      <c r="B212" s="7"/>
      <c r="C212" s="5"/>
      <c r="D212" s="5"/>
      <c r="E212" s="10"/>
    </row>
    <row r="213" spans="1:5" x14ac:dyDescent="0.25">
      <c r="A213" s="5"/>
      <c r="B213" s="7"/>
      <c r="C213" s="5"/>
      <c r="D213" s="5"/>
      <c r="E213" s="10"/>
    </row>
    <row r="214" spans="1:5" x14ac:dyDescent="0.25">
      <c r="A214" s="5"/>
      <c r="B214" s="7"/>
      <c r="C214" s="5"/>
      <c r="D214" s="5"/>
      <c r="E214" s="10"/>
    </row>
    <row r="215" spans="1:5" x14ac:dyDescent="0.25">
      <c r="A215" s="5"/>
      <c r="B215" s="7"/>
      <c r="C215" s="5"/>
      <c r="D215" s="5"/>
      <c r="E215" s="10"/>
    </row>
    <row r="216" spans="1:5" x14ac:dyDescent="0.25">
      <c r="A216" s="5"/>
      <c r="B216" s="7"/>
      <c r="C216" s="5"/>
      <c r="D216" s="5"/>
      <c r="E216" s="10"/>
    </row>
    <row r="217" spans="1:5" x14ac:dyDescent="0.25">
      <c r="A217" s="5"/>
      <c r="B217" s="7"/>
      <c r="C217" s="5"/>
      <c r="D217" s="5"/>
      <c r="E217" s="10"/>
    </row>
    <row r="218" spans="1:5" x14ac:dyDescent="0.25">
      <c r="A218" s="5"/>
      <c r="B218" s="7"/>
      <c r="C218" s="5"/>
      <c r="D218" s="5"/>
      <c r="E218" s="10"/>
    </row>
    <row r="219" spans="1:5" x14ac:dyDescent="0.25">
      <c r="A219" s="5"/>
      <c r="B219" s="7"/>
      <c r="C219" s="5"/>
      <c r="D219" s="5"/>
      <c r="E219" s="10"/>
    </row>
    <row r="220" spans="1:5" x14ac:dyDescent="0.25">
      <c r="A220" s="5"/>
      <c r="B220" s="7"/>
      <c r="C220" s="5"/>
      <c r="D220" s="5"/>
      <c r="E220" s="10"/>
    </row>
    <row r="221" spans="1:5" x14ac:dyDescent="0.25">
      <c r="A221" s="5"/>
      <c r="B221" s="7"/>
      <c r="C221" s="5"/>
      <c r="D221" s="5"/>
      <c r="E221" s="10"/>
    </row>
    <row r="222" spans="1:5" x14ac:dyDescent="0.25">
      <c r="A222" s="5"/>
      <c r="B222" s="7"/>
      <c r="C222" s="5"/>
      <c r="D222" s="5"/>
      <c r="E222" s="10"/>
    </row>
    <row r="223" spans="1:5" x14ac:dyDescent="0.25">
      <c r="A223" s="5"/>
      <c r="B223" s="7"/>
      <c r="C223" s="5"/>
      <c r="D223" s="5"/>
      <c r="E223" s="10"/>
    </row>
    <row r="224" spans="1:5" x14ac:dyDescent="0.25">
      <c r="A224" s="5"/>
      <c r="B224" s="7"/>
      <c r="C224" s="5"/>
      <c r="D224" s="5"/>
      <c r="E224" s="10"/>
    </row>
    <row r="225" spans="1:5" x14ac:dyDescent="0.25">
      <c r="A225" s="5"/>
      <c r="B225" s="7"/>
      <c r="C225" s="5"/>
      <c r="D225" s="5"/>
      <c r="E225" s="10"/>
    </row>
    <row r="226" spans="1:5" x14ac:dyDescent="0.25">
      <c r="A226" s="5"/>
      <c r="B226" s="7"/>
      <c r="C226" s="5"/>
      <c r="D226" s="5"/>
      <c r="E226" s="10"/>
    </row>
    <row r="227" spans="1:5" x14ac:dyDescent="0.25">
      <c r="A227" s="5"/>
      <c r="B227" s="7"/>
      <c r="C227" s="5"/>
      <c r="D227" s="5"/>
      <c r="E227" s="10"/>
    </row>
    <row r="228" spans="1:5" x14ac:dyDescent="0.25">
      <c r="A228" s="5"/>
      <c r="B228" s="7"/>
      <c r="C228" s="5"/>
      <c r="D228" s="5"/>
      <c r="E228" s="10"/>
    </row>
    <row r="229" spans="1:5" x14ac:dyDescent="0.25">
      <c r="A229" s="5"/>
      <c r="B229" s="7"/>
      <c r="C229" s="5"/>
      <c r="D229" s="5"/>
      <c r="E229" s="10"/>
    </row>
    <row r="230" spans="1:5" x14ac:dyDescent="0.25">
      <c r="A230" s="5"/>
      <c r="B230" s="7"/>
      <c r="C230" s="5"/>
      <c r="D230" s="5"/>
      <c r="E230" s="10"/>
    </row>
    <row r="231" spans="1:5" x14ac:dyDescent="0.25">
      <c r="A231" s="5"/>
      <c r="B231" s="7"/>
      <c r="C231" s="5"/>
      <c r="D231" s="5"/>
      <c r="E231" s="10"/>
    </row>
    <row r="232" spans="1:5" x14ac:dyDescent="0.25">
      <c r="A232" s="5"/>
      <c r="B232" s="7"/>
      <c r="C232" s="5"/>
      <c r="D232" s="5"/>
      <c r="E232" s="10"/>
    </row>
    <row r="233" spans="1:5" x14ac:dyDescent="0.25">
      <c r="A233" s="5"/>
      <c r="B233" s="7"/>
      <c r="C233" s="5"/>
      <c r="D233" s="5"/>
      <c r="E233" s="10"/>
    </row>
    <row r="234" spans="1:5" x14ac:dyDescent="0.25">
      <c r="A234" s="5"/>
      <c r="B234" s="7"/>
      <c r="C234" s="5"/>
      <c r="D234" s="5"/>
      <c r="E234" s="10"/>
    </row>
    <row r="235" spans="1:5" x14ac:dyDescent="0.25">
      <c r="A235" s="5"/>
      <c r="B235" s="7"/>
      <c r="C235" s="5"/>
      <c r="D235" s="5"/>
      <c r="E235" s="10"/>
    </row>
    <row r="236" spans="1:5" x14ac:dyDescent="0.25">
      <c r="A236" s="5"/>
      <c r="B236" s="7"/>
      <c r="C236" s="5"/>
      <c r="D236" s="5"/>
      <c r="E236" s="10"/>
    </row>
    <row r="237" spans="1:5" x14ac:dyDescent="0.25">
      <c r="A237" s="5"/>
      <c r="B237" s="7"/>
      <c r="C237" s="5"/>
      <c r="D237" s="5"/>
      <c r="E237" s="10"/>
    </row>
    <row r="238" spans="1:5" x14ac:dyDescent="0.25">
      <c r="A238" s="5"/>
      <c r="B238" s="7"/>
      <c r="C238" s="5"/>
      <c r="D238" s="5"/>
      <c r="E238" s="10"/>
    </row>
  </sheetData>
  <autoFilter ref="A1:J136" xr:uid="{14F590BB-E3D9-4128-A4E6-51BB6399D1E1}">
    <sortState xmlns:xlrd2="http://schemas.microsoft.com/office/spreadsheetml/2017/richdata2" ref="A2:J137">
      <sortCondition ref="A1:A136"/>
    </sortState>
  </autoFilter>
  <conditionalFormatting sqref="D2:D1048576">
    <cfRule type="cellIs" dxfId="0" priority="1" operator="lessThanOrEqual">
      <formula>1</formula>
    </cfRule>
  </conditionalFormatting>
  <hyperlinks>
    <hyperlink ref="G71" r:id="rId1" display="https://www.rimoldimayorista.com.ar/pw/catalogo.php?tid=5&amp;sid=31308&amp;producto_id=28572 ,quimica" xr:uid="{60E2FD29-A07D-4FBF-9E65-8D9340DB3F80}"/>
  </hyperlinks>
  <pageMargins left="0.25" right="0.25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0FC9-1FB2-4AF7-B62A-538690706C6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398-D9B8-44A1-B491-190FFF9501F8}">
  <dimension ref="A1:D135"/>
  <sheetViews>
    <sheetView workbookViewId="0">
      <selection activeCell="G11" sqref="G11"/>
    </sheetView>
  </sheetViews>
  <sheetFormatPr baseColWidth="10" defaultRowHeight="15" x14ac:dyDescent="0.25"/>
  <cols>
    <col min="1" max="1" width="18.140625" customWidth="1"/>
    <col min="2" max="2" width="18.140625" style="8" customWidth="1"/>
    <col min="3" max="3" width="38.28515625" customWidth="1"/>
  </cols>
  <sheetData>
    <row r="1" spans="1:4" x14ac:dyDescent="0.25">
      <c r="A1" s="5" t="s">
        <v>132</v>
      </c>
      <c r="B1" s="7" t="s">
        <v>144</v>
      </c>
      <c r="C1" s="5" t="s">
        <v>143</v>
      </c>
      <c r="D1" s="5" t="s">
        <v>251</v>
      </c>
    </row>
    <row r="2" spans="1:4" x14ac:dyDescent="0.25">
      <c r="A2" s="5" t="s">
        <v>133</v>
      </c>
      <c r="B2" s="7"/>
      <c r="C2" s="5" t="s">
        <v>1</v>
      </c>
      <c r="D2" s="5"/>
    </row>
    <row r="3" spans="1:4" x14ac:dyDescent="0.25">
      <c r="A3" s="5" t="s">
        <v>133</v>
      </c>
      <c r="B3" s="7"/>
      <c r="C3" s="5" t="s">
        <v>3</v>
      </c>
      <c r="D3" s="5"/>
    </row>
    <row r="4" spans="1:4" x14ac:dyDescent="0.25">
      <c r="A4" s="5" t="s">
        <v>133</v>
      </c>
      <c r="B4" s="7"/>
      <c r="C4" s="5" t="s">
        <v>4</v>
      </c>
      <c r="D4" s="5"/>
    </row>
    <row r="5" spans="1:4" x14ac:dyDescent="0.25">
      <c r="A5" s="5" t="s">
        <v>133</v>
      </c>
      <c r="B5" s="7"/>
      <c r="C5" s="5" t="s">
        <v>6</v>
      </c>
      <c r="D5" s="5"/>
    </row>
    <row r="6" spans="1:4" x14ac:dyDescent="0.25">
      <c r="A6" s="5" t="s">
        <v>133</v>
      </c>
      <c r="B6" s="7"/>
      <c r="C6" s="5" t="s">
        <v>7</v>
      </c>
      <c r="D6" s="5"/>
    </row>
    <row r="7" spans="1:4" x14ac:dyDescent="0.25">
      <c r="A7" s="5" t="s">
        <v>133</v>
      </c>
      <c r="B7" s="7"/>
      <c r="C7" s="5" t="s">
        <v>5</v>
      </c>
      <c r="D7" s="5"/>
    </row>
    <row r="8" spans="1:4" x14ac:dyDescent="0.25">
      <c r="A8" s="5" t="s">
        <v>133</v>
      </c>
      <c r="B8" s="7"/>
      <c r="C8" s="5" t="s">
        <v>11</v>
      </c>
      <c r="D8" s="5"/>
    </row>
    <row r="9" spans="1:4" x14ac:dyDescent="0.25">
      <c r="A9" s="5" t="s">
        <v>133</v>
      </c>
      <c r="B9" s="7"/>
      <c r="C9" s="5" t="s">
        <v>66</v>
      </c>
      <c r="D9" s="5"/>
    </row>
    <row r="10" spans="1:4" x14ac:dyDescent="0.25">
      <c r="A10" s="5" t="s">
        <v>133</v>
      </c>
      <c r="B10" s="7"/>
      <c r="C10" s="5" t="s">
        <v>2</v>
      </c>
      <c r="D10" s="5"/>
    </row>
    <row r="11" spans="1:4" x14ac:dyDescent="0.25">
      <c r="A11" s="5" t="s">
        <v>133</v>
      </c>
      <c r="B11" s="7"/>
      <c r="C11" s="5" t="s">
        <v>12</v>
      </c>
      <c r="D11" s="5"/>
    </row>
    <row r="12" spans="1:4" x14ac:dyDescent="0.25">
      <c r="A12" s="5" t="s">
        <v>134</v>
      </c>
      <c r="B12" s="7">
        <v>736373854451</v>
      </c>
      <c r="C12" s="5" t="s">
        <v>53</v>
      </c>
      <c r="D12" s="5"/>
    </row>
    <row r="13" spans="1:4" x14ac:dyDescent="0.25">
      <c r="A13" s="5" t="s">
        <v>134</v>
      </c>
      <c r="B13" s="7">
        <v>736373854437</v>
      </c>
      <c r="C13" s="5" t="s">
        <v>145</v>
      </c>
      <c r="D13" s="5"/>
    </row>
    <row r="14" spans="1:4" x14ac:dyDescent="0.25">
      <c r="A14" s="5" t="s">
        <v>134</v>
      </c>
      <c r="B14" s="7">
        <v>736373854499</v>
      </c>
      <c r="C14" s="5" t="s">
        <v>52</v>
      </c>
      <c r="D14" s="5"/>
    </row>
    <row r="15" spans="1:4" x14ac:dyDescent="0.25">
      <c r="A15" s="5" t="s">
        <v>134</v>
      </c>
      <c r="B15" s="7"/>
      <c r="C15" s="5" t="s">
        <v>146</v>
      </c>
      <c r="D15" s="5"/>
    </row>
    <row r="16" spans="1:4" x14ac:dyDescent="0.25">
      <c r="A16" s="5" t="s">
        <v>134</v>
      </c>
      <c r="B16" s="7">
        <v>7793462000031</v>
      </c>
      <c r="C16" s="5" t="s">
        <v>43</v>
      </c>
      <c r="D16" s="5"/>
    </row>
    <row r="17" spans="1:4" x14ac:dyDescent="0.25">
      <c r="A17" s="5" t="s">
        <v>134</v>
      </c>
      <c r="B17" s="7">
        <v>7797160100024</v>
      </c>
      <c r="C17" s="5" t="s">
        <v>138</v>
      </c>
      <c r="D17" s="5"/>
    </row>
    <row r="18" spans="1:4" x14ac:dyDescent="0.25">
      <c r="A18" s="5" t="s">
        <v>134</v>
      </c>
      <c r="B18" s="7">
        <v>7790458661290</v>
      </c>
      <c r="C18" s="5" t="s">
        <v>190</v>
      </c>
      <c r="D18" s="5"/>
    </row>
    <row r="19" spans="1:4" x14ac:dyDescent="0.25">
      <c r="A19" s="5" t="s">
        <v>134</v>
      </c>
      <c r="B19" s="7">
        <v>7790458658306</v>
      </c>
      <c r="C19" s="5" t="s">
        <v>191</v>
      </c>
      <c r="D19" s="5"/>
    </row>
    <row r="20" spans="1:4" x14ac:dyDescent="0.25">
      <c r="A20" s="5" t="s">
        <v>134</v>
      </c>
      <c r="B20" s="7">
        <v>7798014060044</v>
      </c>
      <c r="C20" s="5" t="s">
        <v>45</v>
      </c>
      <c r="D20" s="5"/>
    </row>
    <row r="21" spans="1:4" x14ac:dyDescent="0.25">
      <c r="A21" s="5" t="s">
        <v>134</v>
      </c>
      <c r="B21" s="7">
        <v>7798014060068</v>
      </c>
      <c r="C21" s="5" t="s">
        <v>44</v>
      </c>
      <c r="D21" s="5"/>
    </row>
    <row r="22" spans="1:4" x14ac:dyDescent="0.25">
      <c r="A22" s="5" t="s">
        <v>134</v>
      </c>
      <c r="B22" s="7">
        <v>7793253005153</v>
      </c>
      <c r="C22" s="5" t="s">
        <v>147</v>
      </c>
      <c r="D22" s="5"/>
    </row>
    <row r="23" spans="1:4" x14ac:dyDescent="0.25">
      <c r="A23" s="5" t="s">
        <v>134</v>
      </c>
      <c r="B23" s="7">
        <v>70330711525</v>
      </c>
      <c r="C23" s="5" t="s">
        <v>48</v>
      </c>
      <c r="D23" s="5"/>
    </row>
    <row r="24" spans="1:4" x14ac:dyDescent="0.25">
      <c r="A24" s="5" t="s">
        <v>134</v>
      </c>
      <c r="B24" s="7">
        <v>70330717572</v>
      </c>
      <c r="C24" s="5" t="s">
        <v>50</v>
      </c>
      <c r="D24" s="5"/>
    </row>
    <row r="25" spans="1:4" x14ac:dyDescent="0.25">
      <c r="A25" s="5" t="s">
        <v>134</v>
      </c>
      <c r="B25" s="7">
        <v>7500435201612</v>
      </c>
      <c r="C25" s="5" t="s">
        <v>49</v>
      </c>
      <c r="D25" s="5"/>
    </row>
    <row r="26" spans="1:4" x14ac:dyDescent="0.25">
      <c r="A26" s="5" t="s">
        <v>134</v>
      </c>
      <c r="B26" s="7"/>
      <c r="C26" s="5" t="s">
        <v>61</v>
      </c>
      <c r="D26" s="5"/>
    </row>
    <row r="27" spans="1:4" x14ac:dyDescent="0.25">
      <c r="A27" s="5" t="s">
        <v>134</v>
      </c>
      <c r="B27" s="7">
        <v>7798184785146</v>
      </c>
      <c r="C27" s="5" t="s">
        <v>62</v>
      </c>
      <c r="D27" s="5"/>
    </row>
    <row r="28" spans="1:4" x14ac:dyDescent="0.25">
      <c r="A28" s="5" t="s">
        <v>134</v>
      </c>
      <c r="B28" s="7"/>
      <c r="C28" s="5" t="s">
        <v>156</v>
      </c>
      <c r="D28" s="5"/>
    </row>
    <row r="29" spans="1:4" x14ac:dyDescent="0.25">
      <c r="A29" s="5" t="s">
        <v>134</v>
      </c>
      <c r="B29" s="7">
        <v>7798014060297</v>
      </c>
      <c r="C29" s="5" t="s">
        <v>54</v>
      </c>
      <c r="D29" s="5"/>
    </row>
    <row r="30" spans="1:4" x14ac:dyDescent="0.25">
      <c r="A30" s="5" t="s">
        <v>134</v>
      </c>
      <c r="B30" s="7"/>
      <c r="C30" s="5" t="s">
        <v>89</v>
      </c>
      <c r="D30" s="5"/>
    </row>
    <row r="31" spans="1:4" x14ac:dyDescent="0.25">
      <c r="A31" s="5" t="s">
        <v>134</v>
      </c>
      <c r="B31" s="7"/>
      <c r="C31" s="5" t="s">
        <v>88</v>
      </c>
      <c r="D31" s="5"/>
    </row>
    <row r="32" spans="1:4" x14ac:dyDescent="0.25">
      <c r="A32" s="5" t="s">
        <v>134</v>
      </c>
      <c r="B32" s="7"/>
      <c r="C32" s="5" t="s">
        <v>101</v>
      </c>
      <c r="D32" s="5"/>
    </row>
    <row r="33" spans="1:4" x14ac:dyDescent="0.25">
      <c r="A33" s="5" t="s">
        <v>134</v>
      </c>
      <c r="B33" s="7"/>
      <c r="C33" s="5" t="s">
        <v>98</v>
      </c>
      <c r="D33" s="5"/>
    </row>
    <row r="34" spans="1:4" x14ac:dyDescent="0.25">
      <c r="A34" s="5" t="s">
        <v>134</v>
      </c>
      <c r="B34" s="7">
        <v>7793253004293</v>
      </c>
      <c r="C34" s="5" t="s">
        <v>129</v>
      </c>
      <c r="D34" s="5"/>
    </row>
    <row r="35" spans="1:4" x14ac:dyDescent="0.25">
      <c r="A35" s="5" t="s">
        <v>134</v>
      </c>
      <c r="B35" s="7">
        <v>7791130003490</v>
      </c>
      <c r="C35" s="5" t="s">
        <v>131</v>
      </c>
      <c r="D35" s="5"/>
    </row>
    <row r="36" spans="1:4" x14ac:dyDescent="0.25">
      <c r="A36" s="5" t="s">
        <v>134</v>
      </c>
      <c r="B36" s="7">
        <v>7790207019624</v>
      </c>
      <c r="C36" s="5" t="s">
        <v>60</v>
      </c>
      <c r="D36" s="5"/>
    </row>
    <row r="37" spans="1:4" x14ac:dyDescent="0.25">
      <c r="A37" s="5" t="s">
        <v>134</v>
      </c>
      <c r="B37" s="7"/>
      <c r="C37" s="5" t="s">
        <v>148</v>
      </c>
      <c r="D37" s="5"/>
    </row>
    <row r="38" spans="1:4" x14ac:dyDescent="0.25">
      <c r="A38" s="5" t="s">
        <v>134</v>
      </c>
      <c r="B38" s="7">
        <v>7798014060051</v>
      </c>
      <c r="C38" s="5" t="s">
        <v>149</v>
      </c>
      <c r="D38" s="5"/>
    </row>
    <row r="39" spans="1:4" x14ac:dyDescent="0.25">
      <c r="A39" s="5" t="s">
        <v>134</v>
      </c>
      <c r="B39" s="7">
        <v>7791290780163</v>
      </c>
      <c r="C39" s="5" t="s">
        <v>150</v>
      </c>
      <c r="D39" s="5"/>
    </row>
    <row r="40" spans="1:4" x14ac:dyDescent="0.25">
      <c r="A40" s="5" t="s">
        <v>134</v>
      </c>
      <c r="B40" s="7">
        <v>7791130962100</v>
      </c>
      <c r="C40" s="5" t="s">
        <v>151</v>
      </c>
      <c r="D40" s="5"/>
    </row>
    <row r="41" spans="1:4" x14ac:dyDescent="0.25">
      <c r="A41" s="5" t="s">
        <v>134</v>
      </c>
      <c r="B41" s="7">
        <v>7791130003582</v>
      </c>
      <c r="C41" s="5" t="s">
        <v>152</v>
      </c>
      <c r="D41" s="5"/>
    </row>
    <row r="42" spans="1:4" x14ac:dyDescent="0.25">
      <c r="A42" s="5" t="s">
        <v>134</v>
      </c>
      <c r="B42" s="7">
        <v>7790520997654</v>
      </c>
      <c r="C42" s="5" t="s">
        <v>183</v>
      </c>
      <c r="D42" s="5"/>
    </row>
    <row r="43" spans="1:4" x14ac:dyDescent="0.25">
      <c r="A43" s="5" t="s">
        <v>134</v>
      </c>
      <c r="B43" s="7">
        <v>7790520028693</v>
      </c>
      <c r="C43" s="5" t="s">
        <v>184</v>
      </c>
      <c r="D43" s="5"/>
    </row>
    <row r="44" spans="1:4" x14ac:dyDescent="0.25">
      <c r="A44" s="5" t="s">
        <v>134</v>
      </c>
      <c r="B44" s="7">
        <v>7790520995445</v>
      </c>
      <c r="C44" s="5" t="s">
        <v>185</v>
      </c>
      <c r="D44" s="5"/>
    </row>
    <row r="45" spans="1:4" x14ac:dyDescent="0.25">
      <c r="A45" s="5" t="s">
        <v>134</v>
      </c>
      <c r="B45" s="7">
        <v>7798184683579</v>
      </c>
      <c r="C45" s="5" t="s">
        <v>188</v>
      </c>
      <c r="D45" s="5"/>
    </row>
    <row r="46" spans="1:4" x14ac:dyDescent="0.25">
      <c r="A46" s="5" t="s">
        <v>134</v>
      </c>
      <c r="B46" s="7">
        <v>7790773034090</v>
      </c>
      <c r="C46" s="5" t="s">
        <v>189</v>
      </c>
      <c r="D46" s="5"/>
    </row>
    <row r="47" spans="1:4" x14ac:dyDescent="0.25">
      <c r="A47" s="5" t="s">
        <v>134</v>
      </c>
      <c r="B47" s="7">
        <v>21893407875</v>
      </c>
      <c r="C47" s="5" t="s">
        <v>195</v>
      </c>
      <c r="D47" s="5"/>
    </row>
    <row r="48" spans="1:4" x14ac:dyDescent="0.25">
      <c r="A48" s="5" t="s">
        <v>134</v>
      </c>
      <c r="B48" s="7">
        <v>21893407882</v>
      </c>
      <c r="C48" s="5" t="s">
        <v>196</v>
      </c>
      <c r="D48" s="5"/>
    </row>
    <row r="49" spans="1:4" x14ac:dyDescent="0.25">
      <c r="A49" s="5" t="s">
        <v>241</v>
      </c>
      <c r="B49" s="7">
        <v>9991</v>
      </c>
      <c r="C49" s="5" t="s">
        <v>242</v>
      </c>
      <c r="D49" s="5"/>
    </row>
    <row r="50" spans="1:4" x14ac:dyDescent="0.25">
      <c r="A50" s="5" t="s">
        <v>241</v>
      </c>
      <c r="B50" s="7">
        <v>9992</v>
      </c>
      <c r="C50" s="5" t="s">
        <v>243</v>
      </c>
      <c r="D50" s="5"/>
    </row>
    <row r="51" spans="1:4" x14ac:dyDescent="0.25">
      <c r="A51" s="5" t="s">
        <v>241</v>
      </c>
      <c r="B51" s="7">
        <v>9993</v>
      </c>
      <c r="C51" s="5" t="s">
        <v>244</v>
      </c>
      <c r="D51" s="5"/>
    </row>
    <row r="52" spans="1:4" x14ac:dyDescent="0.25">
      <c r="A52" s="5" t="s">
        <v>241</v>
      </c>
      <c r="B52" s="7">
        <v>9994</v>
      </c>
      <c r="C52" s="5" t="s">
        <v>245</v>
      </c>
      <c r="D52" s="5"/>
    </row>
    <row r="53" spans="1:4" x14ac:dyDescent="0.25">
      <c r="A53" s="5" t="s">
        <v>241</v>
      </c>
      <c r="B53" s="7">
        <v>9995</v>
      </c>
      <c r="C53" s="5" t="s">
        <v>246</v>
      </c>
      <c r="D53" s="5"/>
    </row>
    <row r="54" spans="1:4" x14ac:dyDescent="0.25">
      <c r="A54" s="5" t="s">
        <v>241</v>
      </c>
      <c r="B54" s="7">
        <v>9996</v>
      </c>
      <c r="C54" s="5" t="s">
        <v>247</v>
      </c>
      <c r="D54" s="5"/>
    </row>
    <row r="55" spans="1:4" x14ac:dyDescent="0.25">
      <c r="A55" s="5" t="s">
        <v>241</v>
      </c>
      <c r="B55" s="7">
        <v>9997</v>
      </c>
      <c r="C55" s="5" t="s">
        <v>248</v>
      </c>
      <c r="D55" s="5"/>
    </row>
    <row r="56" spans="1:4" x14ac:dyDescent="0.25">
      <c r="A56" s="5" t="s">
        <v>139</v>
      </c>
      <c r="B56" s="7">
        <v>7790940003034</v>
      </c>
      <c r="C56" s="5" t="s">
        <v>103</v>
      </c>
      <c r="D56" s="5"/>
    </row>
    <row r="57" spans="1:4" x14ac:dyDescent="0.25">
      <c r="A57" s="5" t="s">
        <v>139</v>
      </c>
      <c r="B57" s="7">
        <v>7509546677163</v>
      </c>
      <c r="C57" s="5" t="s">
        <v>157</v>
      </c>
      <c r="D57" s="5"/>
    </row>
    <row r="58" spans="1:4" x14ac:dyDescent="0.25">
      <c r="A58" s="5" t="s">
        <v>139</v>
      </c>
      <c r="B58" s="7">
        <v>7798014062680</v>
      </c>
      <c r="C58" s="5" t="s">
        <v>30</v>
      </c>
      <c r="D58" s="5"/>
    </row>
    <row r="59" spans="1:4" x14ac:dyDescent="0.25">
      <c r="A59" s="5" t="s">
        <v>139</v>
      </c>
      <c r="B59" s="7">
        <v>7790250054894</v>
      </c>
      <c r="C59" s="5" t="s">
        <v>31</v>
      </c>
      <c r="D59" s="5"/>
    </row>
    <row r="60" spans="1:4" x14ac:dyDescent="0.25">
      <c r="A60" s="5" t="s">
        <v>139</v>
      </c>
      <c r="B60" s="7">
        <v>7791293044613</v>
      </c>
      <c r="C60" s="5" t="s">
        <v>85</v>
      </c>
      <c r="D60" s="5"/>
    </row>
    <row r="61" spans="1:4" x14ac:dyDescent="0.25">
      <c r="A61" s="5" t="s">
        <v>139</v>
      </c>
      <c r="B61" s="7">
        <v>7794417000205</v>
      </c>
      <c r="C61" s="5" t="s">
        <v>14</v>
      </c>
      <c r="D61" s="5"/>
    </row>
    <row r="62" spans="1:4" x14ac:dyDescent="0.25">
      <c r="A62" s="5" t="s">
        <v>139</v>
      </c>
      <c r="B62" s="7">
        <v>6910021007206</v>
      </c>
      <c r="C62" s="5" t="s">
        <v>192</v>
      </c>
      <c r="D62" s="5"/>
    </row>
    <row r="63" spans="1:4" x14ac:dyDescent="0.25">
      <c r="A63" s="5" t="s">
        <v>139</v>
      </c>
      <c r="B63" s="7">
        <v>7796851809369</v>
      </c>
      <c r="C63" s="5" t="s">
        <v>193</v>
      </c>
      <c r="D63" s="5"/>
    </row>
    <row r="64" spans="1:4" x14ac:dyDescent="0.25">
      <c r="A64" s="5" t="s">
        <v>139</v>
      </c>
      <c r="B64" s="7">
        <v>77974457</v>
      </c>
      <c r="C64" s="5" t="s">
        <v>32</v>
      </c>
      <c r="D64" s="5"/>
    </row>
    <row r="65" spans="1:4" x14ac:dyDescent="0.25">
      <c r="A65" s="5" t="s">
        <v>139</v>
      </c>
      <c r="B65" s="7"/>
      <c r="C65" s="5" t="s">
        <v>158</v>
      </c>
      <c r="D65" s="5"/>
    </row>
    <row r="66" spans="1:4" x14ac:dyDescent="0.25">
      <c r="A66" s="5" t="s">
        <v>139</v>
      </c>
      <c r="B66" s="7"/>
      <c r="C66" s="5" t="s">
        <v>159</v>
      </c>
      <c r="D66" s="5"/>
    </row>
    <row r="67" spans="1:4" x14ac:dyDescent="0.25">
      <c r="A67" s="5" t="s">
        <v>139</v>
      </c>
      <c r="B67" s="7"/>
      <c r="C67" s="5" t="s">
        <v>27</v>
      </c>
      <c r="D67" s="5"/>
    </row>
    <row r="68" spans="1:4" x14ac:dyDescent="0.25">
      <c r="A68" s="5" t="s">
        <v>139</v>
      </c>
      <c r="B68" s="7"/>
      <c r="C68" s="5" t="s">
        <v>28</v>
      </c>
      <c r="D68" s="5"/>
    </row>
    <row r="69" spans="1:4" x14ac:dyDescent="0.25">
      <c r="A69" s="5" t="s">
        <v>139</v>
      </c>
      <c r="B69" s="7"/>
      <c r="C69" s="5" t="s">
        <v>26</v>
      </c>
      <c r="D69" s="5"/>
    </row>
    <row r="70" spans="1:4" x14ac:dyDescent="0.25">
      <c r="A70" s="5" t="s">
        <v>139</v>
      </c>
      <c r="B70" s="7"/>
      <c r="C70" s="5" t="s">
        <v>93</v>
      </c>
      <c r="D70" s="5"/>
    </row>
    <row r="71" spans="1:4" x14ac:dyDescent="0.25">
      <c r="A71" s="5" t="s">
        <v>139</v>
      </c>
      <c r="B71" s="7"/>
      <c r="C71" s="5" t="s">
        <v>13</v>
      </c>
      <c r="D71" s="5"/>
    </row>
    <row r="72" spans="1:4" x14ac:dyDescent="0.25">
      <c r="A72" s="5" t="s">
        <v>139</v>
      </c>
      <c r="B72" s="7"/>
      <c r="C72" s="5" t="s">
        <v>165</v>
      </c>
      <c r="D72" s="5"/>
    </row>
    <row r="73" spans="1:4" x14ac:dyDescent="0.25">
      <c r="A73" s="5" t="s">
        <v>139</v>
      </c>
      <c r="B73" s="7">
        <v>7795448039691</v>
      </c>
      <c r="C73" s="5" t="s">
        <v>8</v>
      </c>
      <c r="D73" s="5"/>
    </row>
    <row r="74" spans="1:4" x14ac:dyDescent="0.25">
      <c r="A74" s="5" t="s">
        <v>139</v>
      </c>
      <c r="B74" s="7">
        <v>7791014090325</v>
      </c>
      <c r="C74" s="5" t="s">
        <v>40</v>
      </c>
      <c r="D74" s="5"/>
    </row>
    <row r="75" spans="1:4" x14ac:dyDescent="0.25">
      <c r="A75" s="5" t="s">
        <v>139</v>
      </c>
      <c r="B75" s="7">
        <v>77980182</v>
      </c>
      <c r="C75" s="5" t="s">
        <v>34</v>
      </c>
      <c r="D75" s="5"/>
    </row>
    <row r="76" spans="1:4" x14ac:dyDescent="0.25">
      <c r="A76" s="5" t="s">
        <v>139</v>
      </c>
      <c r="B76" s="7">
        <v>7791274004377</v>
      </c>
      <c r="C76" s="5" t="s">
        <v>104</v>
      </c>
      <c r="D76" s="5"/>
    </row>
    <row r="77" spans="1:4" x14ac:dyDescent="0.25">
      <c r="A77" s="5" t="s">
        <v>139</v>
      </c>
      <c r="B77" s="7"/>
      <c r="C77" s="5" t="s">
        <v>18</v>
      </c>
      <c r="D77" s="5"/>
    </row>
    <row r="78" spans="1:4" x14ac:dyDescent="0.25">
      <c r="A78" s="5" t="s">
        <v>139</v>
      </c>
      <c r="B78" s="7"/>
      <c r="C78" s="5" t="s">
        <v>166</v>
      </c>
      <c r="D78" s="5"/>
    </row>
    <row r="79" spans="1:4" x14ac:dyDescent="0.25">
      <c r="A79" s="5" t="s">
        <v>139</v>
      </c>
      <c r="B79" s="7">
        <v>7790740000257</v>
      </c>
      <c r="C79" s="5" t="s">
        <v>84</v>
      </c>
      <c r="D79" s="5"/>
    </row>
    <row r="80" spans="1:4" x14ac:dyDescent="0.25">
      <c r="A80" s="5" t="s">
        <v>139</v>
      </c>
      <c r="B80" s="7"/>
      <c r="C80" s="5" t="s">
        <v>86</v>
      </c>
      <c r="D80" s="5"/>
    </row>
    <row r="81" spans="1:4" x14ac:dyDescent="0.25">
      <c r="A81" s="5" t="s">
        <v>139</v>
      </c>
      <c r="B81" s="7"/>
      <c r="C81" s="5" t="s">
        <v>87</v>
      </c>
      <c r="D81" s="5"/>
    </row>
    <row r="82" spans="1:4" x14ac:dyDescent="0.25">
      <c r="A82" s="5" t="s">
        <v>139</v>
      </c>
      <c r="B82" s="7"/>
      <c r="C82" s="5" t="s">
        <v>90</v>
      </c>
      <c r="D82" s="5"/>
    </row>
    <row r="83" spans="1:4" x14ac:dyDescent="0.25">
      <c r="A83" s="5" t="s">
        <v>139</v>
      </c>
      <c r="B83" s="7"/>
      <c r="C83" s="5" t="s">
        <v>91</v>
      </c>
      <c r="D83" s="5"/>
    </row>
    <row r="84" spans="1:4" x14ac:dyDescent="0.25">
      <c r="A84" s="5" t="s">
        <v>139</v>
      </c>
      <c r="B84" s="7"/>
      <c r="C84" s="5" t="s">
        <v>92</v>
      </c>
      <c r="D84" s="5"/>
    </row>
    <row r="85" spans="1:4" x14ac:dyDescent="0.25">
      <c r="A85" s="5" t="s">
        <v>139</v>
      </c>
      <c r="B85" s="7"/>
      <c r="C85" s="5" t="s">
        <v>160</v>
      </c>
      <c r="D85" s="5"/>
    </row>
    <row r="86" spans="1:4" x14ac:dyDescent="0.25">
      <c r="A86" s="5" t="s">
        <v>139</v>
      </c>
      <c r="B86" s="7">
        <v>4005808257621</v>
      </c>
      <c r="C86" s="5" t="s">
        <v>94</v>
      </c>
      <c r="D86" s="5"/>
    </row>
    <row r="87" spans="1:4" x14ac:dyDescent="0.25">
      <c r="A87" s="5" t="s">
        <v>139</v>
      </c>
      <c r="B87" s="7">
        <v>4005808257621</v>
      </c>
      <c r="C87" s="5" t="s">
        <v>95</v>
      </c>
      <c r="D87" s="5"/>
    </row>
    <row r="88" spans="1:4" x14ac:dyDescent="0.25">
      <c r="A88" s="5" t="s">
        <v>139</v>
      </c>
      <c r="B88" s="7">
        <v>7791293045122</v>
      </c>
      <c r="C88" s="5" t="s">
        <v>96</v>
      </c>
      <c r="D88" s="5"/>
    </row>
    <row r="89" spans="1:4" x14ac:dyDescent="0.25">
      <c r="A89" s="5" t="s">
        <v>139</v>
      </c>
      <c r="B89" s="7"/>
      <c r="C89" s="5" t="s">
        <v>177</v>
      </c>
      <c r="D89" s="5"/>
    </row>
    <row r="90" spans="1:4" x14ac:dyDescent="0.25">
      <c r="A90" s="5" t="s">
        <v>139</v>
      </c>
      <c r="B90" s="7">
        <v>7702010631207</v>
      </c>
      <c r="C90" s="5" t="s">
        <v>154</v>
      </c>
      <c r="D90" s="5"/>
    </row>
    <row r="91" spans="1:4" x14ac:dyDescent="0.25">
      <c r="A91" s="5" t="s">
        <v>139</v>
      </c>
      <c r="B91" s="7"/>
      <c r="C91" s="5" t="s">
        <v>155</v>
      </c>
      <c r="D91" s="5"/>
    </row>
    <row r="92" spans="1:4" x14ac:dyDescent="0.25">
      <c r="A92" s="5" t="s">
        <v>139</v>
      </c>
      <c r="B92" s="7"/>
      <c r="C92" s="5" t="s">
        <v>186</v>
      </c>
      <c r="D92" s="5"/>
    </row>
    <row r="93" spans="1:4" x14ac:dyDescent="0.25">
      <c r="A93" s="5" t="s">
        <v>139</v>
      </c>
      <c r="B93" s="7">
        <v>4005900973801</v>
      </c>
      <c r="C93" s="5" t="s">
        <v>187</v>
      </c>
      <c r="D93" s="5"/>
    </row>
    <row r="94" spans="1:4" x14ac:dyDescent="0.25">
      <c r="A94" s="5" t="s">
        <v>139</v>
      </c>
      <c r="B94" s="7">
        <v>7798344320429</v>
      </c>
      <c r="C94" s="5" t="s">
        <v>194</v>
      </c>
      <c r="D94" s="5"/>
    </row>
    <row r="95" spans="1:4" x14ac:dyDescent="0.25">
      <c r="A95" s="5" t="s">
        <v>140</v>
      </c>
      <c r="B95" s="7"/>
      <c r="C95" s="5" t="s">
        <v>9</v>
      </c>
      <c r="D95" s="5"/>
    </row>
    <row r="96" spans="1:4" x14ac:dyDescent="0.25">
      <c r="A96" s="5" t="s">
        <v>140</v>
      </c>
      <c r="B96" s="7"/>
      <c r="C96" s="5" t="s">
        <v>179</v>
      </c>
      <c r="D96" s="5"/>
    </row>
    <row r="97" spans="1:4" x14ac:dyDescent="0.25">
      <c r="A97" s="5" t="s">
        <v>140</v>
      </c>
      <c r="B97" s="7"/>
      <c r="C97" s="5" t="s">
        <v>23</v>
      </c>
      <c r="D97" s="5"/>
    </row>
    <row r="98" spans="1:4" x14ac:dyDescent="0.25">
      <c r="A98" s="5" t="s">
        <v>140</v>
      </c>
      <c r="B98" s="7"/>
      <c r="C98" s="5" t="s">
        <v>24</v>
      </c>
      <c r="D98" s="5"/>
    </row>
    <row r="99" spans="1:4" x14ac:dyDescent="0.25">
      <c r="A99" s="5" t="s">
        <v>140</v>
      </c>
      <c r="B99" s="7"/>
      <c r="C99" s="5" t="s">
        <v>20</v>
      </c>
      <c r="D99" s="5"/>
    </row>
    <row r="100" spans="1:4" x14ac:dyDescent="0.25">
      <c r="A100" s="5" t="s">
        <v>140</v>
      </c>
      <c r="B100" s="7"/>
      <c r="C100" s="5" t="s">
        <v>21</v>
      </c>
      <c r="D100" s="5"/>
    </row>
    <row r="101" spans="1:4" x14ac:dyDescent="0.25">
      <c r="A101" s="5" t="s">
        <v>140</v>
      </c>
      <c r="B101" s="7"/>
      <c r="C101" s="5" t="s">
        <v>22</v>
      </c>
      <c r="D101" s="5"/>
    </row>
    <row r="102" spans="1:4" x14ac:dyDescent="0.25">
      <c r="A102" s="5" t="s">
        <v>140</v>
      </c>
      <c r="B102" s="7"/>
      <c r="C102" s="5" t="s">
        <v>68</v>
      </c>
      <c r="D102" s="5"/>
    </row>
    <row r="103" spans="1:4" x14ac:dyDescent="0.25">
      <c r="A103" s="5" t="s">
        <v>140</v>
      </c>
      <c r="B103" s="7"/>
      <c r="C103" s="5" t="s">
        <v>67</v>
      </c>
      <c r="D103" s="5"/>
    </row>
    <row r="104" spans="1:4" x14ac:dyDescent="0.25">
      <c r="A104" s="5" t="s">
        <v>140</v>
      </c>
      <c r="B104" s="7"/>
      <c r="C104" s="5" t="s">
        <v>41</v>
      </c>
      <c r="D104" s="5"/>
    </row>
    <row r="105" spans="1:4" x14ac:dyDescent="0.25">
      <c r="A105" s="5" t="s">
        <v>140</v>
      </c>
      <c r="B105" s="7"/>
      <c r="C105" s="5" t="s">
        <v>180</v>
      </c>
      <c r="D105" s="5"/>
    </row>
    <row r="106" spans="1:4" x14ac:dyDescent="0.25">
      <c r="A106" s="5" t="s">
        <v>140</v>
      </c>
      <c r="B106" s="7"/>
      <c r="C106" s="5" t="s">
        <v>17</v>
      </c>
      <c r="D106" s="5"/>
    </row>
    <row r="107" spans="1:4" x14ac:dyDescent="0.25">
      <c r="A107" s="5" t="s">
        <v>140</v>
      </c>
      <c r="B107" s="7"/>
      <c r="C107" s="5" t="s">
        <v>19</v>
      </c>
      <c r="D107" s="5"/>
    </row>
    <row r="108" spans="1:4" x14ac:dyDescent="0.25">
      <c r="A108" s="5" t="s">
        <v>140</v>
      </c>
      <c r="B108" s="7"/>
      <c r="C108" s="5" t="s">
        <v>64</v>
      </c>
      <c r="D108" s="5"/>
    </row>
    <row r="109" spans="1:4" x14ac:dyDescent="0.25">
      <c r="A109" s="5" t="s">
        <v>140</v>
      </c>
      <c r="B109" s="7"/>
      <c r="C109" s="5" t="s">
        <v>167</v>
      </c>
      <c r="D109" s="5"/>
    </row>
    <row r="110" spans="1:4" x14ac:dyDescent="0.25">
      <c r="A110" s="5" t="s">
        <v>140</v>
      </c>
      <c r="B110" s="7"/>
      <c r="C110" s="5" t="s">
        <v>25</v>
      </c>
      <c r="D110" s="5"/>
    </row>
    <row r="111" spans="1:4" x14ac:dyDescent="0.25">
      <c r="A111" s="5" t="s">
        <v>140</v>
      </c>
      <c r="B111" s="7"/>
      <c r="C111" s="5" t="s">
        <v>99</v>
      </c>
      <c r="D111" s="5"/>
    </row>
    <row r="112" spans="1:4" x14ac:dyDescent="0.25">
      <c r="A112" s="5" t="s">
        <v>140</v>
      </c>
      <c r="B112" s="7"/>
      <c r="C112" s="5" t="s">
        <v>126</v>
      </c>
      <c r="D112" s="5"/>
    </row>
    <row r="113" spans="1:4" x14ac:dyDescent="0.25">
      <c r="A113" s="5" t="s">
        <v>140</v>
      </c>
      <c r="B113" s="7"/>
      <c r="C113" s="5" t="s">
        <v>127</v>
      </c>
      <c r="D113" s="5"/>
    </row>
    <row r="114" spans="1:4" x14ac:dyDescent="0.25">
      <c r="A114" s="5" t="s">
        <v>140</v>
      </c>
      <c r="B114" s="7"/>
      <c r="C114" s="5" t="s">
        <v>128</v>
      </c>
      <c r="D114" s="5"/>
    </row>
    <row r="115" spans="1:4" x14ac:dyDescent="0.25">
      <c r="A115" s="5" t="s">
        <v>140</v>
      </c>
      <c r="B115" s="7"/>
      <c r="C115" s="5" t="s">
        <v>130</v>
      </c>
      <c r="D115" s="5"/>
    </row>
    <row r="116" spans="1:4" x14ac:dyDescent="0.25">
      <c r="A116" s="5" t="s">
        <v>140</v>
      </c>
      <c r="B116" s="7"/>
      <c r="C116" s="5" t="s">
        <v>168</v>
      </c>
      <c r="D116" s="5"/>
    </row>
    <row r="117" spans="1:4" x14ac:dyDescent="0.25">
      <c r="A117" s="5" t="s">
        <v>140</v>
      </c>
      <c r="B117" s="7"/>
      <c r="C117" s="5" t="s">
        <v>169</v>
      </c>
      <c r="D117" s="5"/>
    </row>
    <row r="118" spans="1:4" x14ac:dyDescent="0.25">
      <c r="A118" s="5" t="s">
        <v>140</v>
      </c>
      <c r="B118" s="7"/>
      <c r="C118" s="5" t="s">
        <v>170</v>
      </c>
      <c r="D118" s="5"/>
    </row>
    <row r="119" spans="1:4" x14ac:dyDescent="0.25">
      <c r="A119" s="5" t="s">
        <v>140</v>
      </c>
      <c r="B119" s="7"/>
      <c r="C119" s="5" t="s">
        <v>171</v>
      </c>
      <c r="D119" s="5"/>
    </row>
    <row r="120" spans="1:4" x14ac:dyDescent="0.25">
      <c r="A120" s="5" t="s">
        <v>140</v>
      </c>
      <c r="B120" s="7"/>
      <c r="C120" s="5" t="s">
        <v>172</v>
      </c>
      <c r="D120" s="5"/>
    </row>
    <row r="121" spans="1:4" x14ac:dyDescent="0.25">
      <c r="A121" s="5" t="s">
        <v>135</v>
      </c>
      <c r="B121" s="7"/>
      <c r="C121" s="5" t="s">
        <v>55</v>
      </c>
      <c r="D121" s="5"/>
    </row>
    <row r="122" spans="1:4" x14ac:dyDescent="0.25">
      <c r="A122" s="5" t="s">
        <v>135</v>
      </c>
      <c r="B122" s="7"/>
      <c r="C122" s="5" t="s">
        <v>173</v>
      </c>
      <c r="D122" s="5"/>
    </row>
    <row r="123" spans="1:4" x14ac:dyDescent="0.25">
      <c r="A123" s="5" t="s">
        <v>135</v>
      </c>
      <c r="B123" s="7"/>
      <c r="C123" s="5" t="s">
        <v>174</v>
      </c>
      <c r="D123" s="5"/>
    </row>
    <row r="124" spans="1:4" x14ac:dyDescent="0.25">
      <c r="A124" s="5" t="s">
        <v>135</v>
      </c>
      <c r="B124" s="7"/>
      <c r="C124" s="5" t="s">
        <v>59</v>
      </c>
      <c r="D124" s="5"/>
    </row>
    <row r="125" spans="1:4" x14ac:dyDescent="0.25">
      <c r="A125" s="5" t="s">
        <v>135</v>
      </c>
      <c r="B125" s="7"/>
      <c r="C125" s="5" t="s">
        <v>29</v>
      </c>
      <c r="D125" s="5"/>
    </row>
    <row r="126" spans="1:4" x14ac:dyDescent="0.25">
      <c r="A126" s="5" t="s">
        <v>135</v>
      </c>
      <c r="B126" s="7"/>
      <c r="C126" s="5" t="s">
        <v>39</v>
      </c>
      <c r="D126" s="5"/>
    </row>
    <row r="127" spans="1:4" x14ac:dyDescent="0.25">
      <c r="A127" s="5" t="s">
        <v>135</v>
      </c>
      <c r="B127" s="7"/>
      <c r="C127" s="5" t="s">
        <v>38</v>
      </c>
      <c r="D127" s="5"/>
    </row>
    <row r="128" spans="1:4" x14ac:dyDescent="0.25">
      <c r="A128" s="5" t="s">
        <v>135</v>
      </c>
      <c r="B128" s="7"/>
      <c r="C128" s="5" t="s">
        <v>37</v>
      </c>
      <c r="D128" s="5"/>
    </row>
    <row r="129" spans="1:4" x14ac:dyDescent="0.25">
      <c r="A129" s="5" t="s">
        <v>135</v>
      </c>
      <c r="B129" s="7"/>
      <c r="C129" s="5" t="s">
        <v>36</v>
      </c>
      <c r="D129" s="5"/>
    </row>
    <row r="130" spans="1:4" x14ac:dyDescent="0.25">
      <c r="A130" s="5" t="s">
        <v>135</v>
      </c>
      <c r="B130" s="7"/>
      <c r="C130" s="5" t="s">
        <v>35</v>
      </c>
      <c r="D130" s="5"/>
    </row>
    <row r="131" spans="1:4" x14ac:dyDescent="0.25">
      <c r="A131" s="5" t="s">
        <v>135</v>
      </c>
      <c r="B131" s="7"/>
      <c r="C131" s="5" t="s">
        <v>58</v>
      </c>
      <c r="D131" s="5"/>
    </row>
    <row r="132" spans="1:4" x14ac:dyDescent="0.25">
      <c r="A132" s="5" t="s">
        <v>136</v>
      </c>
      <c r="B132" s="7"/>
      <c r="C132" s="5" t="s">
        <v>51</v>
      </c>
      <c r="D132" s="5"/>
    </row>
    <row r="133" spans="1:4" x14ac:dyDescent="0.25">
      <c r="A133" s="5" t="s">
        <v>136</v>
      </c>
      <c r="B133" s="7"/>
      <c r="C133" s="5" t="s">
        <v>141</v>
      </c>
      <c r="D133" s="5"/>
    </row>
    <row r="134" spans="1:4" x14ac:dyDescent="0.25">
      <c r="A134" s="5" t="s">
        <v>136</v>
      </c>
      <c r="B134" s="7"/>
      <c r="C134" s="5" t="s">
        <v>42</v>
      </c>
      <c r="D134" s="5"/>
    </row>
    <row r="135" spans="1:4" x14ac:dyDescent="0.25">
      <c r="A135" s="5" t="s">
        <v>136</v>
      </c>
      <c r="B135" s="7"/>
      <c r="C135" s="5" t="s">
        <v>182</v>
      </c>
      <c r="D135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3A7DE-1615-4703-9F07-59162991B45D}">
  <dimension ref="A1:D5"/>
  <sheetViews>
    <sheetView workbookViewId="0">
      <selection activeCell="D1" sqref="D1:D5"/>
    </sheetView>
  </sheetViews>
  <sheetFormatPr baseColWidth="10" defaultRowHeight="15" x14ac:dyDescent="0.25"/>
  <sheetData>
    <row r="1" spans="1:4" x14ac:dyDescent="0.25">
      <c r="A1">
        <v>500</v>
      </c>
      <c r="B1">
        <v>28</v>
      </c>
      <c r="C1">
        <f>A1*B1</f>
        <v>14000</v>
      </c>
      <c r="D1" s="19" t="s">
        <v>250</v>
      </c>
    </row>
    <row r="2" spans="1:4" x14ac:dyDescent="0.25">
      <c r="A2">
        <v>1000</v>
      </c>
      <c r="B2">
        <v>49</v>
      </c>
      <c r="C2">
        <f t="shared" ref="C2:C4" si="0">A2*B2</f>
        <v>49000</v>
      </c>
      <c r="D2" s="19"/>
    </row>
    <row r="3" spans="1:4" x14ac:dyDescent="0.25">
      <c r="A3">
        <v>200</v>
      </c>
      <c r="B3">
        <v>26</v>
      </c>
      <c r="C3">
        <f t="shared" si="0"/>
        <v>5200</v>
      </c>
      <c r="D3" s="19"/>
    </row>
    <row r="4" spans="1:4" x14ac:dyDescent="0.25">
      <c r="A4">
        <v>100</v>
      </c>
      <c r="B4">
        <v>61</v>
      </c>
      <c r="C4">
        <f t="shared" si="0"/>
        <v>6100</v>
      </c>
      <c r="D4" s="19"/>
    </row>
    <row r="5" spans="1:4" x14ac:dyDescent="0.25">
      <c r="C5">
        <f>SUM(C1:C4)</f>
        <v>74300</v>
      </c>
      <c r="D5" s="19"/>
    </row>
  </sheetData>
  <mergeCells count="1">
    <mergeCell ref="D1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BB253-56CF-4AB7-AFE8-6296D15404CE}">
  <dimension ref="A1:D34"/>
  <sheetViews>
    <sheetView workbookViewId="0">
      <selection activeCell="D1" sqref="D1"/>
    </sheetView>
  </sheetViews>
  <sheetFormatPr baseColWidth="10" defaultRowHeight="15" x14ac:dyDescent="0.25"/>
  <cols>
    <col min="1" max="1" width="32" customWidth="1"/>
    <col min="2" max="2" width="28.140625" customWidth="1"/>
  </cols>
  <sheetData>
    <row r="1" spans="1:4" x14ac:dyDescent="0.25">
      <c r="A1" t="s">
        <v>201</v>
      </c>
      <c r="B1" t="s">
        <v>202</v>
      </c>
    </row>
    <row r="2" spans="1:4" x14ac:dyDescent="0.25">
      <c r="A2">
        <v>7796311000022</v>
      </c>
      <c r="B2" t="s">
        <v>203</v>
      </c>
    </row>
    <row r="3" spans="1:4" x14ac:dyDescent="0.25">
      <c r="A3" t="s">
        <v>201</v>
      </c>
      <c r="B3" t="s">
        <v>204</v>
      </c>
    </row>
    <row r="4" spans="1:4" x14ac:dyDescent="0.25">
      <c r="A4">
        <v>7798126379010</v>
      </c>
      <c r="B4" t="s">
        <v>203</v>
      </c>
    </row>
    <row r="5" spans="1:4" x14ac:dyDescent="0.25">
      <c r="A5" t="s">
        <v>201</v>
      </c>
      <c r="B5" t="s">
        <v>205</v>
      </c>
    </row>
    <row r="6" spans="1:4" x14ac:dyDescent="0.25">
      <c r="A6">
        <v>7798035497003</v>
      </c>
      <c r="B6" t="s">
        <v>203</v>
      </c>
    </row>
    <row r="7" spans="1:4" x14ac:dyDescent="0.25">
      <c r="A7" t="s">
        <v>201</v>
      </c>
      <c r="B7" t="s">
        <v>206</v>
      </c>
      <c r="D7" t="s">
        <v>213</v>
      </c>
    </row>
    <row r="8" spans="1:4" x14ac:dyDescent="0.25">
      <c r="A8">
        <v>7794417000205</v>
      </c>
      <c r="B8" t="s">
        <v>203</v>
      </c>
      <c r="D8" t="s">
        <v>214</v>
      </c>
    </row>
    <row r="9" spans="1:4" x14ac:dyDescent="0.25">
      <c r="A9" t="s">
        <v>201</v>
      </c>
      <c r="B9" t="s">
        <v>197</v>
      </c>
      <c r="D9" t="s">
        <v>215</v>
      </c>
    </row>
    <row r="10" spans="1:4" x14ac:dyDescent="0.25">
      <c r="A10">
        <v>7797160000027</v>
      </c>
      <c r="B10" t="s">
        <v>203</v>
      </c>
      <c r="D10" t="s">
        <v>216</v>
      </c>
    </row>
    <row r="11" spans="1:4" x14ac:dyDescent="0.25">
      <c r="A11" t="s">
        <v>201</v>
      </c>
      <c r="B11" t="s">
        <v>207</v>
      </c>
      <c r="D11" t="s">
        <v>217</v>
      </c>
    </row>
    <row r="12" spans="1:4" x14ac:dyDescent="0.25">
      <c r="A12">
        <v>7794417005217</v>
      </c>
      <c r="B12" t="s">
        <v>203</v>
      </c>
      <c r="D12" t="s">
        <v>218</v>
      </c>
    </row>
    <row r="13" spans="1:4" x14ac:dyDescent="0.25">
      <c r="A13" t="s">
        <v>201</v>
      </c>
      <c r="B13" t="s">
        <v>198</v>
      </c>
      <c r="D13" t="s">
        <v>219</v>
      </c>
    </row>
    <row r="14" spans="1:4" x14ac:dyDescent="0.25">
      <c r="A14">
        <v>7797160003004</v>
      </c>
      <c r="B14" t="s">
        <v>203</v>
      </c>
      <c r="D14" t="s">
        <v>220</v>
      </c>
    </row>
    <row r="15" spans="1:4" x14ac:dyDescent="0.25">
      <c r="A15" t="s">
        <v>201</v>
      </c>
      <c r="B15" t="s">
        <v>199</v>
      </c>
      <c r="D15" t="s">
        <v>221</v>
      </c>
    </row>
    <row r="16" spans="1:4" x14ac:dyDescent="0.25">
      <c r="A16">
        <v>7796753000024</v>
      </c>
      <c r="B16" t="s">
        <v>203</v>
      </c>
      <c r="D16" t="s">
        <v>222</v>
      </c>
    </row>
    <row r="17" spans="1:4" x14ac:dyDescent="0.25">
      <c r="A17" t="s">
        <v>201</v>
      </c>
      <c r="B17" t="s">
        <v>200</v>
      </c>
      <c r="D17" t="s">
        <v>223</v>
      </c>
    </row>
    <row r="18" spans="1:4" x14ac:dyDescent="0.25">
      <c r="A18">
        <v>7794129005314</v>
      </c>
      <c r="B18" t="s">
        <v>203</v>
      </c>
      <c r="D18" t="s">
        <v>224</v>
      </c>
    </row>
    <row r="19" spans="1:4" x14ac:dyDescent="0.25">
      <c r="A19" t="s">
        <v>201</v>
      </c>
      <c r="B19" t="s">
        <v>208</v>
      </c>
      <c r="D19" t="s">
        <v>225</v>
      </c>
    </row>
    <row r="20" spans="1:4" x14ac:dyDescent="0.25">
      <c r="A20">
        <v>7791070000078</v>
      </c>
      <c r="B20" t="s">
        <v>203</v>
      </c>
      <c r="D20" t="s">
        <v>226</v>
      </c>
    </row>
    <row r="21" spans="1:4" x14ac:dyDescent="0.25">
      <c r="A21" t="s">
        <v>201</v>
      </c>
      <c r="B21" t="s">
        <v>209</v>
      </c>
      <c r="D21" t="s">
        <v>227</v>
      </c>
    </row>
    <row r="22" spans="1:4" x14ac:dyDescent="0.25">
      <c r="A22">
        <v>7791070003222</v>
      </c>
      <c r="B22" t="s">
        <v>203</v>
      </c>
      <c r="D22" t="s">
        <v>228</v>
      </c>
    </row>
    <row r="23" spans="1:4" x14ac:dyDescent="0.25">
      <c r="A23" t="s">
        <v>201</v>
      </c>
      <c r="B23" t="s">
        <v>210</v>
      </c>
      <c r="D23" t="s">
        <v>229</v>
      </c>
    </row>
    <row r="24" spans="1:4" x14ac:dyDescent="0.25">
      <c r="A24">
        <v>7792409007447</v>
      </c>
      <c r="B24" t="s">
        <v>203</v>
      </c>
      <c r="D24" t="s">
        <v>230</v>
      </c>
    </row>
    <row r="25" spans="1:4" x14ac:dyDescent="0.25">
      <c r="A25" t="s">
        <v>201</v>
      </c>
      <c r="B25" t="s">
        <v>211</v>
      </c>
      <c r="D25" t="s">
        <v>231</v>
      </c>
    </row>
    <row r="26" spans="1:4" x14ac:dyDescent="0.25">
      <c r="A26">
        <v>7793253003470</v>
      </c>
      <c r="B26" t="s">
        <v>203</v>
      </c>
      <c r="D26" t="s">
        <v>232</v>
      </c>
    </row>
    <row r="27" spans="1:4" x14ac:dyDescent="0.25">
      <c r="A27" t="s">
        <v>201</v>
      </c>
      <c r="B27" t="s">
        <v>212</v>
      </c>
      <c r="D27" t="s">
        <v>233</v>
      </c>
    </row>
    <row r="28" spans="1:4" x14ac:dyDescent="0.25">
      <c r="A28">
        <v>7793253003500</v>
      </c>
      <c r="D28" t="s">
        <v>234</v>
      </c>
    </row>
    <row r="29" spans="1:4" x14ac:dyDescent="0.25">
      <c r="D29" t="s">
        <v>235</v>
      </c>
    </row>
    <row r="30" spans="1:4" x14ac:dyDescent="0.25">
      <c r="D30" t="s">
        <v>236</v>
      </c>
    </row>
    <row r="31" spans="1:4" x14ac:dyDescent="0.25">
      <c r="D31" t="s">
        <v>237</v>
      </c>
    </row>
    <row r="32" spans="1:4" x14ac:dyDescent="0.25">
      <c r="D32" t="s">
        <v>238</v>
      </c>
    </row>
    <row r="33" spans="4:4" x14ac:dyDescent="0.25">
      <c r="D33" t="s">
        <v>239</v>
      </c>
    </row>
    <row r="34" spans="4:4" x14ac:dyDescent="0.25">
      <c r="D34" t="s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B90B8-4BFF-4860-80C6-3316D97F78E5}">
  <dimension ref="A1"/>
  <sheetViews>
    <sheetView workbookViewId="0">
      <selection activeCell="I10" sqref="I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6725-A102-49E9-AC82-125E1D33F40B}">
  <dimension ref="A1:D4"/>
  <sheetViews>
    <sheetView workbookViewId="0">
      <selection activeCell="F23" sqref="F23"/>
    </sheetView>
  </sheetViews>
  <sheetFormatPr baseColWidth="10" defaultRowHeight="15" x14ac:dyDescent="0.25"/>
  <sheetData>
    <row r="1" spans="1:4" x14ac:dyDescent="0.25">
      <c r="A1" t="s">
        <v>105</v>
      </c>
      <c r="B1">
        <f>(PI()*B3*B3*B4)</f>
        <v>1924.2255003237483</v>
      </c>
      <c r="C1" t="s">
        <v>108</v>
      </c>
      <c r="D1">
        <f>B1/1000</f>
        <v>1.9242255003237483</v>
      </c>
    </row>
    <row r="3" spans="1:4" x14ac:dyDescent="0.25">
      <c r="A3" t="s">
        <v>106</v>
      </c>
      <c r="B3">
        <v>5</v>
      </c>
    </row>
    <row r="4" spans="1:4" x14ac:dyDescent="0.25">
      <c r="A4" t="s">
        <v>107</v>
      </c>
      <c r="B4">
        <f>24.5</f>
        <v>24.5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AE7C-09F2-4698-A10B-A71F42B55E9D}">
  <dimension ref="A1:AS14"/>
  <sheetViews>
    <sheetView workbookViewId="0">
      <pane xSplit="1" ySplit="1" topLeftCell="AE2" activePane="bottomRight" state="frozen"/>
      <selection pane="topRight" activeCell="B1" sqref="B1"/>
      <selection pane="bottomLeft" activeCell="A2" sqref="A2"/>
      <selection pane="bottomRight" activeCell="AO11" sqref="AO11"/>
    </sheetView>
  </sheetViews>
  <sheetFormatPr baseColWidth="10" defaultRowHeight="15" x14ac:dyDescent="0.25"/>
  <sheetData>
    <row r="1" spans="1:45" x14ac:dyDescent="0.25">
      <c r="B1" s="4">
        <v>45200</v>
      </c>
      <c r="C1" s="4">
        <v>45201</v>
      </c>
      <c r="D1" s="4">
        <v>45202</v>
      </c>
      <c r="E1" s="4">
        <v>45203</v>
      </c>
      <c r="F1" s="4">
        <v>45204</v>
      </c>
      <c r="G1" s="4">
        <v>45205</v>
      </c>
      <c r="H1" s="4">
        <v>45206</v>
      </c>
      <c r="I1" s="4">
        <v>45207</v>
      </c>
      <c r="J1" s="4">
        <v>45208</v>
      </c>
      <c r="K1" s="4">
        <v>45209</v>
      </c>
      <c r="L1" s="4">
        <v>45210</v>
      </c>
      <c r="M1" s="4">
        <v>45211</v>
      </c>
      <c r="N1" s="4">
        <v>45212</v>
      </c>
      <c r="O1" s="4">
        <v>45213</v>
      </c>
      <c r="P1" s="4">
        <v>45214</v>
      </c>
      <c r="Q1" s="4">
        <v>45215</v>
      </c>
      <c r="R1" s="4">
        <v>45216</v>
      </c>
      <c r="S1" s="4">
        <v>45217</v>
      </c>
      <c r="T1" s="4">
        <v>45218</v>
      </c>
      <c r="U1" s="4">
        <v>45219</v>
      </c>
      <c r="V1" s="4">
        <v>45220</v>
      </c>
      <c r="W1" s="4">
        <v>45221</v>
      </c>
      <c r="X1" s="4">
        <v>45222</v>
      </c>
      <c r="Y1" s="4">
        <v>45223</v>
      </c>
      <c r="Z1" s="4">
        <v>45224</v>
      </c>
      <c r="AA1" s="4">
        <v>45225</v>
      </c>
      <c r="AB1" s="4">
        <v>45226</v>
      </c>
      <c r="AC1" s="4">
        <v>45227</v>
      </c>
      <c r="AD1" s="4">
        <v>45228</v>
      </c>
      <c r="AE1" s="4">
        <v>45229</v>
      </c>
      <c r="AF1" s="4">
        <v>45230</v>
      </c>
      <c r="AG1" t="s">
        <v>123</v>
      </c>
      <c r="AH1" s="4">
        <v>45231</v>
      </c>
      <c r="AI1" s="4">
        <v>45232</v>
      </c>
      <c r="AJ1" s="4">
        <v>45233</v>
      </c>
      <c r="AK1" s="4">
        <v>45234</v>
      </c>
      <c r="AL1" s="4">
        <v>45235</v>
      </c>
      <c r="AM1" s="4" t="s">
        <v>125</v>
      </c>
      <c r="AN1" s="4">
        <v>45236</v>
      </c>
      <c r="AO1" s="4">
        <v>45237</v>
      </c>
      <c r="AP1" s="4">
        <v>45238</v>
      </c>
      <c r="AQ1" s="4">
        <v>45239</v>
      </c>
      <c r="AR1" s="4">
        <v>45240</v>
      </c>
      <c r="AS1" s="4">
        <v>45241</v>
      </c>
    </row>
    <row r="2" spans="1:45" x14ac:dyDescent="0.25">
      <c r="A2" t="s">
        <v>113</v>
      </c>
      <c r="B2">
        <f>2500+520+870+210+200+450+540</f>
        <v>5290</v>
      </c>
      <c r="C2">
        <f>400+230+590+100+820+1200</f>
        <v>3340</v>
      </c>
      <c r="D2">
        <f>600+1550+460+600+1130+2250+390+630+580+700+1300+5240+1680</f>
        <v>17110</v>
      </c>
      <c r="E2">
        <f>320+1030+1200+500+1300+400+680+1120+350+580+810</f>
        <v>8290</v>
      </c>
      <c r="F2">
        <f>1520+1470+690+840+600+430+150+3280+1800+150+250+60</f>
        <v>11240</v>
      </c>
      <c r="G2">
        <f>8000+350+1560+590+570+2340+1140+350+1210+680+480+980</f>
        <v>18250</v>
      </c>
      <c r="H2">
        <f>1080+2200+1900+920+490+1420+230+1810+900+640+1000</f>
        <v>12590</v>
      </c>
      <c r="I2">
        <f>860+350+1120+480+730</f>
        <v>3540</v>
      </c>
      <c r="J2">
        <f>1250+3020+230+670+510+4000+250+1000</f>
        <v>10930</v>
      </c>
      <c r="K2">
        <f>680+230+520+1200+1160+1420+1340+500+350+560+200+680+600+550+160</f>
        <v>10150</v>
      </c>
      <c r="L2">
        <f>400+170+210+250+950+1960+2580+500+1480+150</f>
        <v>8650</v>
      </c>
      <c r="M2">
        <f>790+7500+500+1200+2400+730+300+1350+470+400+650+200+130+350+1200</f>
        <v>18170</v>
      </c>
      <c r="N2">
        <f>300+3660+350+1380+230+450+850+850+300+400+840+1280+480+1240+490+2200+330</f>
        <v>15630</v>
      </c>
      <c r="O2">
        <f>2800+1280+860+400+1100+600+1100</f>
        <v>8140</v>
      </c>
      <c r="P2">
        <f>370+1800+500+340</f>
        <v>3010</v>
      </c>
      <c r="Q2">
        <f>1520+840+3900+1250+1100+890</f>
        <v>9500</v>
      </c>
      <c r="R2">
        <f>2550+5690+570+570+650+2810+1100</f>
        <v>13940</v>
      </c>
      <c r="S2">
        <f>250+1020+50+2860+520+370+570+200+230+430</f>
        <v>6500</v>
      </c>
      <c r="T2">
        <f>700+750+840+1050+6200+3490+3490+250+1050+450+150+300+1410</f>
        <v>20130</v>
      </c>
      <c r="U2">
        <f>400+250+1240+280+360+500+180+1100+550+1360+900</f>
        <v>7120</v>
      </c>
      <c r="V2">
        <f>2200+2200+1150+230+650+790+210+450</f>
        <v>7880</v>
      </c>
      <c r="X2">
        <f>1480+480+400+300+850+990+350+250+2720+1600+230+640+1320</f>
        <v>11610</v>
      </c>
      <c r="Y2">
        <f>1500+480+1450+770+700+710+650+2600+890</f>
        <v>9750</v>
      </c>
      <c r="Z2">
        <f>1200+730+350+730+250+680+600+1650+680+1920+160+1670</f>
        <v>10620</v>
      </c>
      <c r="AA2">
        <f>360+1160+350+900+680+230+890+1130+300</f>
        <v>6000</v>
      </c>
      <c r="AB2">
        <f>380+3360+8080+360+230+2140+230+300+1100</f>
        <v>16180</v>
      </c>
      <c r="AC2">
        <f>720+290+2670+2330+1340+1600+820+870+2330+870</f>
        <v>13840</v>
      </c>
      <c r="AD2">
        <f>600+1060+870+1400+200+280+420+780</f>
        <v>5610</v>
      </c>
      <c r="AE2">
        <f>890+400+700+960+1200+1240+600+1100+3000+2660+680+880+320</f>
        <v>14630</v>
      </c>
      <c r="AF2">
        <f>2080+350+100+450+480+2280</f>
        <v>5740</v>
      </c>
      <c r="AG2">
        <f>SUM(B2:AF2)</f>
        <v>313380</v>
      </c>
      <c r="AH2">
        <f>2390+420+690+690+3640+1050+530+390+1100+4600</f>
        <v>15500</v>
      </c>
      <c r="AI2">
        <f>1320+4280+380+680+1270+350</f>
        <v>8280</v>
      </c>
      <c r="AJ2">
        <f>420+2400+1700+750+860+480+500+200+100+150+520</f>
        <v>8080</v>
      </c>
      <c r="AK2">
        <f>1600+2400+840+1280+890+900+880+1160+600+980</f>
        <v>11530</v>
      </c>
      <c r="AL2">
        <f>960+1200</f>
        <v>2160</v>
      </c>
      <c r="AM2">
        <f>SUM(AG2:AL2)</f>
        <v>358930</v>
      </c>
      <c r="AN2">
        <f>890+300+1960+2400+1100+2180+1060+100+80+100+100+2400+7100+360</f>
        <v>20130</v>
      </c>
    </row>
    <row r="3" spans="1:45" x14ac:dyDescent="0.25">
      <c r="A3" t="s">
        <v>114</v>
      </c>
      <c r="B3">
        <v>600</v>
      </c>
      <c r="C3">
        <f>840+600+300+480+960+720+600+250+360+600</f>
        <v>5710</v>
      </c>
      <c r="D3">
        <f>600+840+1200+360</f>
        <v>3000</v>
      </c>
      <c r="E3">
        <f>600+840+480+600+600+600+600+600+1200+200</f>
        <v>6320</v>
      </c>
      <c r="F3">
        <f>600+600+600+600+360+600+480+1440</f>
        <v>5280</v>
      </c>
      <c r="G3">
        <f>360+480+360+480+480+600+480+250+720+360+600</f>
        <v>5170</v>
      </c>
      <c r="H3">
        <f>480+1080+720+600+600+1200+1650+1650</f>
        <v>7980</v>
      </c>
      <c r="I3">
        <f>240</f>
        <v>240</v>
      </c>
      <c r="J3">
        <f>300+600+600+600+720+600+360+300+600+480+360+600</f>
        <v>6120</v>
      </c>
      <c r="K3">
        <f>600+300+360+300+600+360+300+600+480+480+480+360</f>
        <v>5220</v>
      </c>
      <c r="L3">
        <f>360+840+1440+600</f>
        <v>3240</v>
      </c>
      <c r="M3">
        <f>480+480+360+1200+600+600</f>
        <v>3720</v>
      </c>
      <c r="N3">
        <f>600+360+550+390+1200</f>
        <v>3100</v>
      </c>
      <c r="O3">
        <f>600</f>
        <v>600</v>
      </c>
      <c r="Q3">
        <f>100+600+480+600+250+600</f>
        <v>2630</v>
      </c>
      <c r="R3">
        <f>600+600+600+1900+600</f>
        <v>4300</v>
      </c>
      <c r="S3">
        <f>500+480</f>
        <v>980</v>
      </c>
      <c r="T3">
        <f>600+1200+360+250</f>
        <v>2410</v>
      </c>
      <c r="U3">
        <f>600+600+600+600+200</f>
        <v>2600</v>
      </c>
      <c r="V3">
        <f>360</f>
        <v>360</v>
      </c>
      <c r="X3">
        <f>480</f>
        <v>480</v>
      </c>
      <c r="Y3">
        <f>600+500+1800+600+360+360+300</f>
        <v>4520</v>
      </c>
      <c r="Z3">
        <f>480+480+360+480+920+300+1200+600+960+600+600</f>
        <v>6980</v>
      </c>
      <c r="AA3">
        <f>300+200+960+360+180+360+480+480</f>
        <v>3320</v>
      </c>
      <c r="AB3">
        <f>1200+1360+480+600+360</f>
        <v>4000</v>
      </c>
      <c r="AC3">
        <f>600+480+960+210+480+350</f>
        <v>3080</v>
      </c>
      <c r="AD3">
        <f>160+280</f>
        <v>440</v>
      </c>
      <c r="AE3">
        <f>360+360+960+480+920+1200</f>
        <v>4280</v>
      </c>
      <c r="AF3">
        <f>360+1200+360+480+480+1200+360+600+360+720</f>
        <v>6120</v>
      </c>
      <c r="AG3">
        <f>SUM(B3:AF3)</f>
        <v>102800</v>
      </c>
      <c r="AH3">
        <f>1200+480+840+480+840+1080+840+480+480</f>
        <v>6720</v>
      </c>
      <c r="AI3">
        <f>300+480+369+600+360+100+480+1200+600+480+1100+380</f>
        <v>6449</v>
      </c>
      <c r="AJ3">
        <f>600+500+1200+700+500</f>
        <v>3500</v>
      </c>
      <c r="AK3">
        <f>600+380+360+300+600+1320+600+2750+300+100</f>
        <v>7310</v>
      </c>
      <c r="AL3">
        <f>480+480</f>
        <v>960</v>
      </c>
      <c r="AM3">
        <f>SUM(AG3:AL3)*(0.2)</f>
        <v>25547.800000000003</v>
      </c>
      <c r="AN3">
        <f>600+1200+1800+500+480+1200+300+1800+600+600+360-300</f>
        <v>9140</v>
      </c>
    </row>
    <row r="4" spans="1:45" x14ac:dyDescent="0.25">
      <c r="A4" t="s">
        <v>121</v>
      </c>
      <c r="B4">
        <v>100</v>
      </c>
      <c r="E4">
        <f>80+80</f>
        <v>160</v>
      </c>
      <c r="F4">
        <f>100+60+60</f>
        <v>220</v>
      </c>
      <c r="G4">
        <f>180</f>
        <v>180</v>
      </c>
      <c r="H4">
        <f>50</f>
        <v>50</v>
      </c>
      <c r="I4">
        <f>120</f>
        <v>120</v>
      </c>
      <c r="J4">
        <f>100</f>
        <v>100</v>
      </c>
      <c r="K4">
        <f>100+60</f>
        <v>160</v>
      </c>
      <c r="L4">
        <f>60</f>
        <v>60</v>
      </c>
      <c r="M4">
        <f>100+100+100+50+100+60+60</f>
        <v>570</v>
      </c>
      <c r="N4">
        <f>180</f>
        <v>180</v>
      </c>
      <c r="O4">
        <f>50+100+150+100+80+100+100+100+100</f>
        <v>880</v>
      </c>
      <c r="P4">
        <f>120+100+50+160+100</f>
        <v>530</v>
      </c>
      <c r="R4">
        <f>100+100</f>
        <v>200</v>
      </c>
      <c r="S4">
        <f>50+100+100+100+80+60+80+60+50+50</f>
        <v>730</v>
      </c>
      <c r="T4">
        <f>100+100+130</f>
        <v>330</v>
      </c>
      <c r="U4">
        <f>100+80+100+100+100+100+50+80</f>
        <v>710</v>
      </c>
      <c r="V4">
        <f>50+50+100+100+60+120</f>
        <v>480</v>
      </c>
      <c r="X4">
        <f>60+100+80+100+100+60+150</f>
        <v>650</v>
      </c>
      <c r="Y4">
        <f>80</f>
        <v>80</v>
      </c>
      <c r="AB4">
        <f>60+180</f>
        <v>240</v>
      </c>
      <c r="AC4">
        <v>60</v>
      </c>
      <c r="AE4">
        <f>60+150+50+50</f>
        <v>310</v>
      </c>
      <c r="AG4">
        <f t="shared" ref="AG4:AG11" si="0">SUM(B4:AF4)</f>
        <v>7100</v>
      </c>
      <c r="AH4">
        <v>160</v>
      </c>
      <c r="AJ4">
        <f>120+80+200</f>
        <v>400</v>
      </c>
      <c r="AM4">
        <f t="shared" ref="AM4:AM11" si="1">SUM(AG4:AL4)</f>
        <v>7660</v>
      </c>
    </row>
    <row r="5" spans="1:45" x14ac:dyDescent="0.25">
      <c r="A5" t="s">
        <v>120</v>
      </c>
      <c r="C5">
        <f>370+400+440</f>
        <v>1210</v>
      </c>
      <c r="D5">
        <f>680+2790+420</f>
        <v>3890</v>
      </c>
      <c r="E5">
        <f>830+500+120+500+50</f>
        <v>2000</v>
      </c>
      <c r="H5">
        <f>1170</f>
        <v>1170</v>
      </c>
      <c r="I5">
        <f>450+580+500</f>
        <v>1530</v>
      </c>
      <c r="J5">
        <f>840+1100+160</f>
        <v>2100</v>
      </c>
      <c r="K5">
        <f>200</f>
        <v>200</v>
      </c>
      <c r="L5">
        <f>340</f>
        <v>340</v>
      </c>
      <c r="M5">
        <f>690+180+160+1000+840</f>
        <v>2870</v>
      </c>
      <c r="O5">
        <f>250+380+250</f>
        <v>880</v>
      </c>
      <c r="Q5">
        <f>90+840</f>
        <v>930</v>
      </c>
      <c r="R5">
        <f>100+1300</f>
        <v>1400</v>
      </c>
      <c r="S5">
        <f>680+530+270+1230+240</f>
        <v>2950</v>
      </c>
      <c r="T5">
        <f>100</f>
        <v>100</v>
      </c>
      <c r="U5">
        <f>580</f>
        <v>580</v>
      </c>
      <c r="V5">
        <f>240+280</f>
        <v>520</v>
      </c>
      <c r="Y5">
        <f>600+160</f>
        <v>760</v>
      </c>
      <c r="Z5">
        <f>100+430</f>
        <v>530</v>
      </c>
      <c r="AA5">
        <f>600+160+380+80</f>
        <v>1220</v>
      </c>
      <c r="AB5">
        <f>360+840</f>
        <v>1200</v>
      </c>
      <c r="AC5">
        <f>150+200</f>
        <v>350</v>
      </c>
      <c r="AF5">
        <f>250</f>
        <v>250</v>
      </c>
      <c r="AG5">
        <f t="shared" si="0"/>
        <v>26980</v>
      </c>
      <c r="AH5">
        <v>500</v>
      </c>
      <c r="AK5">
        <v>300</v>
      </c>
      <c r="AM5">
        <f t="shared" si="1"/>
        <v>27780</v>
      </c>
      <c r="AN5">
        <f>760+640+480+80</f>
        <v>1960</v>
      </c>
    </row>
    <row r="6" spans="1:45" x14ac:dyDescent="0.25">
      <c r="A6" t="s">
        <v>122</v>
      </c>
      <c r="F6">
        <f>1040+16900+5000</f>
        <v>22940</v>
      </c>
      <c r="H6">
        <v>1400</v>
      </c>
      <c r="J6">
        <f>1800+540</f>
        <v>2340</v>
      </c>
      <c r="M6">
        <v>1750</v>
      </c>
      <c r="AG6">
        <f t="shared" si="0"/>
        <v>28430</v>
      </c>
      <c r="AJ6">
        <v>5150</v>
      </c>
      <c r="AM6">
        <f t="shared" si="1"/>
        <v>33580</v>
      </c>
    </row>
    <row r="7" spans="1:45" x14ac:dyDescent="0.25">
      <c r="AG7">
        <f t="shared" si="0"/>
        <v>0</v>
      </c>
      <c r="AM7">
        <f t="shared" si="1"/>
        <v>0</v>
      </c>
    </row>
    <row r="8" spans="1:45" x14ac:dyDescent="0.25">
      <c r="A8" t="s">
        <v>115</v>
      </c>
      <c r="C8">
        <v>3540</v>
      </c>
      <c r="D8">
        <f>17100+3000</f>
        <v>20100</v>
      </c>
      <c r="E8">
        <f>12408</f>
        <v>12408</v>
      </c>
      <c r="J8">
        <v>17000</v>
      </c>
      <c r="K8">
        <f>11500+3617</f>
        <v>15117</v>
      </c>
      <c r="M8">
        <v>22500</v>
      </c>
      <c r="S8">
        <v>15750</v>
      </c>
      <c r="V8">
        <f>22500+10000</f>
        <v>32500</v>
      </c>
      <c r="Y8">
        <f>3000+550+5293</f>
        <v>8843</v>
      </c>
      <c r="AB8">
        <v>15250</v>
      </c>
      <c r="AC8">
        <f>5880</f>
        <v>5880</v>
      </c>
      <c r="AE8">
        <f>22500</f>
        <v>22500</v>
      </c>
      <c r="AF8">
        <v>7600</v>
      </c>
      <c r="AG8">
        <f t="shared" si="0"/>
        <v>198988</v>
      </c>
      <c r="AH8">
        <f>5700</f>
        <v>5700</v>
      </c>
      <c r="AM8">
        <f t="shared" si="1"/>
        <v>204688</v>
      </c>
      <c r="AN8">
        <v>17700</v>
      </c>
    </row>
    <row r="9" spans="1:45" x14ac:dyDescent="0.25">
      <c r="A9" t="s">
        <v>116</v>
      </c>
      <c r="C9">
        <v>1000</v>
      </c>
      <c r="D9">
        <v>1000</v>
      </c>
      <c r="F9">
        <f>1000</f>
        <v>1000</v>
      </c>
      <c r="G9">
        <v>1000</v>
      </c>
      <c r="H9">
        <v>1000</v>
      </c>
      <c r="I9">
        <v>1000</v>
      </c>
      <c r="J9">
        <f>1000</f>
        <v>1000</v>
      </c>
      <c r="K9">
        <v>1000</v>
      </c>
      <c r="L9">
        <v>1000</v>
      </c>
      <c r="N9">
        <v>9000</v>
      </c>
      <c r="O9">
        <v>1500</v>
      </c>
      <c r="Q9">
        <v>1000</v>
      </c>
      <c r="R9">
        <v>100</v>
      </c>
      <c r="S9">
        <v>1000</v>
      </c>
      <c r="T9">
        <v>1000</v>
      </c>
      <c r="V9">
        <v>1000</v>
      </c>
      <c r="Y9">
        <v>1000</v>
      </c>
      <c r="Z9">
        <v>1000</v>
      </c>
      <c r="AB9">
        <v>1000</v>
      </c>
      <c r="AC9">
        <v>1000</v>
      </c>
      <c r="AE9">
        <v>1000</v>
      </c>
      <c r="AF9">
        <v>2000</v>
      </c>
      <c r="AG9">
        <f t="shared" si="0"/>
        <v>30600</v>
      </c>
      <c r="AH9">
        <v>1000</v>
      </c>
      <c r="AI9">
        <v>1000</v>
      </c>
      <c r="AJ9">
        <v>1000</v>
      </c>
      <c r="AL9">
        <v>1500</v>
      </c>
      <c r="AM9">
        <f t="shared" si="1"/>
        <v>35100</v>
      </c>
      <c r="AN9">
        <v>1000</v>
      </c>
    </row>
    <row r="10" spans="1:45" x14ac:dyDescent="0.25">
      <c r="A10" t="s">
        <v>117</v>
      </c>
      <c r="C10">
        <v>1000</v>
      </c>
      <c r="D10">
        <v>2500</v>
      </c>
      <c r="E10">
        <v>2200</v>
      </c>
      <c r="F10">
        <f>2000</f>
        <v>2000</v>
      </c>
      <c r="H10">
        <v>200</v>
      </c>
      <c r="I10">
        <v>1500</v>
      </c>
      <c r="K10">
        <f>250+500+1000</f>
        <v>1750</v>
      </c>
      <c r="L10">
        <f>2200+550+1500+400</f>
        <v>4650</v>
      </c>
      <c r="M10">
        <v>2500</v>
      </c>
      <c r="N10">
        <v>1000</v>
      </c>
      <c r="O10">
        <f>1500+750</f>
        <v>2250</v>
      </c>
      <c r="S10">
        <f>2200+480+1500+1000</f>
        <v>5180</v>
      </c>
      <c r="T10">
        <f>2700</f>
        <v>2700</v>
      </c>
      <c r="V10">
        <v>300</v>
      </c>
      <c r="X10">
        <v>700</v>
      </c>
      <c r="Y10">
        <v>500</v>
      </c>
      <c r="Z10">
        <f>650+1100</f>
        <v>1750</v>
      </c>
      <c r="AA10">
        <v>2000</v>
      </c>
      <c r="AB10">
        <f>300</f>
        <v>300</v>
      </c>
      <c r="AC10">
        <v>500</v>
      </c>
      <c r="AE10">
        <v>2000</v>
      </c>
      <c r="AF10">
        <v>1000</v>
      </c>
      <c r="AG10">
        <f t="shared" si="0"/>
        <v>38480</v>
      </c>
      <c r="AH10">
        <f>800+1100+1500</f>
        <v>3400</v>
      </c>
      <c r="AK10">
        <f>500+620</f>
        <v>1120</v>
      </c>
      <c r="AL10">
        <f>520</f>
        <v>520</v>
      </c>
      <c r="AM10">
        <f t="shared" si="1"/>
        <v>43520</v>
      </c>
      <c r="AN10">
        <v>650</v>
      </c>
    </row>
    <row r="11" spans="1:45" x14ac:dyDescent="0.25">
      <c r="A11" t="s">
        <v>118</v>
      </c>
      <c r="D11">
        <v>4000</v>
      </c>
      <c r="F11">
        <f>16900+5000+10000</f>
        <v>31900</v>
      </c>
      <c r="J11">
        <f>3000+8000</f>
        <v>11000</v>
      </c>
      <c r="K11">
        <v>10000</v>
      </c>
      <c r="S11">
        <v>23000</v>
      </c>
      <c r="AB11">
        <v>5000</v>
      </c>
      <c r="AC11">
        <f>10000+5000</f>
        <v>15000</v>
      </c>
      <c r="AF11">
        <v>3000</v>
      </c>
      <c r="AG11">
        <f t="shared" si="0"/>
        <v>102900</v>
      </c>
      <c r="AK11">
        <v>5000</v>
      </c>
      <c r="AM11">
        <f t="shared" si="1"/>
        <v>107900</v>
      </c>
      <c r="AN11">
        <f>2000+10000+3000</f>
        <v>15000</v>
      </c>
    </row>
    <row r="12" spans="1:45" x14ac:dyDescent="0.25">
      <c r="A12" t="s">
        <v>119</v>
      </c>
      <c r="B12">
        <v>32730</v>
      </c>
      <c r="E12">
        <v>46050</v>
      </c>
    </row>
    <row r="14" spans="1:45" x14ac:dyDescent="0.25">
      <c r="A14" t="s">
        <v>124</v>
      </c>
      <c r="AG14">
        <f>SUM(AG2:AG6)-SUM(AG8:AG11)</f>
        <v>107722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articulos</vt:lpstr>
      <vt:lpstr>inventario 1-12</vt:lpstr>
      <vt:lpstr>Hoja6</vt:lpstr>
      <vt:lpstr>Hoja5</vt:lpstr>
      <vt:lpstr>Hoja4</vt:lpstr>
      <vt:lpstr>Hoja2</vt:lpstr>
      <vt:lpstr>Hoja1</vt:lpstr>
      <vt:lpstr>volumen liquidos</vt:lpstr>
      <vt:lpstr>balances mensuales</vt:lpstr>
      <vt:lpstr>Hoja3</vt:lpstr>
      <vt:lpstr>ultimos 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Miranda</dc:creator>
  <cp:lastModifiedBy>Joaquin Miranda</cp:lastModifiedBy>
  <cp:lastPrinted>2023-12-12T11:42:32Z</cp:lastPrinted>
  <dcterms:created xsi:type="dcterms:W3CDTF">2015-06-05T18:19:34Z</dcterms:created>
  <dcterms:modified xsi:type="dcterms:W3CDTF">2023-12-13T03:39:50Z</dcterms:modified>
</cp:coreProperties>
</file>