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imurali/Desktop/MIT 1.020/Final Project/"/>
    </mc:Choice>
  </mc:AlternateContent>
  <xr:revisionPtr revIDLastSave="0" documentId="13_ncr:1_{14B6C593-ECC5-FC4F-895D-AF0804337ADA}" xr6:coauthVersionLast="46" xr6:coauthVersionMax="46" xr10:uidLastSave="{00000000-0000-0000-0000-000000000000}"/>
  <bookViews>
    <workbookView xWindow="1500" yWindow="500" windowWidth="26440" windowHeight="15700" activeTab="2" xr2:uid="{B379B0E9-4336-D94F-8A70-062857CD1312}"/>
  </bookViews>
  <sheets>
    <sheet name="Layout 1" sheetId="4" r:id="rId1"/>
    <sheet name="Layout 2" sheetId="3" r:id="rId2"/>
    <sheet name="Layout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D7" i="4"/>
  <c r="G11" i="5"/>
  <c r="D6" i="5"/>
  <c r="E4" i="5"/>
  <c r="D4" i="5"/>
  <c r="B20" i="5"/>
  <c r="C20" i="5"/>
  <c r="D20" i="5"/>
  <c r="D23" i="5" s="1"/>
  <c r="C23" i="5"/>
  <c r="E20" i="5" s="1"/>
  <c r="B23" i="5"/>
  <c r="B26" i="5"/>
  <c r="E8" i="5" s="1"/>
  <c r="E26" i="5"/>
  <c r="G9" i="5"/>
  <c r="E9" i="5"/>
  <c r="D7" i="5"/>
  <c r="D5" i="5"/>
  <c r="G11" i="4"/>
  <c r="E11" i="4"/>
  <c r="D6" i="4"/>
  <c r="D5" i="4"/>
  <c r="D4" i="4"/>
  <c r="E20" i="4"/>
  <c r="D20" i="4"/>
  <c r="C20" i="4"/>
  <c r="B20" i="4"/>
  <c r="D23" i="4"/>
  <c r="C23" i="4"/>
  <c r="B23" i="4"/>
  <c r="B26" i="4"/>
  <c r="E8" i="4" s="1"/>
  <c r="E26" i="4"/>
  <c r="E7" i="3"/>
  <c r="D7" i="3"/>
  <c r="E6" i="3"/>
  <c r="E4" i="3"/>
  <c r="E5" i="3"/>
  <c r="B20" i="3"/>
  <c r="D5" i="3"/>
  <c r="B23" i="3"/>
  <c r="E10" i="3"/>
  <c r="G11" i="3"/>
  <c r="D23" i="3"/>
  <c r="D20" i="3"/>
  <c r="C20" i="3"/>
  <c r="C23" i="3"/>
  <c r="E20" i="3" s="1"/>
  <c r="E9" i="3"/>
  <c r="G9" i="3" s="1"/>
  <c r="E8" i="3"/>
  <c r="B26" i="3"/>
  <c r="D6" i="3"/>
  <c r="D4" i="3"/>
  <c r="E26" i="3"/>
  <c r="G8" i="3"/>
  <c r="G4" i="5" l="1"/>
  <c r="G8" i="5"/>
  <c r="E6" i="5"/>
  <c r="G6" i="5" s="1"/>
  <c r="E10" i="5"/>
  <c r="G10" i="5" s="1"/>
  <c r="E5" i="5"/>
  <c r="G5" i="5" s="1"/>
  <c r="E7" i="5"/>
  <c r="G7" i="5" s="1"/>
  <c r="E4" i="4"/>
  <c r="G4" i="4" s="1"/>
  <c r="G8" i="4"/>
  <c r="E6" i="4"/>
  <c r="G6" i="4" s="1"/>
  <c r="E9" i="4"/>
  <c r="E10" i="4"/>
  <c r="G10" i="4" s="1"/>
  <c r="E5" i="4"/>
  <c r="G5" i="4" s="1"/>
  <c r="G7" i="4"/>
  <c r="G9" i="4"/>
  <c r="G5" i="3"/>
  <c r="G4" i="3"/>
  <c r="G10" i="3"/>
  <c r="G7" i="3"/>
  <c r="G6" i="3"/>
  <c r="G12" i="5" l="1"/>
  <c r="G15" i="5" s="1"/>
  <c r="G16" i="5" s="1"/>
  <c r="G12" i="4"/>
  <c r="G15" i="4" s="1"/>
  <c r="G16" i="4" s="1"/>
  <c r="G12" i="3"/>
  <c r="G15" i="3" s="1"/>
  <c r="G16" i="3" s="1"/>
</calcChain>
</file>

<file path=xl/sharedStrings.xml><?xml version="1.0" encoding="utf-8"?>
<sst xmlns="http://schemas.openxmlformats.org/spreadsheetml/2006/main" count="159" uniqueCount="53">
  <si>
    <t>Building element</t>
  </si>
  <si>
    <t>Material</t>
  </si>
  <si>
    <t>Thickness [m] </t>
  </si>
  <si>
    <t>RSI-value</t>
  </si>
  <si>
    <r>
      <t>[m</t>
    </r>
    <r>
      <rPr>
        <b/>
        <vertAlign val="superscript"/>
        <sz val="7.2"/>
        <color rgb="FF000000"/>
        <rFont val="Arial"/>
        <family val="2"/>
      </rPr>
      <t>2</t>
    </r>
    <r>
      <rPr>
        <b/>
        <sz val="11"/>
        <color rgb="FF000000"/>
        <rFont val="Arial"/>
        <family val="2"/>
      </rPr>
      <t xml:space="preserve"> K W</t>
    </r>
    <r>
      <rPr>
        <b/>
        <vertAlign val="superscript"/>
        <sz val="7.2"/>
        <color rgb="FF000000"/>
        <rFont val="Arial"/>
        <family val="2"/>
      </rPr>
      <t>-1</t>
    </r>
    <r>
      <rPr>
        <b/>
        <sz val="11"/>
        <color rgb="FF000000"/>
        <rFont val="Arial"/>
        <family val="2"/>
      </rPr>
      <t>] </t>
    </r>
  </si>
  <si>
    <t>Quantity </t>
  </si>
  <si>
    <r>
      <t>[m</t>
    </r>
    <r>
      <rPr>
        <b/>
        <vertAlign val="superscript"/>
        <sz val="7.2"/>
        <color rgb="FF000000"/>
        <rFont val="Arial"/>
        <family val="2"/>
      </rPr>
      <t>2</t>
    </r>
    <r>
      <rPr>
        <b/>
        <sz val="11"/>
        <color rgb="FF000000"/>
        <rFont val="Arial"/>
        <family val="2"/>
      </rPr>
      <t>]</t>
    </r>
  </si>
  <si>
    <r>
      <t>[m</t>
    </r>
    <r>
      <rPr>
        <b/>
        <vertAlign val="superscript"/>
        <sz val="7.2"/>
        <color rgb="FF000000"/>
        <rFont val="Arial"/>
        <family val="2"/>
      </rPr>
      <t>3</t>
    </r>
    <r>
      <rPr>
        <b/>
        <sz val="11"/>
        <color rgb="FF000000"/>
        <rFont val="Arial"/>
        <family val="2"/>
      </rPr>
      <t xml:space="preserve"> for walls and insulation]</t>
    </r>
  </si>
  <si>
    <t>Cost per unit </t>
  </si>
  <si>
    <r>
      <t>[$ m</t>
    </r>
    <r>
      <rPr>
        <b/>
        <vertAlign val="superscript"/>
        <sz val="7.2"/>
        <color rgb="FF000000"/>
        <rFont val="Arial"/>
        <family val="2"/>
      </rPr>
      <t>-2</t>
    </r>
    <r>
      <rPr>
        <b/>
        <sz val="11"/>
        <color rgb="FF000000"/>
        <rFont val="Arial"/>
        <family val="2"/>
      </rPr>
      <t>]</t>
    </r>
  </si>
  <si>
    <r>
      <t>[$ m</t>
    </r>
    <r>
      <rPr>
        <b/>
        <vertAlign val="superscript"/>
        <sz val="7.2"/>
        <color rgb="FF000000"/>
        <rFont val="Arial"/>
        <family val="2"/>
      </rPr>
      <t>-3</t>
    </r>
    <r>
      <rPr>
        <b/>
        <sz val="11"/>
        <color rgb="FF000000"/>
        <rFont val="Arial"/>
        <family val="2"/>
      </rPr>
      <t xml:space="preserve"> for walls and insulation]</t>
    </r>
  </si>
  <si>
    <t>Total Cost [$]</t>
  </si>
  <si>
    <t>Exterior walls</t>
  </si>
  <si>
    <t>Concrete</t>
  </si>
  <si>
    <t>Interior walls</t>
  </si>
  <si>
    <t>Insulation</t>
  </si>
  <si>
    <t>Fiberglass</t>
  </si>
  <si>
    <t>Roofing</t>
  </si>
  <si>
    <t>Asphalt shingles</t>
  </si>
  <si>
    <t>N/A</t>
  </si>
  <si>
    <t>Floors</t>
  </si>
  <si>
    <t>Tile</t>
  </si>
  <si>
    <t>Windows</t>
  </si>
  <si>
    <t>Single-pane</t>
  </si>
  <si>
    <t>Doors</t>
  </si>
  <si>
    <t>Wood</t>
  </si>
  <si>
    <t>exterior wall area</t>
  </si>
  <si>
    <t>window area</t>
  </si>
  <si>
    <t>exterior door area</t>
  </si>
  <si>
    <t>interior walls</t>
  </si>
  <si>
    <t>exterior walls</t>
  </si>
  <si>
    <t>Ceiling</t>
  </si>
  <si>
    <t>interior door area</t>
  </si>
  <si>
    <t>Wood shingles</t>
  </si>
  <si>
    <t>Double-pane</t>
  </si>
  <si>
    <t>varies</t>
  </si>
  <si>
    <t>Heating</t>
  </si>
  <si>
    <t>Cooling</t>
  </si>
  <si>
    <t>Total</t>
  </si>
  <si>
    <t>Total w/ heating and cooling</t>
  </si>
  <si>
    <t>Total w/ land area</t>
  </si>
  <si>
    <t>Land cod</t>
  </si>
  <si>
    <t>Total building area</t>
  </si>
  <si>
    <t>cost per parcel</t>
  </si>
  <si>
    <t>Number of parcels</t>
  </si>
  <si>
    <t>Total land cost</t>
  </si>
  <si>
    <t>Foam</t>
  </si>
  <si>
    <t>Gypsum (drywall)</t>
  </si>
  <si>
    <t>Brick</t>
  </si>
  <si>
    <t>Hardwood</t>
  </si>
  <si>
    <t>Interior wall area</t>
  </si>
  <si>
    <t>Plywood</t>
  </si>
  <si>
    <t>Carpet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</si>
</sst>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7.2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164" fontId="0" fillId="0" borderId="3" xfId="0" applyNumberFormat="1" applyBorder="1"/>
    <xf numFmtId="0" fontId="3" fillId="0" borderId="4" xfId="0" applyFont="1" applyBorder="1"/>
    <xf numFmtId="0" fontId="3" fillId="0" borderId="0" xfId="0" applyFont="1" applyBorder="1"/>
    <xf numFmtId="0" fontId="0" fillId="0" borderId="0" xfId="0" applyBorder="1"/>
    <xf numFmtId="164" fontId="0" fillId="0" borderId="5" xfId="0" applyNumberFormat="1" applyBorder="1"/>
    <xf numFmtId="0" fontId="3" fillId="0" borderId="6" xfId="0" applyFont="1" applyBorder="1"/>
    <xf numFmtId="0" fontId="3" fillId="0" borderId="7" xfId="0" applyFont="1" applyBorder="1"/>
    <xf numFmtId="164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164" fontId="0" fillId="0" borderId="7" xfId="0" applyNumberForma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7A2A-F6F7-D84C-9870-07C42CFE3FC7}">
  <dimension ref="A1:G26"/>
  <sheetViews>
    <sheetView workbookViewId="0">
      <selection activeCell="B31" sqref="B31"/>
    </sheetView>
  </sheetViews>
  <sheetFormatPr baseColWidth="10" defaultRowHeight="16" x14ac:dyDescent="0.2"/>
  <cols>
    <col min="1" max="1" width="17.33203125" customWidth="1"/>
    <col min="2" max="2" width="18" customWidth="1"/>
    <col min="3" max="3" width="12.6640625" customWidth="1"/>
    <col min="4" max="4" width="18.33203125" customWidth="1"/>
    <col min="5" max="5" width="20.33203125" customWidth="1"/>
    <col min="6" max="6" width="26.1640625" customWidth="1"/>
    <col min="7" max="7" width="20" customWidth="1"/>
  </cols>
  <sheetData>
    <row r="1" spans="1:7" s="20" customFormat="1" x14ac:dyDescent="0.2">
      <c r="A1" s="22" t="s">
        <v>0</v>
      </c>
      <c r="B1" s="22" t="s">
        <v>1</v>
      </c>
      <c r="C1" s="22" t="s">
        <v>2</v>
      </c>
      <c r="D1" s="21" t="s">
        <v>3</v>
      </c>
      <c r="E1" s="21" t="s">
        <v>5</v>
      </c>
      <c r="F1" s="21" t="s">
        <v>8</v>
      </c>
      <c r="G1" s="22" t="s">
        <v>11</v>
      </c>
    </row>
    <row r="2" spans="1:7" s="20" customFormat="1" x14ac:dyDescent="0.2">
      <c r="A2" s="22"/>
      <c r="B2" s="22"/>
      <c r="C2" s="22"/>
      <c r="D2" s="21" t="s">
        <v>4</v>
      </c>
      <c r="E2" s="21" t="s">
        <v>6</v>
      </c>
      <c r="F2" s="21" t="s">
        <v>9</v>
      </c>
      <c r="G2" s="22"/>
    </row>
    <row r="3" spans="1:7" s="20" customFormat="1" ht="31" x14ac:dyDescent="0.2">
      <c r="A3" s="22"/>
      <c r="B3" s="22"/>
      <c r="C3" s="22"/>
      <c r="E3" s="21" t="s">
        <v>7</v>
      </c>
      <c r="F3" s="21" t="s">
        <v>10</v>
      </c>
      <c r="G3" s="22"/>
    </row>
    <row r="4" spans="1:7" x14ac:dyDescent="0.2">
      <c r="A4" s="2" t="s">
        <v>12</v>
      </c>
      <c r="B4" s="3" t="s">
        <v>13</v>
      </c>
      <c r="C4" s="3">
        <v>0.3</v>
      </c>
      <c r="D4" s="3">
        <f>C4*7.1</f>
        <v>2.13</v>
      </c>
      <c r="E4" s="3">
        <f>(B23-C23-D23)*C4</f>
        <v>49.199999999999996</v>
      </c>
      <c r="F4" s="3">
        <v>200</v>
      </c>
      <c r="G4" s="4">
        <f>E4*F4</f>
        <v>9840</v>
      </c>
    </row>
    <row r="5" spans="1:7" x14ac:dyDescent="0.2">
      <c r="A5" s="5" t="s">
        <v>14</v>
      </c>
      <c r="B5" s="6" t="s">
        <v>13</v>
      </c>
      <c r="C5" s="6">
        <v>0.2</v>
      </c>
      <c r="D5" s="6">
        <f>C5*7.1</f>
        <v>1.42</v>
      </c>
      <c r="E5" s="7">
        <f>(B20-C20-D20-E20)*C5</f>
        <v>96.4</v>
      </c>
      <c r="F5" s="6">
        <v>200</v>
      </c>
      <c r="G5" s="8">
        <f t="shared" ref="G5:G10" si="0">E5*F5</f>
        <v>19280</v>
      </c>
    </row>
    <row r="6" spans="1:7" x14ac:dyDescent="0.2">
      <c r="A6" s="5" t="s">
        <v>31</v>
      </c>
      <c r="B6" s="6" t="s">
        <v>13</v>
      </c>
      <c r="C6" s="6">
        <v>0.1</v>
      </c>
      <c r="D6" s="6">
        <f>C6*7.1</f>
        <v>0.71</v>
      </c>
      <c r="E6" s="7">
        <f>E8*C6</f>
        <v>33</v>
      </c>
      <c r="F6" s="6">
        <v>200</v>
      </c>
      <c r="G6" s="8">
        <f t="shared" si="0"/>
        <v>6600</v>
      </c>
    </row>
    <row r="7" spans="1:7" x14ac:dyDescent="0.2">
      <c r="A7" s="5" t="s">
        <v>15</v>
      </c>
      <c r="B7" s="6" t="s">
        <v>16</v>
      </c>
      <c r="C7" s="6">
        <v>0.3</v>
      </c>
      <c r="D7" s="6">
        <f>C7*20</f>
        <v>6</v>
      </c>
      <c r="E7" s="7">
        <f>(E9*C7)+((B20-C20-D20-E20)*C7)+((B23-C23-D23)*C7)</f>
        <v>292.8</v>
      </c>
      <c r="F7" s="6">
        <v>40</v>
      </c>
      <c r="G7" s="8">
        <f t="shared" si="0"/>
        <v>11712</v>
      </c>
    </row>
    <row r="8" spans="1:7" x14ac:dyDescent="0.2">
      <c r="A8" s="5" t="s">
        <v>17</v>
      </c>
      <c r="B8" s="6" t="s">
        <v>18</v>
      </c>
      <c r="C8" s="6" t="s">
        <v>19</v>
      </c>
      <c r="D8" s="6">
        <v>3.6</v>
      </c>
      <c r="E8" s="6">
        <f>B26</f>
        <v>330</v>
      </c>
      <c r="F8" s="6">
        <v>30</v>
      </c>
      <c r="G8" s="8">
        <f t="shared" si="0"/>
        <v>9900</v>
      </c>
    </row>
    <row r="9" spans="1:7" x14ac:dyDescent="0.2">
      <c r="A9" s="5" t="s">
        <v>20</v>
      </c>
      <c r="B9" s="6" t="s">
        <v>21</v>
      </c>
      <c r="C9" s="6" t="s">
        <v>19</v>
      </c>
      <c r="D9" s="6">
        <v>2.5</v>
      </c>
      <c r="E9" s="6">
        <f>B26</f>
        <v>330</v>
      </c>
      <c r="F9" s="6">
        <v>20</v>
      </c>
      <c r="G9" s="8">
        <f t="shared" si="0"/>
        <v>6600</v>
      </c>
    </row>
    <row r="10" spans="1:7" x14ac:dyDescent="0.2">
      <c r="A10" s="5" t="s">
        <v>22</v>
      </c>
      <c r="B10" s="6" t="s">
        <v>23</v>
      </c>
      <c r="C10" s="6" t="s">
        <v>19</v>
      </c>
      <c r="D10" s="6">
        <v>6.5</v>
      </c>
      <c r="E10" s="6">
        <f>E20</f>
        <v>50</v>
      </c>
      <c r="F10" s="6">
        <v>100</v>
      </c>
      <c r="G10" s="8">
        <f t="shared" si="0"/>
        <v>5000</v>
      </c>
    </row>
    <row r="11" spans="1:7" x14ac:dyDescent="0.2">
      <c r="A11" s="9" t="s">
        <v>24</v>
      </c>
      <c r="B11" s="10" t="s">
        <v>25</v>
      </c>
      <c r="C11" s="10" t="s">
        <v>19</v>
      </c>
      <c r="D11" s="10">
        <v>14</v>
      </c>
      <c r="E11" s="10">
        <f>C20+D20</f>
        <v>26</v>
      </c>
      <c r="F11" s="10">
        <v>120</v>
      </c>
      <c r="G11" s="11">
        <f>E11*F11</f>
        <v>3120</v>
      </c>
    </row>
    <row r="12" spans="1:7" x14ac:dyDescent="0.2">
      <c r="F12" t="s">
        <v>38</v>
      </c>
      <c r="G12" s="1">
        <f>SUM(G4:G11)</f>
        <v>72052</v>
      </c>
    </row>
    <row r="13" spans="1:7" x14ac:dyDescent="0.2">
      <c r="F13" t="s">
        <v>36</v>
      </c>
      <c r="G13" s="1">
        <v>80000</v>
      </c>
    </row>
    <row r="14" spans="1:7" x14ac:dyDescent="0.2">
      <c r="F14" t="s">
        <v>37</v>
      </c>
      <c r="G14" s="1">
        <v>100000</v>
      </c>
    </row>
    <row r="15" spans="1:7" x14ac:dyDescent="0.2">
      <c r="F15" t="s">
        <v>39</v>
      </c>
      <c r="G15" s="1">
        <f>G12+G13+G14</f>
        <v>252052</v>
      </c>
    </row>
    <row r="16" spans="1:7" x14ac:dyDescent="0.2">
      <c r="F16" t="s">
        <v>40</v>
      </c>
      <c r="G16" s="1">
        <f>G15+E26</f>
        <v>452052</v>
      </c>
    </row>
    <row r="19" spans="1:5" x14ac:dyDescent="0.2">
      <c r="A19" s="12"/>
      <c r="B19" s="3" t="s">
        <v>50</v>
      </c>
      <c r="C19" s="3" t="s">
        <v>32</v>
      </c>
      <c r="D19" s="13" t="s">
        <v>28</v>
      </c>
      <c r="E19" s="14" t="s">
        <v>27</v>
      </c>
    </row>
    <row r="20" spans="1:5" x14ac:dyDescent="0.2">
      <c r="A20" s="9" t="s">
        <v>29</v>
      </c>
      <c r="B20" s="15">
        <f>((8+8+5+5)+(8+8+5+5)+(12+12+10+10)+(6+6+10+10)+(6+6+5+5)+(4+4+4+4)+(4+4+6+6))*3</f>
        <v>558</v>
      </c>
      <c r="C20" s="15">
        <f>(1+1+1+2+1+1+1+1)*2</f>
        <v>18</v>
      </c>
      <c r="D20" s="15">
        <f>D23</f>
        <v>8</v>
      </c>
      <c r="E20" s="16">
        <f>C23</f>
        <v>50</v>
      </c>
    </row>
    <row r="22" spans="1:5" x14ac:dyDescent="0.2">
      <c r="A22" s="12"/>
      <c r="B22" s="13" t="s">
        <v>26</v>
      </c>
      <c r="C22" s="13" t="s">
        <v>27</v>
      </c>
      <c r="D22" s="14" t="s">
        <v>28</v>
      </c>
    </row>
    <row r="23" spans="1:5" x14ac:dyDescent="0.2">
      <c r="A23" s="17" t="s">
        <v>30</v>
      </c>
      <c r="B23" s="15">
        <f>(15+15+22+22)*3</f>
        <v>222</v>
      </c>
      <c r="C23" s="15">
        <f>(2+2+2+2+2+4+4+2+2.5+2.5)*2</f>
        <v>50</v>
      </c>
      <c r="D23" s="16">
        <f>(2+1+1)*2</f>
        <v>8</v>
      </c>
    </row>
    <row r="25" spans="1:5" x14ac:dyDescent="0.2">
      <c r="A25" s="12"/>
      <c r="B25" s="13" t="s">
        <v>42</v>
      </c>
      <c r="C25" s="13" t="s">
        <v>43</v>
      </c>
      <c r="D25" s="13" t="s">
        <v>44</v>
      </c>
      <c r="E25" s="14" t="s">
        <v>45</v>
      </c>
    </row>
    <row r="26" spans="1:5" x14ac:dyDescent="0.2">
      <c r="A26" s="17" t="s">
        <v>41</v>
      </c>
      <c r="B26" s="15">
        <f>15*22</f>
        <v>330</v>
      </c>
      <c r="C26" s="18">
        <v>50000</v>
      </c>
      <c r="D26" s="15">
        <v>4</v>
      </c>
      <c r="E26" s="11">
        <f>C26*D26</f>
        <v>200000</v>
      </c>
    </row>
  </sheetData>
  <mergeCells count="4">
    <mergeCell ref="A1:A3"/>
    <mergeCell ref="B1:B3"/>
    <mergeCell ref="C1:C3"/>
    <mergeCell ref="G1:G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4440-CE6E-724F-B9E5-5FC656E94569}">
  <dimension ref="A1:G26"/>
  <sheetViews>
    <sheetView workbookViewId="0">
      <selection activeCell="E7" sqref="E7"/>
    </sheetView>
  </sheetViews>
  <sheetFormatPr baseColWidth="10" defaultRowHeight="16" x14ac:dyDescent="0.2"/>
  <cols>
    <col min="1" max="1" width="17.33203125" customWidth="1"/>
    <col min="2" max="2" width="18" customWidth="1"/>
    <col min="3" max="3" width="12.6640625" customWidth="1"/>
    <col min="4" max="4" width="18.33203125" customWidth="1"/>
    <col min="5" max="5" width="20.33203125" customWidth="1"/>
    <col min="6" max="6" width="26.1640625" customWidth="1"/>
    <col min="7" max="7" width="20" customWidth="1"/>
  </cols>
  <sheetData>
    <row r="1" spans="1:7" s="20" customFormat="1" x14ac:dyDescent="0.2">
      <c r="A1" s="22" t="s">
        <v>0</v>
      </c>
      <c r="B1" s="22" t="s">
        <v>1</v>
      </c>
      <c r="C1" s="22" t="s">
        <v>2</v>
      </c>
      <c r="D1" s="19" t="s">
        <v>3</v>
      </c>
      <c r="E1" s="19" t="s">
        <v>5</v>
      </c>
      <c r="F1" s="19" t="s">
        <v>8</v>
      </c>
      <c r="G1" s="22" t="s">
        <v>11</v>
      </c>
    </row>
    <row r="2" spans="1:7" s="20" customFormat="1" x14ac:dyDescent="0.2">
      <c r="A2" s="22"/>
      <c r="B2" s="22"/>
      <c r="C2" s="22"/>
      <c r="D2" s="19" t="s">
        <v>4</v>
      </c>
      <c r="E2" s="19" t="s">
        <v>6</v>
      </c>
      <c r="F2" s="19" t="s">
        <v>9</v>
      </c>
      <c r="G2" s="22"/>
    </row>
    <row r="3" spans="1:7" s="20" customFormat="1" ht="31" x14ac:dyDescent="0.2">
      <c r="A3" s="22"/>
      <c r="B3" s="22"/>
      <c r="C3" s="22"/>
      <c r="E3" s="19" t="s">
        <v>7</v>
      </c>
      <c r="F3" s="19" t="s">
        <v>10</v>
      </c>
      <c r="G3" s="22"/>
    </row>
    <row r="4" spans="1:7" x14ac:dyDescent="0.2">
      <c r="A4" s="2" t="s">
        <v>12</v>
      </c>
      <c r="B4" s="3" t="s">
        <v>48</v>
      </c>
      <c r="C4" s="3">
        <v>0.5</v>
      </c>
      <c r="D4" s="3">
        <f>C4*1.5</f>
        <v>0.75</v>
      </c>
      <c r="E4" s="3">
        <f>(B23-C23-D23)*C4</f>
        <v>84</v>
      </c>
      <c r="F4" s="3">
        <v>392</v>
      </c>
      <c r="G4" s="4">
        <f>E4*F4</f>
        <v>32928</v>
      </c>
    </row>
    <row r="5" spans="1:7" x14ac:dyDescent="0.2">
      <c r="A5" s="5" t="s">
        <v>14</v>
      </c>
      <c r="B5" s="6" t="s">
        <v>47</v>
      </c>
      <c r="C5" s="6">
        <v>0.3</v>
      </c>
      <c r="D5" s="6">
        <f>C5*8.75</f>
        <v>2.625</v>
      </c>
      <c r="E5" s="7">
        <f>(B20-C20-D20-E20)*C5</f>
        <v>151.19999999999999</v>
      </c>
      <c r="F5" s="6">
        <v>600</v>
      </c>
      <c r="G5" s="8">
        <f t="shared" ref="G5:G10" si="0">E5*F5</f>
        <v>90720</v>
      </c>
    </row>
    <row r="6" spans="1:7" x14ac:dyDescent="0.2">
      <c r="A6" s="5" t="s">
        <v>31</v>
      </c>
      <c r="B6" s="6" t="s">
        <v>47</v>
      </c>
      <c r="C6" s="6">
        <v>0.3</v>
      </c>
      <c r="D6" s="6">
        <f>C6*6.02</f>
        <v>1.8059999999999998</v>
      </c>
      <c r="E6" s="7">
        <f>E8*C6</f>
        <v>108</v>
      </c>
      <c r="F6" s="6">
        <v>600</v>
      </c>
      <c r="G6" s="8">
        <f t="shared" si="0"/>
        <v>64800</v>
      </c>
    </row>
    <row r="7" spans="1:7" x14ac:dyDescent="0.2">
      <c r="A7" s="5" t="s">
        <v>15</v>
      </c>
      <c r="B7" s="6" t="s">
        <v>46</v>
      </c>
      <c r="C7" s="6">
        <v>0.3</v>
      </c>
      <c r="D7" s="6">
        <f>C7*30</f>
        <v>9</v>
      </c>
      <c r="E7" s="7">
        <f>(E9*C7)+((B20-C20-D20-E20)*C7)+((B23-C23-D23)*C7)</f>
        <v>309.59999999999997</v>
      </c>
      <c r="F7" s="6">
        <v>200</v>
      </c>
      <c r="G7" s="8">
        <f t="shared" si="0"/>
        <v>61919.999999999993</v>
      </c>
    </row>
    <row r="8" spans="1:7" x14ac:dyDescent="0.2">
      <c r="A8" s="5" t="s">
        <v>17</v>
      </c>
      <c r="B8" s="6" t="s">
        <v>33</v>
      </c>
      <c r="C8" s="6" t="s">
        <v>19</v>
      </c>
      <c r="D8" s="6">
        <v>7</v>
      </c>
      <c r="E8" s="6">
        <f>B26</f>
        <v>360</v>
      </c>
      <c r="F8" s="6">
        <v>40</v>
      </c>
      <c r="G8" s="8">
        <f t="shared" si="0"/>
        <v>14400</v>
      </c>
    </row>
    <row r="9" spans="1:7" x14ac:dyDescent="0.2">
      <c r="A9" s="5" t="s">
        <v>20</v>
      </c>
      <c r="B9" s="6" t="s">
        <v>49</v>
      </c>
      <c r="C9" s="6" t="s">
        <v>19</v>
      </c>
      <c r="D9" s="6">
        <v>4</v>
      </c>
      <c r="E9" s="6">
        <f>B26</f>
        <v>360</v>
      </c>
      <c r="F9" s="6">
        <v>45</v>
      </c>
      <c r="G9" s="8">
        <f t="shared" si="0"/>
        <v>16200</v>
      </c>
    </row>
    <row r="10" spans="1:7" x14ac:dyDescent="0.2">
      <c r="A10" s="5" t="s">
        <v>22</v>
      </c>
      <c r="B10" s="6" t="s">
        <v>34</v>
      </c>
      <c r="C10" s="6" t="s">
        <v>19</v>
      </c>
      <c r="D10" s="6">
        <v>14</v>
      </c>
      <c r="E10" s="6">
        <f>E20</f>
        <v>56</v>
      </c>
      <c r="F10" s="6">
        <v>220</v>
      </c>
      <c r="G10" s="8">
        <f t="shared" si="0"/>
        <v>12320</v>
      </c>
    </row>
    <row r="11" spans="1:7" x14ac:dyDescent="0.2">
      <c r="A11" s="9" t="s">
        <v>24</v>
      </c>
      <c r="B11" s="10" t="s">
        <v>35</v>
      </c>
      <c r="C11" s="10" t="s">
        <v>19</v>
      </c>
      <c r="D11" s="10" t="s">
        <v>35</v>
      </c>
      <c r="E11" s="10" t="s">
        <v>35</v>
      </c>
      <c r="F11" s="10" t="s">
        <v>35</v>
      </c>
      <c r="G11" s="11">
        <f>(4*180)+(30*300)</f>
        <v>9720</v>
      </c>
    </row>
    <row r="12" spans="1:7" x14ac:dyDescent="0.2">
      <c r="F12" t="s">
        <v>38</v>
      </c>
      <c r="G12" s="1">
        <f>SUM(G4:G11)</f>
        <v>303008</v>
      </c>
    </row>
    <row r="13" spans="1:7" x14ac:dyDescent="0.2">
      <c r="F13" t="s">
        <v>36</v>
      </c>
      <c r="G13" s="1">
        <v>150000</v>
      </c>
    </row>
    <row r="14" spans="1:7" x14ac:dyDescent="0.2">
      <c r="F14" t="s">
        <v>37</v>
      </c>
      <c r="G14" s="1">
        <v>200000</v>
      </c>
    </row>
    <row r="15" spans="1:7" x14ac:dyDescent="0.2">
      <c r="F15" t="s">
        <v>39</v>
      </c>
      <c r="G15" s="1">
        <f>G12+G13+G14</f>
        <v>653008</v>
      </c>
    </row>
    <row r="16" spans="1:7" x14ac:dyDescent="0.2">
      <c r="F16" t="s">
        <v>40</v>
      </c>
      <c r="G16" s="1">
        <f>G15+E26</f>
        <v>853008</v>
      </c>
    </row>
    <row r="19" spans="1:5" x14ac:dyDescent="0.2">
      <c r="A19" s="12"/>
      <c r="B19" s="3" t="s">
        <v>50</v>
      </c>
      <c r="C19" s="3" t="s">
        <v>32</v>
      </c>
      <c r="D19" s="13" t="s">
        <v>28</v>
      </c>
      <c r="E19" s="14" t="s">
        <v>27</v>
      </c>
    </row>
    <row r="20" spans="1:5" x14ac:dyDescent="0.2">
      <c r="A20" s="9" t="s">
        <v>29</v>
      </c>
      <c r="B20" s="15">
        <f>((10+10+6+6)+(7+7+6+6)+(7+7+11+11)+(7+7+4+4)+(11+11+9+9)+(6+6+4+4)+(6+6+5+5))*3</f>
        <v>594</v>
      </c>
      <c r="C20" s="15">
        <f>(2+1+1+1+2+1+1+1+1+1)*2</f>
        <v>24</v>
      </c>
      <c r="D20" s="15">
        <f>(2+1+1+1)*2</f>
        <v>10</v>
      </c>
      <c r="E20" s="16">
        <f>C23</f>
        <v>56</v>
      </c>
    </row>
    <row r="22" spans="1:5" x14ac:dyDescent="0.2">
      <c r="A22" s="12"/>
      <c r="B22" s="13" t="s">
        <v>26</v>
      </c>
      <c r="C22" s="13" t="s">
        <v>27</v>
      </c>
      <c r="D22" s="14" t="s">
        <v>28</v>
      </c>
    </row>
    <row r="23" spans="1:5" x14ac:dyDescent="0.2">
      <c r="A23" s="17" t="s">
        <v>30</v>
      </c>
      <c r="B23" s="15">
        <f>(15+15+24+24)*3</f>
        <v>234</v>
      </c>
      <c r="C23" s="15">
        <f>(2.5+2.5+4+2+2+3+3+2+2+2+3)*2</f>
        <v>56</v>
      </c>
      <c r="D23" s="16">
        <f>D20</f>
        <v>10</v>
      </c>
    </row>
    <row r="25" spans="1:5" x14ac:dyDescent="0.2">
      <c r="A25" s="12"/>
      <c r="B25" s="13" t="s">
        <v>42</v>
      </c>
      <c r="C25" s="13" t="s">
        <v>43</v>
      </c>
      <c r="D25" s="13" t="s">
        <v>44</v>
      </c>
      <c r="E25" s="14" t="s">
        <v>45</v>
      </c>
    </row>
    <row r="26" spans="1:5" x14ac:dyDescent="0.2">
      <c r="A26" s="17" t="s">
        <v>41</v>
      </c>
      <c r="B26" s="15">
        <f>15*24</f>
        <v>360</v>
      </c>
      <c r="C26" s="18">
        <v>50000</v>
      </c>
      <c r="D26" s="15">
        <v>4</v>
      </c>
      <c r="E26" s="11">
        <f>C26*D26</f>
        <v>200000</v>
      </c>
    </row>
  </sheetData>
  <mergeCells count="4">
    <mergeCell ref="A1:A3"/>
    <mergeCell ref="B1:B3"/>
    <mergeCell ref="C1:C3"/>
    <mergeCell ref="G1:G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7CE8-1E8D-B141-A92A-CA4583932CE0}">
  <dimension ref="A1:G26"/>
  <sheetViews>
    <sheetView tabSelected="1" workbookViewId="0">
      <selection activeCell="G26" sqref="G26"/>
    </sheetView>
  </sheetViews>
  <sheetFormatPr baseColWidth="10" defaultRowHeight="16" x14ac:dyDescent="0.2"/>
  <cols>
    <col min="1" max="1" width="17.33203125" customWidth="1"/>
    <col min="2" max="2" width="18" customWidth="1"/>
    <col min="3" max="3" width="12.6640625" customWidth="1"/>
    <col min="4" max="4" width="18.33203125" customWidth="1"/>
    <col min="5" max="5" width="20.33203125" customWidth="1"/>
    <col min="6" max="6" width="26.1640625" customWidth="1"/>
    <col min="7" max="7" width="20" customWidth="1"/>
  </cols>
  <sheetData>
    <row r="1" spans="1:7" s="20" customFormat="1" x14ac:dyDescent="0.2">
      <c r="A1" s="22" t="s">
        <v>0</v>
      </c>
      <c r="B1" s="22" t="s">
        <v>1</v>
      </c>
      <c r="C1" s="22" t="s">
        <v>2</v>
      </c>
      <c r="D1" s="21" t="s">
        <v>3</v>
      </c>
      <c r="E1" s="21" t="s">
        <v>5</v>
      </c>
      <c r="F1" s="21" t="s">
        <v>8</v>
      </c>
      <c r="G1" s="22" t="s">
        <v>11</v>
      </c>
    </row>
    <row r="2" spans="1:7" s="20" customFormat="1" x14ac:dyDescent="0.2">
      <c r="A2" s="22"/>
      <c r="B2" s="22"/>
      <c r="C2" s="22"/>
      <c r="D2" s="21" t="s">
        <v>4</v>
      </c>
      <c r="E2" s="21" t="s">
        <v>6</v>
      </c>
      <c r="F2" s="21" t="s">
        <v>9</v>
      </c>
      <c r="G2" s="22"/>
    </row>
    <row r="3" spans="1:7" s="20" customFormat="1" ht="31" x14ac:dyDescent="0.2">
      <c r="A3" s="22"/>
      <c r="B3" s="22"/>
      <c r="C3" s="22"/>
      <c r="E3" s="21" t="s">
        <v>7</v>
      </c>
      <c r="F3" s="21" t="s">
        <v>10</v>
      </c>
      <c r="G3" s="22"/>
    </row>
    <row r="4" spans="1:7" x14ac:dyDescent="0.2">
      <c r="A4" s="2" t="s">
        <v>12</v>
      </c>
      <c r="B4" s="3" t="s">
        <v>13</v>
      </c>
      <c r="C4" s="3">
        <v>0.2</v>
      </c>
      <c r="D4" s="3">
        <f>C4*7.1</f>
        <v>1.42</v>
      </c>
      <c r="E4" s="3">
        <f>(B23-C23-D23)*C4</f>
        <v>36.4</v>
      </c>
      <c r="F4" s="3">
        <v>200</v>
      </c>
      <c r="G4" s="4">
        <f>E4*F4</f>
        <v>7280</v>
      </c>
    </row>
    <row r="5" spans="1:7" x14ac:dyDescent="0.2">
      <c r="A5" s="5" t="s">
        <v>14</v>
      </c>
      <c r="B5" s="6" t="s">
        <v>51</v>
      </c>
      <c r="C5" s="6">
        <v>0.1</v>
      </c>
      <c r="D5" s="6">
        <f>C5*8.75</f>
        <v>0.875</v>
      </c>
      <c r="E5" s="7">
        <f>(B20-C20-D20-E20)*C5</f>
        <v>55.6</v>
      </c>
      <c r="F5" s="6">
        <v>250</v>
      </c>
      <c r="G5" s="8">
        <f t="shared" ref="G5:G10" si="0">E5*F5</f>
        <v>13900</v>
      </c>
    </row>
    <row r="6" spans="1:7" x14ac:dyDescent="0.2">
      <c r="A6" s="5" t="s">
        <v>31</v>
      </c>
      <c r="B6" s="6" t="s">
        <v>51</v>
      </c>
      <c r="C6" s="6">
        <v>0.2</v>
      </c>
      <c r="D6" s="6">
        <f>C6*8.75</f>
        <v>1.75</v>
      </c>
      <c r="E6" s="7">
        <f>E8*C6</f>
        <v>90</v>
      </c>
      <c r="F6" s="6">
        <v>250</v>
      </c>
      <c r="G6" s="8">
        <f t="shared" si="0"/>
        <v>22500</v>
      </c>
    </row>
    <row r="7" spans="1:7" x14ac:dyDescent="0.2">
      <c r="A7" s="5" t="s">
        <v>15</v>
      </c>
      <c r="B7" s="6" t="s">
        <v>46</v>
      </c>
      <c r="C7" s="6">
        <v>0.3</v>
      </c>
      <c r="D7" s="6">
        <f>C7*30</f>
        <v>9</v>
      </c>
      <c r="E7" s="7">
        <f>(E9*C7)+((B20-C20-D20-E20)*C7)+((B23-C23-D23)*C7)</f>
        <v>356.4</v>
      </c>
      <c r="F7" s="6">
        <v>200</v>
      </c>
      <c r="G7" s="8">
        <f t="shared" si="0"/>
        <v>71280</v>
      </c>
    </row>
    <row r="8" spans="1:7" x14ac:dyDescent="0.2">
      <c r="A8" s="5" t="s">
        <v>17</v>
      </c>
      <c r="B8" s="6" t="s">
        <v>33</v>
      </c>
      <c r="C8" s="6" t="s">
        <v>19</v>
      </c>
      <c r="D8" s="6">
        <v>7</v>
      </c>
      <c r="E8" s="6">
        <f>B26</f>
        <v>450</v>
      </c>
      <c r="F8" s="6">
        <v>40</v>
      </c>
      <c r="G8" s="8">
        <f t="shared" si="0"/>
        <v>18000</v>
      </c>
    </row>
    <row r="9" spans="1:7" x14ac:dyDescent="0.2">
      <c r="A9" s="5" t="s">
        <v>20</v>
      </c>
      <c r="B9" s="6" t="s">
        <v>52</v>
      </c>
      <c r="C9" s="6" t="s">
        <v>19</v>
      </c>
      <c r="D9" s="6">
        <v>15</v>
      </c>
      <c r="E9" s="6">
        <f>B26</f>
        <v>450</v>
      </c>
      <c r="F9" s="6">
        <v>30</v>
      </c>
      <c r="G9" s="8">
        <f t="shared" si="0"/>
        <v>13500</v>
      </c>
    </row>
    <row r="10" spans="1:7" x14ac:dyDescent="0.2">
      <c r="A10" s="5" t="s">
        <v>22</v>
      </c>
      <c r="B10" s="6" t="s">
        <v>34</v>
      </c>
      <c r="C10" s="6" t="s">
        <v>19</v>
      </c>
      <c r="D10" s="6">
        <v>14</v>
      </c>
      <c r="E10" s="6">
        <f>E20</f>
        <v>66</v>
      </c>
      <c r="F10" s="6">
        <v>220</v>
      </c>
      <c r="G10" s="8">
        <f t="shared" si="0"/>
        <v>14520</v>
      </c>
    </row>
    <row r="11" spans="1:7" x14ac:dyDescent="0.2">
      <c r="A11" s="9" t="s">
        <v>24</v>
      </c>
      <c r="B11" s="10" t="s">
        <v>35</v>
      </c>
      <c r="C11" s="10" t="s">
        <v>19</v>
      </c>
      <c r="D11" s="10" t="s">
        <v>35</v>
      </c>
      <c r="E11" s="10" t="s">
        <v>35</v>
      </c>
      <c r="F11" s="10" t="s">
        <v>35</v>
      </c>
      <c r="G11" s="11">
        <f>(4*120)+(28*300)</f>
        <v>8880</v>
      </c>
    </row>
    <row r="12" spans="1:7" x14ac:dyDescent="0.2">
      <c r="F12" t="s">
        <v>38</v>
      </c>
      <c r="G12" s="1">
        <f>SUM(G4:G11)</f>
        <v>169860</v>
      </c>
    </row>
    <row r="13" spans="1:7" x14ac:dyDescent="0.2">
      <c r="F13" t="s">
        <v>36</v>
      </c>
      <c r="G13" s="1">
        <v>150000</v>
      </c>
    </row>
    <row r="14" spans="1:7" x14ac:dyDescent="0.2">
      <c r="F14" t="s">
        <v>37</v>
      </c>
      <c r="G14" s="1">
        <v>200000</v>
      </c>
    </row>
    <row r="15" spans="1:7" x14ac:dyDescent="0.2">
      <c r="F15" t="s">
        <v>39</v>
      </c>
      <c r="G15" s="1">
        <f>G12+G13+G14</f>
        <v>519860</v>
      </c>
    </row>
    <row r="16" spans="1:7" x14ac:dyDescent="0.2">
      <c r="F16" t="s">
        <v>40</v>
      </c>
      <c r="G16" s="1">
        <f>G15+E26</f>
        <v>769860</v>
      </c>
    </row>
    <row r="19" spans="1:5" x14ac:dyDescent="0.2">
      <c r="A19" s="12"/>
      <c r="B19" s="3" t="s">
        <v>50</v>
      </c>
      <c r="C19" s="3" t="s">
        <v>32</v>
      </c>
      <c r="D19" s="13" t="s">
        <v>28</v>
      </c>
      <c r="E19" s="14" t="s">
        <v>27</v>
      </c>
    </row>
    <row r="20" spans="1:5" x14ac:dyDescent="0.2">
      <c r="A20" s="9" t="s">
        <v>29</v>
      </c>
      <c r="B20" s="15">
        <f>((6+6+10+10)+(6+6+8+8)+(13+13+13+13)+(6+6+11+11)+(6+6+7+7)+(6+6+5+5)+(7+7+5+5))*3</f>
        <v>654</v>
      </c>
      <c r="C20" s="15">
        <f>(2+1+1+1+2+1+1+1+1)*2</f>
        <v>22</v>
      </c>
      <c r="D20" s="15">
        <f>(2+2+1)*2</f>
        <v>10</v>
      </c>
      <c r="E20" s="16">
        <f>C23</f>
        <v>66</v>
      </c>
    </row>
    <row r="22" spans="1:5" x14ac:dyDescent="0.2">
      <c r="A22" s="12"/>
      <c r="B22" s="13" t="s">
        <v>26</v>
      </c>
      <c r="C22" s="13" t="s">
        <v>27</v>
      </c>
      <c r="D22" s="14" t="s">
        <v>28</v>
      </c>
    </row>
    <row r="23" spans="1:5" x14ac:dyDescent="0.2">
      <c r="A23" s="17" t="s">
        <v>30</v>
      </c>
      <c r="B23" s="15">
        <f>(18+18+25+25)*3</f>
        <v>258</v>
      </c>
      <c r="C23" s="15">
        <f>(1+1+1+1+4+2.5+2.5+2+5+5+2.5+2.5+3)*2</f>
        <v>66</v>
      </c>
      <c r="D23" s="16">
        <f>D20</f>
        <v>10</v>
      </c>
    </row>
    <row r="25" spans="1:5" x14ac:dyDescent="0.2">
      <c r="A25" s="12"/>
      <c r="B25" s="13" t="s">
        <v>42</v>
      </c>
      <c r="C25" s="13" t="s">
        <v>43</v>
      </c>
      <c r="D25" s="13" t="s">
        <v>44</v>
      </c>
      <c r="E25" s="14" t="s">
        <v>45</v>
      </c>
    </row>
    <row r="26" spans="1:5" x14ac:dyDescent="0.2">
      <c r="A26" s="17" t="s">
        <v>41</v>
      </c>
      <c r="B26" s="15">
        <f>18*25</f>
        <v>450</v>
      </c>
      <c r="C26" s="18">
        <v>50000</v>
      </c>
      <c r="D26" s="15">
        <v>5</v>
      </c>
      <c r="E26" s="11">
        <f>C26*D26</f>
        <v>250000</v>
      </c>
    </row>
  </sheetData>
  <mergeCells count="4">
    <mergeCell ref="A1:A3"/>
    <mergeCell ref="B1:B3"/>
    <mergeCell ref="C1:C3"/>
    <mergeCell ref="G1:G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 1</vt:lpstr>
      <vt:lpstr>Layout 2</vt:lpstr>
      <vt:lpstr>Layout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2021-04-28T01:58:45Z</dcterms:created>
  <dcterms:modified xsi:type="dcterms:W3CDTF">2021-05-12T12:18:18Z</dcterms:modified>
</cp:coreProperties>
</file>