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te\Desktop\GasInformes\"/>
    </mc:Choice>
  </mc:AlternateContent>
  <bookViews>
    <workbookView xWindow="-120" yWindow="-120" windowWidth="29040" windowHeight="15840" activeTab="3"/>
  </bookViews>
  <sheets>
    <sheet name="CENSOS" sheetId="3" r:id="rId1"/>
    <sheet name="PAGOS" sheetId="4" r:id="rId2"/>
    <sheet name="PUNTOS" sheetId="1" r:id="rId3"/>
    <sheet name="DATOS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2" l="1"/>
  <c r="AC4" i="2" s="1"/>
  <c r="AB5" i="2"/>
  <c r="AC5" i="2" s="1"/>
  <c r="AB6" i="2"/>
  <c r="AC6" i="2" s="1"/>
  <c r="AB7" i="2"/>
  <c r="AB8" i="2"/>
  <c r="AB9" i="2"/>
  <c r="AC9" i="2" s="1"/>
  <c r="AB10" i="2"/>
  <c r="AC10" i="2" s="1"/>
  <c r="AB11" i="2"/>
  <c r="AB12" i="2"/>
  <c r="AB3" i="2"/>
  <c r="AC3" i="2" s="1"/>
  <c r="AC7" i="2"/>
  <c r="AC8" i="2"/>
  <c r="AC11" i="2"/>
  <c r="AC12" i="2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0" i="1"/>
  <c r="AP15" i="1"/>
  <c r="AP14" i="1"/>
  <c r="AP13" i="1"/>
  <c r="AP12" i="1"/>
  <c r="AP11" i="1"/>
  <c r="AP9" i="1"/>
  <c r="AP8" i="1"/>
  <c r="AP7" i="1"/>
  <c r="AP6" i="1"/>
  <c r="AP5" i="1"/>
  <c r="AP4" i="1"/>
  <c r="AP3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X6" i="2"/>
  <c r="Y6" i="2" s="1"/>
  <c r="Z6" i="2" s="1"/>
  <c r="U6" i="2"/>
  <c r="V6" i="2" s="1"/>
  <c r="W6" i="2" s="1"/>
  <c r="R6" i="2"/>
  <c r="S6" i="2" s="1"/>
  <c r="T6" i="2" s="1"/>
  <c r="O6" i="2"/>
  <c r="P6" i="2" s="1"/>
  <c r="X12" i="2"/>
  <c r="Y12" i="2" s="1"/>
  <c r="Z12" i="2" s="1"/>
  <c r="U12" i="2"/>
  <c r="V12" i="2" s="1"/>
  <c r="W12" i="2" s="1"/>
  <c r="R12" i="2"/>
  <c r="S12" i="2" s="1"/>
  <c r="T12" i="2" s="1"/>
  <c r="O12" i="2"/>
  <c r="P12" i="2" s="1"/>
  <c r="X11" i="2"/>
  <c r="Y11" i="2" s="1"/>
  <c r="Z11" i="2" s="1"/>
  <c r="U11" i="2"/>
  <c r="V11" i="2" s="1"/>
  <c r="W11" i="2" s="1"/>
  <c r="R11" i="2"/>
  <c r="S11" i="2" s="1"/>
  <c r="T11" i="2" s="1"/>
  <c r="O11" i="2"/>
  <c r="Q11" i="2" s="1"/>
  <c r="X9" i="2"/>
  <c r="Y9" i="2" s="1"/>
  <c r="Z9" i="2" s="1"/>
  <c r="U9" i="2"/>
  <c r="V9" i="2" s="1"/>
  <c r="W9" i="2" s="1"/>
  <c r="R9" i="2"/>
  <c r="S9" i="2" s="1"/>
  <c r="T9" i="2" s="1"/>
  <c r="O9" i="2"/>
  <c r="Q9" i="2" s="1"/>
  <c r="X8" i="2"/>
  <c r="Y8" i="2" s="1"/>
  <c r="Z8" i="2" s="1"/>
  <c r="U8" i="2"/>
  <c r="V8" i="2" s="1"/>
  <c r="W8" i="2" s="1"/>
  <c r="R8" i="2"/>
  <c r="S8" i="2" s="1"/>
  <c r="T8" i="2" s="1"/>
  <c r="O8" i="2"/>
  <c r="P8" i="2" s="1"/>
  <c r="Q12" i="2" l="1"/>
  <c r="Q8" i="2"/>
  <c r="P11" i="2"/>
  <c r="P9" i="2"/>
  <c r="Q6" i="2"/>
  <c r="K12" i="2" l="1"/>
  <c r="K11" i="2"/>
  <c r="K10" i="2"/>
  <c r="K9" i="2"/>
  <c r="K8" i="2"/>
  <c r="K7" i="2"/>
  <c r="K6" i="2"/>
  <c r="K5" i="2"/>
  <c r="K4" i="2"/>
  <c r="K3" i="2"/>
  <c r="J12" i="2"/>
  <c r="J11" i="2"/>
  <c r="J10" i="2"/>
  <c r="J9" i="2"/>
  <c r="J8" i="2"/>
  <c r="J7" i="2"/>
  <c r="J6" i="2"/>
  <c r="J5" i="2"/>
  <c r="J4" i="2"/>
  <c r="J3" i="2"/>
  <c r="I12" i="2"/>
  <c r="I11" i="2"/>
  <c r="I10" i="2"/>
  <c r="I9" i="2"/>
  <c r="I8" i="2"/>
  <c r="I7" i="2"/>
  <c r="I6" i="2"/>
  <c r="I5" i="2"/>
  <c r="I4" i="2"/>
  <c r="I3" i="2"/>
  <c r="H12" i="2"/>
  <c r="H11" i="2"/>
  <c r="H10" i="2"/>
  <c r="H9" i="2"/>
  <c r="H8" i="2"/>
  <c r="H6" i="2"/>
  <c r="H5" i="2"/>
  <c r="H4" i="2"/>
  <c r="H3" i="2"/>
  <c r="H7" i="2"/>
  <c r="X10" i="1"/>
  <c r="X11" i="1" l="1"/>
  <c r="O4" i="2" s="1"/>
  <c r="Y11" i="1"/>
  <c r="R4" i="2" s="1"/>
  <c r="S4" i="2" s="1"/>
  <c r="T4" i="2" s="1"/>
  <c r="Z11" i="1"/>
  <c r="U4" i="2" s="1"/>
  <c r="V4" i="2" s="1"/>
  <c r="W4" i="2" s="1"/>
  <c r="AA11" i="1"/>
  <c r="X4" i="2" s="1"/>
  <c r="Y4" i="2" s="1"/>
  <c r="Z4" i="2" s="1"/>
  <c r="AB11" i="1"/>
  <c r="AC11" i="1"/>
  <c r="AD11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X5" i="2" s="1"/>
  <c r="Y5" i="2" s="1"/>
  <c r="Z5" i="2" s="1"/>
  <c r="AA45" i="1"/>
  <c r="AA44" i="1"/>
  <c r="AA43" i="1"/>
  <c r="AA42" i="1"/>
  <c r="AA41" i="1"/>
  <c r="AA40" i="1"/>
  <c r="AA39" i="1"/>
  <c r="AA38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U5" i="2" s="1"/>
  <c r="V5" i="2" s="1"/>
  <c r="W5" i="2" s="1"/>
  <c r="Z45" i="1"/>
  <c r="Z44" i="1"/>
  <c r="Z43" i="1"/>
  <c r="Z42" i="1"/>
  <c r="Z41" i="1"/>
  <c r="Z40" i="1"/>
  <c r="Z39" i="1"/>
  <c r="Z38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R5" i="2" s="1"/>
  <c r="S5" i="2" s="1"/>
  <c r="T5" i="2" s="1"/>
  <c r="Y45" i="1"/>
  <c r="Y44" i="1"/>
  <c r="Y43" i="1"/>
  <c r="Y42" i="1"/>
  <c r="Y41" i="1"/>
  <c r="Y40" i="1"/>
  <c r="Y39" i="1"/>
  <c r="Y38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O5" i="2" s="1"/>
  <c r="X45" i="1"/>
  <c r="X44" i="1"/>
  <c r="X43" i="1"/>
  <c r="X42" i="1"/>
  <c r="X41" i="1"/>
  <c r="X40" i="1"/>
  <c r="X39" i="1"/>
  <c r="X38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X10" i="2" s="1"/>
  <c r="Y10" i="2" s="1"/>
  <c r="Z10" i="2" s="1"/>
  <c r="E45" i="1"/>
  <c r="E44" i="1"/>
  <c r="E43" i="1"/>
  <c r="E42" i="1"/>
  <c r="E41" i="1"/>
  <c r="E40" i="1"/>
  <c r="E39" i="1"/>
  <c r="E38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U10" i="2" s="1"/>
  <c r="V10" i="2" s="1"/>
  <c r="W10" i="2" s="1"/>
  <c r="D45" i="1"/>
  <c r="D44" i="1"/>
  <c r="D43" i="1"/>
  <c r="D42" i="1"/>
  <c r="D41" i="1"/>
  <c r="D40" i="1"/>
  <c r="D39" i="1"/>
  <c r="D38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R10" i="2" s="1"/>
  <c r="S10" i="2" s="1"/>
  <c r="T10" i="2" s="1"/>
  <c r="C45" i="1"/>
  <c r="C44" i="1"/>
  <c r="C43" i="1"/>
  <c r="C42" i="1"/>
  <c r="C41" i="1"/>
  <c r="C40" i="1"/>
  <c r="C39" i="1"/>
  <c r="C38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O10" i="2" s="1"/>
  <c r="B45" i="1"/>
  <c r="B44" i="1"/>
  <c r="B43" i="1"/>
  <c r="B42" i="1"/>
  <c r="B41" i="1"/>
  <c r="B40" i="1"/>
  <c r="B39" i="1"/>
  <c r="B38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AA9" i="1"/>
  <c r="AA8" i="1"/>
  <c r="AA7" i="1"/>
  <c r="AA6" i="1"/>
  <c r="AA5" i="1"/>
  <c r="AA4" i="1"/>
  <c r="AA3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0" i="1"/>
  <c r="Z9" i="1"/>
  <c r="Z8" i="1"/>
  <c r="Z7" i="1"/>
  <c r="Z6" i="1"/>
  <c r="Z5" i="1"/>
  <c r="Z4" i="1"/>
  <c r="Z3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0" i="1"/>
  <c r="Y9" i="1"/>
  <c r="Y8" i="1"/>
  <c r="Y7" i="1"/>
  <c r="Y6" i="1"/>
  <c r="Y5" i="1"/>
  <c r="Y4" i="1"/>
  <c r="Y3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9" i="1"/>
  <c r="X8" i="1"/>
  <c r="X7" i="1"/>
  <c r="X6" i="1"/>
  <c r="X5" i="1"/>
  <c r="X4" i="1"/>
  <c r="X3" i="1"/>
  <c r="AB34" i="1"/>
  <c r="AM34" i="1"/>
  <c r="AX34" i="1"/>
  <c r="AX69" i="1"/>
  <c r="AM69" i="1"/>
  <c r="AB69" i="1"/>
  <c r="Q69" i="1"/>
  <c r="F69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F68" i="1"/>
  <c r="F67" i="1"/>
  <c r="F66" i="1"/>
  <c r="I66" i="1" s="1"/>
  <c r="F65" i="1"/>
  <c r="I65" i="1" s="1"/>
  <c r="F64" i="1"/>
  <c r="I64" i="1" s="1"/>
  <c r="F63" i="1"/>
  <c r="I63" i="1" s="1"/>
  <c r="F62" i="1"/>
  <c r="F61" i="1"/>
  <c r="I61" i="1" s="1"/>
  <c r="F60" i="1"/>
  <c r="I60" i="1" s="1"/>
  <c r="F59" i="1"/>
  <c r="F58" i="1"/>
  <c r="I58" i="1" s="1"/>
  <c r="F57" i="1"/>
  <c r="I57" i="1" s="1"/>
  <c r="F56" i="1"/>
  <c r="F55" i="1"/>
  <c r="F54" i="1"/>
  <c r="I54" i="1" s="1"/>
  <c r="F53" i="1"/>
  <c r="I53" i="1" s="1"/>
  <c r="F52" i="1"/>
  <c r="I52" i="1" s="1"/>
  <c r="F51" i="1"/>
  <c r="I51" i="1" s="1"/>
  <c r="F50" i="1"/>
  <c r="F49" i="1"/>
  <c r="I49" i="1" s="1"/>
  <c r="F48" i="1"/>
  <c r="I48" i="1" s="1"/>
  <c r="F47" i="1"/>
  <c r="F46" i="1"/>
  <c r="I46" i="1" s="1"/>
  <c r="F45" i="1"/>
  <c r="I45" i="1" s="1"/>
  <c r="F44" i="1"/>
  <c r="F43" i="1"/>
  <c r="F42" i="1"/>
  <c r="I42" i="1" s="1"/>
  <c r="F41" i="1"/>
  <c r="I41" i="1" s="1"/>
  <c r="F40" i="1"/>
  <c r="I40" i="1" s="1"/>
  <c r="F39" i="1"/>
  <c r="I39" i="1" s="1"/>
  <c r="F38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0" i="1"/>
  <c r="AD9" i="1"/>
  <c r="AD8" i="1"/>
  <c r="AD7" i="1"/>
  <c r="AD6" i="1"/>
  <c r="AD5" i="1"/>
  <c r="AD4" i="1"/>
  <c r="AD3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0" i="1"/>
  <c r="AB9" i="1"/>
  <c r="AB8" i="1"/>
  <c r="AB7" i="1"/>
  <c r="AB6" i="1"/>
  <c r="AB5" i="1"/>
  <c r="AB4" i="1"/>
  <c r="AB3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0" i="1"/>
  <c r="AC9" i="1"/>
  <c r="AC8" i="1"/>
  <c r="AC7" i="1"/>
  <c r="AC6" i="1"/>
  <c r="AC5" i="1"/>
  <c r="AC4" i="1"/>
  <c r="AC3" i="1"/>
  <c r="Q5" i="2" l="1"/>
  <c r="P5" i="2"/>
  <c r="I38" i="1"/>
  <c r="I50" i="1"/>
  <c r="I62" i="1"/>
  <c r="I43" i="1"/>
  <c r="I55" i="1"/>
  <c r="I67" i="1"/>
  <c r="I44" i="1"/>
  <c r="I56" i="1"/>
  <c r="I68" i="1"/>
  <c r="I69" i="1"/>
  <c r="Q10" i="2"/>
  <c r="P10" i="2"/>
  <c r="I47" i="1"/>
  <c r="I59" i="1"/>
  <c r="AE7" i="1"/>
  <c r="AE20" i="1"/>
  <c r="AE32" i="1"/>
  <c r="AE8" i="1"/>
  <c r="AE21" i="1"/>
  <c r="AE33" i="1"/>
  <c r="AE9" i="1"/>
  <c r="AE22" i="1"/>
  <c r="AE10" i="1"/>
  <c r="AE23" i="1"/>
  <c r="AE12" i="1"/>
  <c r="AE24" i="1"/>
  <c r="AE13" i="1"/>
  <c r="AE25" i="1"/>
  <c r="AE14" i="1"/>
  <c r="AE26" i="1"/>
  <c r="AE15" i="1"/>
  <c r="AE27" i="1"/>
  <c r="AE11" i="1"/>
  <c r="AE3" i="1"/>
  <c r="AE16" i="1"/>
  <c r="AE28" i="1"/>
  <c r="AE4" i="1"/>
  <c r="AE17" i="1"/>
  <c r="AE29" i="1"/>
  <c r="AE34" i="1"/>
  <c r="AE5" i="1"/>
  <c r="AE18" i="1"/>
  <c r="AE30" i="1"/>
  <c r="AE6" i="1"/>
  <c r="AE19" i="1"/>
  <c r="AE31" i="1"/>
  <c r="P4" i="2"/>
  <c r="Q4" i="2"/>
  <c r="L3" i="2"/>
  <c r="L4" i="2"/>
  <c r="L12" i="2"/>
  <c r="L5" i="2"/>
  <c r="L8" i="2"/>
  <c r="L10" i="2"/>
  <c r="L6" i="2"/>
  <c r="L7" i="2"/>
  <c r="L9" i="2"/>
  <c r="K13" i="2"/>
  <c r="L11" i="2"/>
  <c r="H13" i="2"/>
  <c r="J13" i="2"/>
  <c r="I13" i="2"/>
  <c r="L13" i="2" l="1"/>
  <c r="AW69" i="1" l="1"/>
  <c r="AV69" i="1"/>
  <c r="AL69" i="1"/>
  <c r="AK69" i="1"/>
  <c r="AA69" i="1"/>
  <c r="Z69" i="1"/>
  <c r="P69" i="1"/>
  <c r="O69" i="1"/>
  <c r="D69" i="1"/>
  <c r="E69" i="1"/>
  <c r="AW34" i="1"/>
  <c r="AV34" i="1"/>
  <c r="AL34" i="1"/>
  <c r="AK34" i="1"/>
  <c r="AA34" i="1"/>
  <c r="Z34" i="1"/>
  <c r="L3" i="1"/>
  <c r="L4" i="1"/>
  <c r="L5" i="1"/>
  <c r="L6" i="1"/>
  <c r="L7" i="1"/>
  <c r="N6" i="1" l="1"/>
  <c r="P6" i="1"/>
  <c r="O6" i="1"/>
  <c r="M6" i="1"/>
  <c r="N7" i="1"/>
  <c r="P7" i="1"/>
  <c r="O7" i="1"/>
  <c r="M7" i="1"/>
  <c r="N5" i="1"/>
  <c r="P5" i="1"/>
  <c r="O5" i="1"/>
  <c r="M5" i="1"/>
  <c r="N4" i="1"/>
  <c r="P4" i="1"/>
  <c r="O4" i="1"/>
  <c r="M4" i="1"/>
  <c r="N3" i="1"/>
  <c r="P3" i="1"/>
  <c r="O3" i="1"/>
  <c r="M3" i="1"/>
  <c r="R6" i="1"/>
  <c r="S6" i="1"/>
  <c r="Q6" i="1"/>
  <c r="R5" i="1"/>
  <c r="S5" i="1"/>
  <c r="Q5" i="1"/>
  <c r="Q4" i="1"/>
  <c r="R4" i="1"/>
  <c r="S4" i="1"/>
  <c r="Q3" i="1"/>
  <c r="R3" i="1"/>
  <c r="S3" i="1"/>
  <c r="R7" i="1"/>
  <c r="S7" i="1"/>
  <c r="Q7" i="1"/>
  <c r="L8" i="1"/>
  <c r="L9" i="1"/>
  <c r="L10" i="1"/>
  <c r="M10" i="1" s="1"/>
  <c r="L11" i="1"/>
  <c r="M11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F2" i="2"/>
  <c r="AF34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O7" i="2" l="1"/>
  <c r="AF51" i="1"/>
  <c r="AF64" i="1"/>
  <c r="AF55" i="1"/>
  <c r="J62" i="1"/>
  <c r="AF39" i="1"/>
  <c r="AF19" i="1"/>
  <c r="J54" i="1"/>
  <c r="AF65" i="1"/>
  <c r="AF28" i="1"/>
  <c r="J63" i="1"/>
  <c r="U57" i="1"/>
  <c r="J50" i="1"/>
  <c r="J53" i="1"/>
  <c r="J59" i="1"/>
  <c r="AF25" i="1"/>
  <c r="AQ34" i="1"/>
  <c r="AF22" i="1"/>
  <c r="J66" i="1"/>
  <c r="U48" i="1"/>
  <c r="AF16" i="1"/>
  <c r="U61" i="1"/>
  <c r="J41" i="1"/>
  <c r="AF4" i="1"/>
  <c r="U65" i="1"/>
  <c r="U38" i="1"/>
  <c r="AF60" i="1"/>
  <c r="J57" i="1"/>
  <c r="J44" i="1"/>
  <c r="U67" i="1"/>
  <c r="AF57" i="1"/>
  <c r="AF61" i="1"/>
  <c r="J47" i="1"/>
  <c r="U54" i="1"/>
  <c r="AF31" i="1"/>
  <c r="AF10" i="1"/>
  <c r="J56" i="1"/>
  <c r="J60" i="1"/>
  <c r="U68" i="1"/>
  <c r="U64" i="1"/>
  <c r="AF54" i="1"/>
  <c r="AF58" i="1"/>
  <c r="AF68" i="1"/>
  <c r="U51" i="1"/>
  <c r="U58" i="1"/>
  <c r="U45" i="1"/>
  <c r="AF12" i="1"/>
  <c r="J69" i="1"/>
  <c r="U55" i="1"/>
  <c r="AF49" i="1"/>
  <c r="AF59" i="1"/>
  <c r="U42" i="1"/>
  <c r="AF9" i="1"/>
  <c r="AF24" i="1"/>
  <c r="J68" i="1"/>
  <c r="J40" i="1"/>
  <c r="U56" i="1"/>
  <c r="U52" i="1"/>
  <c r="AF50" i="1"/>
  <c r="AF46" i="1"/>
  <c r="AA5" i="2" s="1"/>
  <c r="U43" i="1"/>
  <c r="U39" i="1"/>
  <c r="AF62" i="1"/>
  <c r="AF7" i="1"/>
  <c r="J65" i="1"/>
  <c r="U59" i="1"/>
  <c r="AF53" i="1"/>
  <c r="AF3" i="1"/>
  <c r="AF29" i="1"/>
  <c r="J39" i="1"/>
  <c r="J43" i="1"/>
  <c r="U53" i="1"/>
  <c r="U49" i="1"/>
  <c r="AF47" i="1"/>
  <c r="AF43" i="1"/>
  <c r="U40" i="1"/>
  <c r="J52" i="1"/>
  <c r="AF52" i="1"/>
  <c r="AF8" i="1"/>
  <c r="J46" i="1"/>
  <c r="AA10" i="2" s="1"/>
  <c r="U46" i="1"/>
  <c r="AA11" i="2" s="1"/>
  <c r="AF40" i="1"/>
  <c r="BB69" i="1"/>
  <c r="AF27" i="1"/>
  <c r="J45" i="1"/>
  <c r="J49" i="1"/>
  <c r="U47" i="1"/>
  <c r="AF69" i="1"/>
  <c r="AF41" i="1"/>
  <c r="AF48" i="1"/>
  <c r="U66" i="1"/>
  <c r="J58" i="1"/>
  <c r="BB34" i="1"/>
  <c r="U62" i="1"/>
  <c r="AF56" i="1"/>
  <c r="AF33" i="1"/>
  <c r="J42" i="1"/>
  <c r="U50" i="1"/>
  <c r="AF44" i="1"/>
  <c r="U69" i="1"/>
  <c r="J55" i="1"/>
  <c r="AF21" i="1"/>
  <c r="J48" i="1"/>
  <c r="J67" i="1"/>
  <c r="U44" i="1"/>
  <c r="AF66" i="1"/>
  <c r="AF38" i="1"/>
  <c r="AF45" i="1"/>
  <c r="U63" i="1"/>
  <c r="J61" i="1"/>
  <c r="AF11" i="1"/>
  <c r="AA4" i="2" s="1"/>
  <c r="K14" i="2"/>
  <c r="I14" i="2"/>
  <c r="J14" i="2"/>
  <c r="H14" i="2"/>
  <c r="BB67" i="1"/>
  <c r="BB55" i="1"/>
  <c r="BB43" i="1"/>
  <c r="AQ64" i="1"/>
  <c r="AQ52" i="1"/>
  <c r="AQ40" i="1"/>
  <c r="BB32" i="1"/>
  <c r="BB20" i="1"/>
  <c r="BB8" i="1"/>
  <c r="AQ29" i="1"/>
  <c r="AQ17" i="1"/>
  <c r="AQ5" i="1"/>
  <c r="AF20" i="1"/>
  <c r="BB66" i="1"/>
  <c r="BB54" i="1"/>
  <c r="BB42" i="1"/>
  <c r="AQ63" i="1"/>
  <c r="AQ51" i="1"/>
  <c r="AQ39" i="1"/>
  <c r="BB31" i="1"/>
  <c r="BB19" i="1"/>
  <c r="BB7" i="1"/>
  <c r="AQ28" i="1"/>
  <c r="AQ16" i="1"/>
  <c r="AQ4" i="1"/>
  <c r="AF18" i="1"/>
  <c r="BB51" i="1"/>
  <c r="AQ60" i="1"/>
  <c r="BB28" i="1"/>
  <c r="BB4" i="1"/>
  <c r="AQ13" i="1"/>
  <c r="BB10" i="1"/>
  <c r="AF14" i="1"/>
  <c r="AQ65" i="1"/>
  <c r="BB21" i="1"/>
  <c r="AQ6" i="1"/>
  <c r="BB65" i="1"/>
  <c r="BB53" i="1"/>
  <c r="BB41" i="1"/>
  <c r="AQ62" i="1"/>
  <c r="AQ50" i="1"/>
  <c r="AQ38" i="1"/>
  <c r="BB30" i="1"/>
  <c r="BB18" i="1"/>
  <c r="BB6" i="1"/>
  <c r="AQ27" i="1"/>
  <c r="AQ15" i="1"/>
  <c r="AQ3" i="1"/>
  <c r="AF17" i="1"/>
  <c r="BB64" i="1"/>
  <c r="BB52" i="1"/>
  <c r="BB40" i="1"/>
  <c r="AQ61" i="1"/>
  <c r="AQ49" i="1"/>
  <c r="BB29" i="1"/>
  <c r="BB17" i="1"/>
  <c r="BB5" i="1"/>
  <c r="AQ26" i="1"/>
  <c r="AQ14" i="1"/>
  <c r="AF6" i="1"/>
  <c r="BB63" i="1"/>
  <c r="BB39" i="1"/>
  <c r="AQ48" i="1"/>
  <c r="BB16" i="1"/>
  <c r="AQ25" i="1"/>
  <c r="AQ42" i="1"/>
  <c r="AQ19" i="1"/>
  <c r="BB68" i="1"/>
  <c r="AQ53" i="1"/>
  <c r="BB9" i="1"/>
  <c r="AF32" i="1"/>
  <c r="BB62" i="1"/>
  <c r="BB50" i="1"/>
  <c r="BB38" i="1"/>
  <c r="AQ59" i="1"/>
  <c r="AQ47" i="1"/>
  <c r="BB27" i="1"/>
  <c r="BB15" i="1"/>
  <c r="BB3" i="1"/>
  <c r="AQ24" i="1"/>
  <c r="AQ12" i="1"/>
  <c r="AF26" i="1"/>
  <c r="BB61" i="1"/>
  <c r="BB49" i="1"/>
  <c r="AQ58" i="1"/>
  <c r="AQ46" i="1"/>
  <c r="AA8" i="2" s="1"/>
  <c r="BB26" i="1"/>
  <c r="BB14" i="1"/>
  <c r="AQ23" i="1"/>
  <c r="AQ11" i="1"/>
  <c r="AF13" i="1"/>
  <c r="BB46" i="1"/>
  <c r="AA12" i="2" s="1"/>
  <c r="AQ55" i="1"/>
  <c r="BB23" i="1"/>
  <c r="AQ20" i="1"/>
  <c r="AF30" i="1"/>
  <c r="BB45" i="1"/>
  <c r="AQ54" i="1"/>
  <c r="AQ31" i="1"/>
  <c r="BB56" i="1"/>
  <c r="AQ41" i="1"/>
  <c r="AQ30" i="1"/>
  <c r="BB60" i="1"/>
  <c r="BB48" i="1"/>
  <c r="AQ57" i="1"/>
  <c r="AQ45" i="1"/>
  <c r="BB25" i="1"/>
  <c r="BB13" i="1"/>
  <c r="AQ22" i="1"/>
  <c r="AQ10" i="1"/>
  <c r="AF23" i="1"/>
  <c r="BB59" i="1"/>
  <c r="BB47" i="1"/>
  <c r="AQ68" i="1"/>
  <c r="AQ56" i="1"/>
  <c r="AQ44" i="1"/>
  <c r="BB24" i="1"/>
  <c r="BB12" i="1"/>
  <c r="AQ33" i="1"/>
  <c r="AQ21" i="1"/>
  <c r="AQ9" i="1"/>
  <c r="AF5" i="1"/>
  <c r="BB58" i="1"/>
  <c r="AQ67" i="1"/>
  <c r="AQ43" i="1"/>
  <c r="BB11" i="1"/>
  <c r="AA9" i="2" s="1"/>
  <c r="AQ32" i="1"/>
  <c r="AQ8" i="1"/>
  <c r="BB57" i="1"/>
  <c r="AQ66" i="1"/>
  <c r="BB22" i="1"/>
  <c r="AQ7" i="1"/>
  <c r="BB44" i="1"/>
  <c r="BB33" i="1"/>
  <c r="AQ18" i="1"/>
  <c r="AF15" i="1"/>
  <c r="J51" i="1"/>
  <c r="J38" i="1"/>
  <c r="U41" i="1"/>
  <c r="AF63" i="1"/>
  <c r="AF67" i="1"/>
  <c r="AF42" i="1"/>
  <c r="U60" i="1"/>
  <c r="J64" i="1"/>
  <c r="AQ69" i="1"/>
  <c r="D19" i="1"/>
  <c r="C19" i="1"/>
  <c r="E19" i="1"/>
  <c r="B19" i="1"/>
  <c r="D7" i="1"/>
  <c r="C7" i="1"/>
  <c r="E7" i="1"/>
  <c r="B7" i="1"/>
  <c r="D30" i="1"/>
  <c r="C30" i="1"/>
  <c r="E30" i="1"/>
  <c r="B30" i="1"/>
  <c r="D18" i="1"/>
  <c r="C18" i="1"/>
  <c r="E18" i="1"/>
  <c r="B18" i="1"/>
  <c r="D6" i="1"/>
  <c r="C6" i="1"/>
  <c r="E6" i="1"/>
  <c r="B6" i="1"/>
  <c r="D5" i="1"/>
  <c r="C5" i="1"/>
  <c r="E5" i="1"/>
  <c r="B5" i="1"/>
  <c r="D4" i="1"/>
  <c r="C4" i="1"/>
  <c r="B4" i="1"/>
  <c r="E4" i="1"/>
  <c r="B29" i="1"/>
  <c r="D29" i="1"/>
  <c r="C29" i="1"/>
  <c r="E29" i="1"/>
  <c r="B15" i="1"/>
  <c r="E15" i="1"/>
  <c r="D15" i="1"/>
  <c r="C15" i="1"/>
  <c r="D32" i="1"/>
  <c r="C32" i="1"/>
  <c r="E32" i="1"/>
  <c r="B32" i="1"/>
  <c r="D31" i="1"/>
  <c r="C31" i="1"/>
  <c r="E31" i="1"/>
  <c r="B31" i="1"/>
  <c r="B28" i="1"/>
  <c r="D28" i="1"/>
  <c r="C28" i="1"/>
  <c r="E28" i="1"/>
  <c r="B3" i="1"/>
  <c r="E3" i="1"/>
  <c r="D3" i="1"/>
  <c r="C3" i="1"/>
  <c r="E26" i="1"/>
  <c r="B26" i="1"/>
  <c r="D26" i="1"/>
  <c r="C26" i="1"/>
  <c r="E14" i="1"/>
  <c r="B14" i="1"/>
  <c r="D14" i="1"/>
  <c r="C14" i="1"/>
  <c r="D8" i="1"/>
  <c r="C8" i="1"/>
  <c r="E8" i="1"/>
  <c r="B8" i="1"/>
  <c r="E24" i="1"/>
  <c r="B24" i="1"/>
  <c r="D24" i="1"/>
  <c r="C24" i="1"/>
  <c r="E12" i="1"/>
  <c r="B12" i="1"/>
  <c r="D12" i="1"/>
  <c r="C12" i="1"/>
  <c r="B17" i="1"/>
  <c r="D17" i="1"/>
  <c r="C17" i="1"/>
  <c r="E17" i="1"/>
  <c r="B16" i="1"/>
  <c r="D16" i="1"/>
  <c r="C16" i="1"/>
  <c r="E16" i="1"/>
  <c r="E27" i="1"/>
  <c r="B27" i="1"/>
  <c r="D27" i="1"/>
  <c r="C27" i="1"/>
  <c r="E13" i="1"/>
  <c r="B13" i="1"/>
  <c r="D13" i="1"/>
  <c r="C13" i="1"/>
  <c r="C23" i="1"/>
  <c r="E23" i="1"/>
  <c r="B23" i="1"/>
  <c r="D23" i="1"/>
  <c r="E11" i="1"/>
  <c r="X3" i="2" s="1"/>
  <c r="Y3" i="2" s="1"/>
  <c r="Z3" i="2" s="1"/>
  <c r="C11" i="1"/>
  <c r="R3" i="2" s="1"/>
  <c r="S3" i="2" s="1"/>
  <c r="T3" i="2" s="1"/>
  <c r="B11" i="1"/>
  <c r="O3" i="2" s="1"/>
  <c r="D11" i="1"/>
  <c r="U3" i="2" s="1"/>
  <c r="V3" i="2" s="1"/>
  <c r="W3" i="2" s="1"/>
  <c r="C22" i="1"/>
  <c r="D22" i="1"/>
  <c r="E22" i="1"/>
  <c r="B22" i="1"/>
  <c r="C10" i="1"/>
  <c r="D10" i="1"/>
  <c r="E10" i="1"/>
  <c r="B10" i="1"/>
  <c r="D20" i="1"/>
  <c r="C20" i="1"/>
  <c r="E20" i="1"/>
  <c r="B20" i="1"/>
  <c r="E25" i="1"/>
  <c r="B25" i="1"/>
  <c r="D25" i="1"/>
  <c r="C25" i="1"/>
  <c r="D33" i="1"/>
  <c r="C33" i="1"/>
  <c r="E33" i="1"/>
  <c r="B33" i="1"/>
  <c r="D21" i="1"/>
  <c r="C21" i="1"/>
  <c r="E21" i="1"/>
  <c r="B21" i="1"/>
  <c r="D9" i="1"/>
  <c r="C9" i="1"/>
  <c r="E9" i="1"/>
  <c r="B9" i="1"/>
  <c r="N27" i="1"/>
  <c r="P27" i="1"/>
  <c r="O27" i="1"/>
  <c r="M27" i="1"/>
  <c r="N15" i="1"/>
  <c r="P15" i="1"/>
  <c r="O15" i="1"/>
  <c r="M15" i="1"/>
  <c r="M14" i="1"/>
  <c r="N14" i="1"/>
  <c r="P14" i="1"/>
  <c r="O14" i="1"/>
  <c r="M13" i="1"/>
  <c r="N13" i="1"/>
  <c r="P13" i="1"/>
  <c r="O13" i="1"/>
  <c r="N28" i="1"/>
  <c r="P28" i="1"/>
  <c r="O28" i="1"/>
  <c r="M28" i="1"/>
  <c r="M23" i="1"/>
  <c r="N23" i="1"/>
  <c r="P23" i="1"/>
  <c r="O23" i="1"/>
  <c r="N11" i="1"/>
  <c r="R7" i="2" s="1"/>
  <c r="S7" i="2" s="1"/>
  <c r="T7" i="2" s="1"/>
  <c r="P11" i="1"/>
  <c r="X7" i="2" s="1"/>
  <c r="Y7" i="2" s="1"/>
  <c r="Z7" i="2" s="1"/>
  <c r="O11" i="1"/>
  <c r="U7" i="2" s="1"/>
  <c r="V7" i="2" s="1"/>
  <c r="W7" i="2" s="1"/>
  <c r="M22" i="1"/>
  <c r="N22" i="1"/>
  <c r="P22" i="1"/>
  <c r="O22" i="1"/>
  <c r="M26" i="1"/>
  <c r="N26" i="1"/>
  <c r="P26" i="1"/>
  <c r="O26" i="1"/>
  <c r="M21" i="1"/>
  <c r="N21" i="1"/>
  <c r="P21" i="1"/>
  <c r="O21" i="1"/>
  <c r="M25" i="1"/>
  <c r="N25" i="1"/>
  <c r="P25" i="1"/>
  <c r="O25" i="1"/>
  <c r="O8" i="1"/>
  <c r="M8" i="1"/>
  <c r="N8" i="1"/>
  <c r="P8" i="1"/>
  <c r="N10" i="1"/>
  <c r="P10" i="1"/>
  <c r="O10" i="1"/>
  <c r="M33" i="1"/>
  <c r="O33" i="1"/>
  <c r="N33" i="1"/>
  <c r="P33" i="1"/>
  <c r="M9" i="1"/>
  <c r="O9" i="1"/>
  <c r="N9" i="1"/>
  <c r="P9" i="1"/>
  <c r="O32" i="1"/>
  <c r="M32" i="1"/>
  <c r="N32" i="1"/>
  <c r="P32" i="1"/>
  <c r="O20" i="1"/>
  <c r="M20" i="1"/>
  <c r="N20" i="1"/>
  <c r="P20" i="1"/>
  <c r="N31" i="1"/>
  <c r="P31" i="1"/>
  <c r="O31" i="1"/>
  <c r="M31" i="1"/>
  <c r="N19" i="1"/>
  <c r="O19" i="1"/>
  <c r="M19" i="1"/>
  <c r="P19" i="1"/>
  <c r="M12" i="1"/>
  <c r="N12" i="1"/>
  <c r="P12" i="1"/>
  <c r="O12" i="1"/>
  <c r="N18" i="1"/>
  <c r="P18" i="1"/>
  <c r="O18" i="1"/>
  <c r="M18" i="1"/>
  <c r="N16" i="1"/>
  <c r="P16" i="1"/>
  <c r="O16" i="1"/>
  <c r="M16" i="1"/>
  <c r="M24" i="1"/>
  <c r="N24" i="1"/>
  <c r="P24" i="1"/>
  <c r="O24" i="1"/>
  <c r="N30" i="1"/>
  <c r="P30" i="1"/>
  <c r="O30" i="1"/>
  <c r="M30" i="1"/>
  <c r="N29" i="1"/>
  <c r="P29" i="1"/>
  <c r="O29" i="1"/>
  <c r="M29" i="1"/>
  <c r="N17" i="1"/>
  <c r="P17" i="1"/>
  <c r="O17" i="1"/>
  <c r="M17" i="1"/>
  <c r="H29" i="1"/>
  <c r="G29" i="1"/>
  <c r="F29" i="1"/>
  <c r="H17" i="1"/>
  <c r="G17" i="1"/>
  <c r="F17" i="1"/>
  <c r="H5" i="1"/>
  <c r="F5" i="1"/>
  <c r="G5" i="1"/>
  <c r="Q25" i="1"/>
  <c r="R25" i="1"/>
  <c r="S25" i="1"/>
  <c r="Q13" i="1"/>
  <c r="R13" i="1"/>
  <c r="S13" i="1"/>
  <c r="Q12" i="1"/>
  <c r="R12" i="1"/>
  <c r="S12" i="1"/>
  <c r="G4" i="1"/>
  <c r="F4" i="1"/>
  <c r="H4" i="1"/>
  <c r="Q24" i="1"/>
  <c r="R24" i="1"/>
  <c r="S24" i="1"/>
  <c r="H27" i="1"/>
  <c r="G27" i="1"/>
  <c r="F27" i="1"/>
  <c r="H15" i="1"/>
  <c r="G15" i="1"/>
  <c r="F15" i="1"/>
  <c r="H3" i="1"/>
  <c r="G3" i="1"/>
  <c r="F3" i="1"/>
  <c r="S23" i="1"/>
  <c r="Q23" i="1"/>
  <c r="R23" i="1"/>
  <c r="S11" i="1"/>
  <c r="Q11" i="1"/>
  <c r="R11" i="1"/>
  <c r="S22" i="1"/>
  <c r="Q22" i="1"/>
  <c r="R22" i="1"/>
  <c r="S10" i="1"/>
  <c r="Q10" i="1"/>
  <c r="R10" i="1"/>
  <c r="H14" i="1"/>
  <c r="G14" i="1"/>
  <c r="F14" i="1"/>
  <c r="F25" i="1"/>
  <c r="H25" i="1"/>
  <c r="G25" i="1"/>
  <c r="F13" i="1"/>
  <c r="H13" i="1"/>
  <c r="G13" i="1"/>
  <c r="R33" i="1"/>
  <c r="S33" i="1"/>
  <c r="Q33" i="1"/>
  <c r="R21" i="1"/>
  <c r="S21" i="1"/>
  <c r="Q21" i="1"/>
  <c r="R9" i="1"/>
  <c r="S9" i="1"/>
  <c r="Q9" i="1"/>
  <c r="H26" i="1"/>
  <c r="G26" i="1"/>
  <c r="F26" i="1"/>
  <c r="H28" i="1"/>
  <c r="G28" i="1"/>
  <c r="F28" i="1"/>
  <c r="R8" i="1"/>
  <c r="S8" i="1"/>
  <c r="Q8" i="1"/>
  <c r="R19" i="1"/>
  <c r="S19" i="1"/>
  <c r="Q19" i="1"/>
  <c r="H23" i="1"/>
  <c r="F23" i="1"/>
  <c r="G23" i="1"/>
  <c r="F11" i="1"/>
  <c r="H11" i="1"/>
  <c r="G11" i="1"/>
  <c r="R31" i="1"/>
  <c r="S31" i="1"/>
  <c r="Q31" i="1"/>
  <c r="F22" i="1"/>
  <c r="H22" i="1"/>
  <c r="G22" i="1"/>
  <c r="F10" i="1"/>
  <c r="H10" i="1"/>
  <c r="G10" i="1"/>
  <c r="R30" i="1"/>
  <c r="S30" i="1"/>
  <c r="Q30" i="1"/>
  <c r="R18" i="1"/>
  <c r="S18" i="1"/>
  <c r="Q18" i="1"/>
  <c r="F12" i="1"/>
  <c r="H12" i="1"/>
  <c r="G12" i="1"/>
  <c r="F33" i="1"/>
  <c r="H33" i="1"/>
  <c r="G33" i="1"/>
  <c r="H21" i="1"/>
  <c r="G21" i="1"/>
  <c r="F21" i="1"/>
  <c r="F9" i="1"/>
  <c r="H9" i="1"/>
  <c r="G9" i="1"/>
  <c r="R29" i="1"/>
  <c r="S29" i="1"/>
  <c r="Q29" i="1"/>
  <c r="R17" i="1"/>
  <c r="S17" i="1"/>
  <c r="Q17" i="1"/>
  <c r="F16" i="1"/>
  <c r="H16" i="1"/>
  <c r="G16" i="1"/>
  <c r="R20" i="1"/>
  <c r="S20" i="1"/>
  <c r="Q20" i="1"/>
  <c r="G8" i="1"/>
  <c r="F8" i="1"/>
  <c r="H8" i="1"/>
  <c r="Q28" i="1"/>
  <c r="R28" i="1"/>
  <c r="S28" i="1"/>
  <c r="Q16" i="1"/>
  <c r="R16" i="1"/>
  <c r="S16" i="1"/>
  <c r="F24" i="1"/>
  <c r="H24" i="1"/>
  <c r="G24" i="1"/>
  <c r="G32" i="1"/>
  <c r="F32" i="1"/>
  <c r="H32" i="1"/>
  <c r="G31" i="1"/>
  <c r="F31" i="1"/>
  <c r="H31" i="1"/>
  <c r="F19" i="1"/>
  <c r="G19" i="1"/>
  <c r="H19" i="1"/>
  <c r="G7" i="1"/>
  <c r="F7" i="1"/>
  <c r="H7" i="1"/>
  <c r="Q27" i="1"/>
  <c r="R27" i="1"/>
  <c r="S27" i="1"/>
  <c r="Q15" i="1"/>
  <c r="R15" i="1"/>
  <c r="S15" i="1"/>
  <c r="R32" i="1"/>
  <c r="S32" i="1"/>
  <c r="Q32" i="1"/>
  <c r="G20" i="1"/>
  <c r="F20" i="1"/>
  <c r="H20" i="1"/>
  <c r="H30" i="1"/>
  <c r="G30" i="1"/>
  <c r="F30" i="1"/>
  <c r="H18" i="1"/>
  <c r="F18" i="1"/>
  <c r="G18" i="1"/>
  <c r="H6" i="1"/>
  <c r="F6" i="1"/>
  <c r="G6" i="1"/>
  <c r="Q26" i="1"/>
  <c r="R26" i="1"/>
  <c r="S26" i="1"/>
  <c r="Q14" i="1"/>
  <c r="R14" i="1"/>
  <c r="S14" i="1"/>
  <c r="U4" i="1"/>
  <c r="U6" i="1"/>
  <c r="U7" i="1"/>
  <c r="U3" i="1"/>
  <c r="U5" i="1"/>
  <c r="Q7" i="2" l="1"/>
  <c r="P7" i="2"/>
  <c r="P3" i="2"/>
  <c r="Q3" i="2"/>
  <c r="AA6" i="2"/>
  <c r="L14" i="2"/>
  <c r="U27" i="1"/>
  <c r="U33" i="1"/>
  <c r="U29" i="1"/>
  <c r="U24" i="1"/>
  <c r="U25" i="1"/>
  <c r="U9" i="1"/>
  <c r="U21" i="1"/>
  <c r="U23" i="1"/>
  <c r="U8" i="1"/>
  <c r="U22" i="1"/>
  <c r="U30" i="1"/>
  <c r="U18" i="1"/>
  <c r="U32" i="1"/>
  <c r="U28" i="1"/>
  <c r="U13" i="1"/>
  <c r="U14" i="1"/>
  <c r="U17" i="1"/>
  <c r="U31" i="1"/>
  <c r="U11" i="1"/>
  <c r="AA7" i="2" s="1"/>
  <c r="U10" i="1"/>
  <c r="U12" i="1"/>
  <c r="U15" i="1"/>
  <c r="U19" i="1"/>
  <c r="U20" i="1"/>
  <c r="U16" i="1"/>
  <c r="U26" i="1"/>
  <c r="J10" i="1"/>
  <c r="J18" i="1"/>
  <c r="J12" i="1"/>
  <c r="J8" i="1"/>
  <c r="J28" i="1"/>
  <c r="J4" i="1"/>
  <c r="J22" i="1"/>
  <c r="J11" i="1"/>
  <c r="AA3" i="2" s="1"/>
  <c r="J31" i="1"/>
  <c r="J20" i="1"/>
  <c r="J23" i="1"/>
  <c r="J6" i="1"/>
  <c r="J32" i="1"/>
  <c r="J14" i="1"/>
  <c r="J30" i="1"/>
  <c r="J5" i="1"/>
  <c r="J9" i="1"/>
  <c r="J26" i="1"/>
  <c r="J19" i="1"/>
  <c r="J3" i="1"/>
  <c r="J13" i="1"/>
  <c r="J25" i="1"/>
  <c r="J15" i="1"/>
  <c r="J7" i="1"/>
  <c r="J16" i="1"/>
  <c r="J27" i="1"/>
  <c r="J33" i="1"/>
  <c r="J21" i="1"/>
  <c r="J24" i="1"/>
  <c r="J29" i="1"/>
  <c r="J17" i="1"/>
</calcChain>
</file>

<file path=xl/sharedStrings.xml><?xml version="1.0" encoding="utf-8"?>
<sst xmlns="http://schemas.openxmlformats.org/spreadsheetml/2006/main" count="535" uniqueCount="78">
  <si>
    <t>fecha</t>
  </si>
  <si>
    <t>10kg</t>
  </si>
  <si>
    <t>18kg</t>
  </si>
  <si>
    <t>27kg</t>
  </si>
  <si>
    <t>pm</t>
  </si>
  <si>
    <t>efectivo</t>
  </si>
  <si>
    <t>divisa</t>
  </si>
  <si>
    <t>deuda</t>
  </si>
  <si>
    <t>Mata Seca</t>
  </si>
  <si>
    <t>DIAS DEL MES</t>
  </si>
  <si>
    <t>30 9 2024</t>
  </si>
  <si>
    <t>1 10 2024</t>
  </si>
  <si>
    <t>2 10 2024</t>
  </si>
  <si>
    <t>3 10 2024</t>
  </si>
  <si>
    <t>4 10 2024</t>
  </si>
  <si>
    <t>5 10 2024</t>
  </si>
  <si>
    <t>6 10 2024</t>
  </si>
  <si>
    <t>7 10 2024</t>
  </si>
  <si>
    <t>8 10 2024</t>
  </si>
  <si>
    <t>9 10 2024</t>
  </si>
  <si>
    <t>10 10 2024</t>
  </si>
  <si>
    <t>11 10 2024</t>
  </si>
  <si>
    <t>12 10 2024</t>
  </si>
  <si>
    <t>13 10 2024</t>
  </si>
  <si>
    <t>14 10 2024</t>
  </si>
  <si>
    <t>15 10 2024</t>
  </si>
  <si>
    <t>16 10 2024</t>
  </si>
  <si>
    <t>17 10 2024</t>
  </si>
  <si>
    <t>18 10 2024</t>
  </si>
  <si>
    <t>19 10 2024</t>
  </si>
  <si>
    <t>20 10 2024</t>
  </si>
  <si>
    <t>21 10 2024</t>
  </si>
  <si>
    <t>22 10 2024</t>
  </si>
  <si>
    <t>23 10 2024</t>
  </si>
  <si>
    <t>24 10 2024</t>
  </si>
  <si>
    <t>25 10 2024</t>
  </si>
  <si>
    <t>26 10 2024</t>
  </si>
  <si>
    <t>27 10 2024</t>
  </si>
  <si>
    <t>28 10 2024</t>
  </si>
  <si>
    <t>29 10 2024</t>
  </si>
  <si>
    <t>30 10 2024</t>
  </si>
  <si>
    <t>31 10 2024</t>
  </si>
  <si>
    <t>BCV</t>
  </si>
  <si>
    <t>mata seca</t>
  </si>
  <si>
    <t>punto</t>
  </si>
  <si>
    <t>43kg</t>
  </si>
  <si>
    <t>candelaria</t>
  </si>
  <si>
    <t>coromoto</t>
  </si>
  <si>
    <t>piñal</t>
  </si>
  <si>
    <t>camion</t>
  </si>
  <si>
    <t>barrio bolivar</t>
  </si>
  <si>
    <t>sector 3</t>
  </si>
  <si>
    <t>sector 9</t>
  </si>
  <si>
    <t xml:space="preserve">PUNTOS </t>
  </si>
  <si>
    <t>pagos</t>
  </si>
  <si>
    <t>fecha de hoy</t>
  </si>
  <si>
    <t>bvc del dia</t>
  </si>
  <si>
    <t>progreso</t>
  </si>
  <si>
    <t>otros puntos</t>
  </si>
  <si>
    <t>total</t>
  </si>
  <si>
    <t xml:space="preserve">Punto </t>
  </si>
  <si>
    <t>Registro y Censo Del Dìa</t>
  </si>
  <si>
    <t>CENSOS</t>
  </si>
  <si>
    <t>PAGOS</t>
  </si>
  <si>
    <t>DEVOLUCIONES</t>
  </si>
  <si>
    <t>DEVOLUCION DE DINERO</t>
  </si>
  <si>
    <t>total en bs</t>
  </si>
  <si>
    <t>PAGOS DIA</t>
  </si>
  <si>
    <t>10kg $</t>
  </si>
  <si>
    <t>18kg $</t>
  </si>
  <si>
    <t>27kg $</t>
  </si>
  <si>
    <t>43kg $</t>
  </si>
  <si>
    <t>10kg Bs</t>
  </si>
  <si>
    <t>18kg Bs</t>
  </si>
  <si>
    <t>27kg Bs</t>
  </si>
  <si>
    <t>43kg Bs</t>
  </si>
  <si>
    <t>pagado</t>
  </si>
  <si>
    <t>por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</si>
</sst>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Bs.S&quot;* #,##0.00_ ;_ &quot;Bs.S&quot;* \-#,##0.00_ ;_ &quot;Bs.S&quot;* &quot;-&quot;??_ ;_ @_ "/>
    <numFmt numFmtId="165" formatCode="_ [$Bs.S-200A]* #,##0.00_ ;_ [$Bs.S-200A]* \-#,##0.00_ ;_ [$Bs.S-200A]* &quot;-&quot;??_ ;_ @_ 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499984740745262"/>
      <name val="Calibri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8"/>
      <color theme="4" tint="-0.499984740745262"/>
      <name val="Arial Black"/>
      <family val="2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0" fillId="0" borderId="3" xfId="0" applyBorder="1"/>
    <xf numFmtId="14" fontId="3" fillId="0" borderId="4" xfId="0" applyNumberFormat="1" applyFont="1" applyBorder="1"/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14" fontId="3" fillId="0" borderId="8" xfId="0" applyNumberFormat="1" applyFont="1" applyBorder="1"/>
    <xf numFmtId="0" fontId="4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Border="1"/>
    <xf numFmtId="0" fontId="9" fillId="0" borderId="5" xfId="0" applyFont="1" applyBorder="1" applyAlignment="1">
      <alignment horizontal="center" vertical="center"/>
    </xf>
    <xf numFmtId="0" fontId="0" fillId="0" borderId="0" xfId="0" applyFill="1"/>
    <xf numFmtId="0" fontId="1" fillId="2" borderId="5" xfId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0" fillId="0" borderId="4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Fill="1" applyBorder="1"/>
    <xf numFmtId="0" fontId="6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6" xfId="0" applyNumberFormat="1" applyFont="1" applyBorder="1" applyAlignment="1" applyProtection="1">
      <alignment horizontal="center" vertical="center"/>
    </xf>
    <xf numFmtId="0" fontId="0" fillId="0" borderId="5" xfId="0" applyFill="1" applyBorder="1"/>
    <xf numFmtId="0" fontId="0" fillId="0" borderId="0" xfId="0" applyProtection="1"/>
    <xf numFmtId="0" fontId="0" fillId="0" borderId="2" xfId="0" applyBorder="1" applyProtection="1"/>
    <xf numFmtId="0" fontId="0" fillId="0" borderId="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44" fontId="0" fillId="0" borderId="5" xfId="0" applyNumberFormat="1" applyBorder="1"/>
    <xf numFmtId="44" fontId="0" fillId="0" borderId="5" xfId="0" applyNumberFormat="1" applyFill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190"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color theme="2" tint="-0.749992370372631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color theme="2" tint="-0.749992370372631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color theme="2" tint="-0.749992370372631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color theme="2" tint="-0.749992370372631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color theme="2" tint="-0.749992370372631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color theme="2" tint="-0.749992370372631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color theme="2" tint="-0.749992370372631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color theme="2" tint="-0.749992370372631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4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4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821" displayName="Tabla1821" ref="A2:F10" totalsRowShown="0" headerRowDxfId="104" headerRowCellStyle="Normal" dataCellStyle="Normal">
  <autoFilter ref="A2:F10"/>
  <tableColumns count="6">
    <tableColumn id="1" name="fecha" dataDxfId="34" dataCellStyle="Normal"/>
    <tableColumn id="2" name="10kg" dataDxfId="35" dataCellStyle="Normal"/>
    <tableColumn id="3" name="18kg" dataDxfId="33" dataCellStyle="Normal"/>
    <tableColumn id="6" name="27kg" dataDxfId="32"/>
    <tableColumn id="4" name="43kg" dataDxfId="31" dataCellStyle="Normal"/>
    <tableColumn id="5" name="punto" dataDxfId="30" dataCellStyle="Normal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8" name="TablaSector3" displayName="TablaSector3" ref="A37:J69" totalsRowShown="0" headerRowDxfId="14" dataDxfId="13" headerRowBorderDxfId="11" tableBorderDxfId="12" totalsRowBorderDxfId="10">
  <autoFilter ref="A37:J69"/>
  <tableColumns count="10">
    <tableColumn id="1" name="fecha" dataDxfId="9"/>
    <tableColumn id="2" name="10kg" dataDxfId="8"/>
    <tableColumn id="3" name="18kg" dataDxfId="7"/>
    <tableColumn id="5" name="27kg" dataDxfId="6"/>
    <tableColumn id="6" name="43kg" dataDxfId="5"/>
    <tableColumn id="8" name="pm" dataDxfId="4"/>
    <tableColumn id="9" name="efectivo" dataDxfId="3"/>
    <tableColumn id="10" name="divisa" dataDxfId="2"/>
    <tableColumn id="11" name="pagos" dataDxfId="1"/>
    <tableColumn id="12" name="deuda" dataDxfId="0">
      <calculatedColumnFormula xml:space="preserve"> ((TablaSector3[[#This Row],[10kg]]*3.5) + (TablaSector3[[#This Row],[18kg]]*8)  + (TablaSector3[[#This Row],[27kg]]*11) + (TablaSector3[[#This Row],[43kg]]*17))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TablaSector9" displayName="TablaSector9" ref="L37:U69" totalsRowShown="0" headerRowDxfId="74" dataDxfId="73" headerRowBorderDxfId="71" tableBorderDxfId="72" totalsRowBorderDxfId="70">
  <autoFilter ref="L37:U69"/>
  <tableColumns count="10">
    <tableColumn id="1" name="fecha" dataDxfId="69"/>
    <tableColumn id="2" name="10kg" dataDxfId="68"/>
    <tableColumn id="3" name="18kg" dataDxfId="67"/>
    <tableColumn id="5" name="27kg" dataDxfId="66"/>
    <tableColumn id="6" name="43kg" dataDxfId="65"/>
    <tableColumn id="8" name="pm" dataDxfId="64"/>
    <tableColumn id="9" name="efectivo" dataDxfId="63"/>
    <tableColumn id="10" name="divisa" dataDxfId="62"/>
    <tableColumn id="11" name="pagos" dataDxfId="61"/>
    <tableColumn id="12" name="deuda" dataDxfId="60">
      <calculatedColumnFormula xml:space="preserve"> ((TablaSector9[[#This Row],[10kg]]*3.5) + (TablaSector9[[#This Row],[18kg]]*8)  + (TablaSector9[[#This Row],[27kg]]*11) + (TablaSector9[[#This Row],[43kg]]*17))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0" name="TablaProgreso" displayName="TablaProgreso" ref="W37:AF69" totalsRowShown="0" headerRowDxfId="96" dataDxfId="95" headerRowBorderDxfId="93" tableBorderDxfId="94" totalsRowBorderDxfId="92">
  <autoFilter ref="W37:AF69"/>
  <tableColumns count="10">
    <tableColumn id="1" name="fecha" dataDxfId="91"/>
    <tableColumn id="2" name="10kg" dataDxfId="90"/>
    <tableColumn id="3" name="18kg" dataDxfId="89"/>
    <tableColumn id="5" name="27kg" dataDxfId="88"/>
    <tableColumn id="6" name="43kg" dataDxfId="87"/>
    <tableColumn id="8" name="pm" dataDxfId="86"/>
    <tableColumn id="9" name="efectivo" dataDxfId="85"/>
    <tableColumn id="10" name="divisa" dataDxfId="84"/>
    <tableColumn id="11" name="pagos" dataDxfId="83"/>
    <tableColumn id="12" name="deuda" dataDxfId="82">
      <calculatedColumnFormula xml:space="preserve"> ((TablaProgreso[[#This Row],[10kg]]*3.5) + (TablaProgreso[[#This Row],[18kg]]*8)  + (TablaProgreso[[#This Row],[27kg]]*11) + (TablaProgreso[[#This Row],[43kg]]*17))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1" name="TablaCamion" displayName="TablaCamion" ref="AH37:AQ69" totalsRowShown="0" headerRowDxfId="120" dataDxfId="119" headerRowBorderDxfId="117" tableBorderDxfId="118" totalsRowBorderDxfId="116">
  <autoFilter ref="AH37:AQ69"/>
  <tableColumns count="10">
    <tableColumn id="1" name="fecha" dataDxfId="115"/>
    <tableColumn id="2" name="10kg" dataDxfId="114"/>
    <tableColumn id="3" name="18kg" dataDxfId="113"/>
    <tableColumn id="5" name="27kg" dataDxfId="112"/>
    <tableColumn id="6" name="43kg" dataDxfId="111"/>
    <tableColumn id="8" name="pm" dataDxfId="110"/>
    <tableColumn id="9" name="efectivo" dataDxfId="109"/>
    <tableColumn id="10" name="divisa" dataDxfId="108"/>
    <tableColumn id="11" name="pagos" dataDxfId="107"/>
    <tableColumn id="12" name="deuda" dataDxfId="106">
      <calculatedColumnFormula xml:space="preserve"> ((TablaCamion[[#This Row],[10kg]]*3.5) + (TablaCamion[[#This Row],[18kg]]*8)  + (TablaCamion[[#This Row],[27kg]]*11) + (TablaCamion[[#This Row],[43kg]]*17))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2" name="TablaOtrosPuntos" displayName="TablaOtrosPuntos" ref="AS37:BC69" totalsRowShown="0" headerRowDxfId="59" dataDxfId="58" headerRowBorderDxfId="56" tableBorderDxfId="57" totalsRowBorderDxfId="55">
  <autoFilter ref="AS37:BC69"/>
  <tableColumns count="11">
    <tableColumn id="1" name="fecha" dataDxfId="54"/>
    <tableColumn id="2" name="10kg" dataDxfId="53"/>
    <tableColumn id="3" name="18kg" dataDxfId="52"/>
    <tableColumn id="5" name="27kg" dataDxfId="51"/>
    <tableColumn id="6" name="43kg" dataDxfId="50"/>
    <tableColumn id="8" name="pm" dataDxfId="49"/>
    <tableColumn id="9" name="efectivo" dataDxfId="48"/>
    <tableColumn id="10" name="divisa" dataDxfId="47"/>
    <tableColumn id="11" name="pagos" dataDxfId="46"/>
    <tableColumn id="12" name="deuda" dataDxfId="45">
      <calculatedColumnFormula xml:space="preserve"> ((TablaOtrosPuntos[[#This Row],[10kg]]*3.5) + (TablaOtrosPuntos[[#This Row],[18kg]]*8)  + (TablaOtrosPuntos[[#This Row],[27kg]]*11) + (TablaOtrosPuntos[[#This Row],[43kg]]*17))</calculatedColumnFormula>
    </tableColumn>
    <tableColumn id="4" name="punto" dataDxfId="4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registroYcensoDelDia" displayName="registroYcensoDelDia" ref="G2:L12" totalsRowShown="0" headerRowDxfId="37" dataDxfId="36" tableBorderDxfId="105" headerRowCellStyle="Normal" dataCellStyle="Normal">
  <autoFilter ref="G2:L12"/>
  <tableColumns count="6">
    <tableColumn id="1" name="Punto " dataDxfId="43" dataCellStyle="Normal"/>
    <tableColumn id="2" name="10kg" dataDxfId="42" dataCellStyle="Normal">
      <calculatedColumnFormula xml:space="preserve"> SUMIFS(Tabla1821[10kg],Tabla1821[fecha],F1,Tabla1821[punto],DATOS!C2)</calculatedColumnFormula>
    </tableColumn>
    <tableColumn id="3" name="18kg" dataDxfId="41" dataCellStyle="Normal">
      <calculatedColumnFormula xml:space="preserve"> SUMIFS(Tabla1821[18kg],Tabla1821[fecha],F1,Tabla1821[punto],DATOS!C2)</calculatedColumnFormula>
    </tableColumn>
    <tableColumn id="5" name="27kg" dataDxfId="40" dataCellStyle="Normal"/>
    <tableColumn id="6" name="43kg" dataDxfId="39" dataCellStyle="Normal">
      <calculatedColumnFormula xml:space="preserve"> SUMIFS(Tabla1821[43kg],Tabla1821[fecha],F1,Tabla1821[punto],DATOS!C2)</calculatedColumnFormula>
    </tableColumn>
    <tableColumn id="7" name="total" dataDxfId="38" dataCellStyle="Normal">
      <calculatedColumnFormula>SUM(H3:K3)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4" name="Tabla182115" displayName="Tabla182115" ref="H2:M6" totalsRowShown="0" headerRowDxfId="103" headerRowCellStyle="Normal" dataCellStyle="Normal">
  <autoFilter ref="H2:M6"/>
  <tableColumns count="6">
    <tableColumn id="1" name="fecha" dataDxfId="102" dataCellStyle="Normal"/>
    <tableColumn id="2" name="10kg" dataDxfId="101" dataCellStyle="Normal"/>
    <tableColumn id="3" name="18kg" dataDxfId="100" dataCellStyle="Normal"/>
    <tableColumn id="6" name="27kg" dataDxfId="99"/>
    <tableColumn id="4" name="43kg" dataDxfId="98" dataCellStyle="Normal"/>
    <tableColumn id="5" name="punto" dataDxfId="97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a18" displayName="Tabla18" ref="A2:E15" totalsRowShown="0" headerRowDxfId="189" headerRowBorderDxfId="188" tableBorderDxfId="187" totalsRowBorderDxfId="186" headerRowCellStyle="Normal" dataCellStyle="Normal">
  <autoFilter ref="A2:E15"/>
  <tableColumns count="5">
    <tableColumn id="1" name="fecha" dataDxfId="185" dataCellStyle="Normal"/>
    <tableColumn id="2" name="pm" dataDxfId="184" dataCellStyle="Normal"/>
    <tableColumn id="3" name="efectivo" dataDxfId="183" dataCellStyle="Normal"/>
    <tableColumn id="4" name="divisa" dataDxfId="182" dataCellStyle="Normal"/>
    <tableColumn id="5" name="punto" dataDxfId="181" dataCellStyle="Norma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Tabla1816" displayName="Tabla1816" ref="G2:I13" totalsRowShown="0" headerRowDxfId="81" headerRowBorderDxfId="79" tableBorderDxfId="80" totalsRowBorderDxfId="78" headerRowCellStyle="Normal" dataCellStyle="Normal">
  <autoFilter ref="G2:I13"/>
  <tableColumns count="3">
    <tableColumn id="1" name="fecha" dataDxfId="77" dataCellStyle="Normal"/>
    <tableColumn id="2" name="pm" dataDxfId="76" dataCellStyle="Normal"/>
    <tableColumn id="5" name="punto" dataDxfId="75" dataCellStyle="Norma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TablaMataSeca" displayName="TablaMataSeca" ref="A2:J33" totalsRowShown="0" headerRowDxfId="180" dataDxfId="178" headerRowBorderDxfId="179" tableBorderDxfId="177" totalsRowBorderDxfId="176">
  <autoFilter ref="A2:J33"/>
  <tableColumns count="10">
    <tableColumn id="1" name="fecha" dataDxfId="175">
      <calculatedColumnFormula xml:space="preserve"> DATOS!A2</calculatedColumnFormula>
    </tableColumn>
    <tableColumn id="2" name="10kg" dataDxfId="174"/>
    <tableColumn id="3" name="18kg" dataDxfId="173"/>
    <tableColumn id="5" name="27kg" dataDxfId="172"/>
    <tableColumn id="6" name="43kg" dataDxfId="171"/>
    <tableColumn id="8" name="pm" dataDxfId="170"/>
    <tableColumn id="9" name="efectivo" dataDxfId="169"/>
    <tableColumn id="10" name="divisa" dataDxfId="168"/>
    <tableColumn id="11" name="pagos" dataDxfId="167"/>
    <tableColumn id="12" name="deuda" dataDxfId="166">
      <calculatedColumnFormula xml:space="preserve"> ((TablaMataSeca[[#This Row],[10kg]]*3.5) + (TablaMataSeca[[#This Row],[18kg]]*8)  + (TablaMataSeca[[#This Row],[27kg]]*11) + (TablaMataSeca[[#This Row],[43kg]]*17))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TablaPinal" displayName="TablaPinal" ref="L2:U33" totalsRowShown="0" headerRowDxfId="165" dataDxfId="163" headerRowBorderDxfId="164" tableBorderDxfId="162" totalsRowBorderDxfId="161">
  <autoFilter ref="L2:U33"/>
  <tableColumns count="10">
    <tableColumn id="1" name="fecha" dataDxfId="160">
      <calculatedColumnFormula xml:space="preserve"> DATOS!A2</calculatedColumnFormula>
    </tableColumn>
    <tableColumn id="2" name="10kg" dataDxfId="159"/>
    <tableColumn id="3" name="18kg" dataDxfId="158"/>
    <tableColumn id="5" name="27kg" dataDxfId="157"/>
    <tableColumn id="6" name="43kg" dataDxfId="156"/>
    <tableColumn id="8" name="pm" dataDxfId="155"/>
    <tableColumn id="9" name="efectivo" dataDxfId="154"/>
    <tableColumn id="10" name="divisa" dataDxfId="153"/>
    <tableColumn id="11" name="pagos" dataDxfId="152"/>
    <tableColumn id="12" name="deuda" dataDxfId="151">
      <calculatedColumnFormula xml:space="preserve"> ((TablaPinal[[#This Row],[10kg]]*3.5) + (TablaPinal[[#This Row],[18kg]]*8)  + (TablaPinal[[#This Row],[27kg]]*11) + (TablaPinal[[#This Row],[43kg]]*17))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3" name="TablaCandelaria" displayName="TablaCandelaria" ref="W2:AF34" totalsRowShown="0" headerRowDxfId="29" dataDxfId="28" headerRowBorderDxfId="26" tableBorderDxfId="27" totalsRowBorderDxfId="25">
  <autoFilter ref="W2:AF34"/>
  <tableColumns count="10">
    <tableColumn id="1" name="fecha" dataDxfId="24"/>
    <tableColumn id="2" name="10kg" dataDxfId="23"/>
    <tableColumn id="3" name="18kg" dataDxfId="22"/>
    <tableColumn id="5" name="27kg" dataDxfId="21"/>
    <tableColumn id="6" name="43kg" dataDxfId="20"/>
    <tableColumn id="8" name="pm" dataDxfId="19"/>
    <tableColumn id="9" name="efectivo" dataDxfId="18"/>
    <tableColumn id="10" name="divisa" dataDxfId="17"/>
    <tableColumn id="11" name="pagos" dataDxfId="16"/>
    <tableColumn id="12" name="deuda" dataDxfId="15">
      <calculatedColumnFormula xml:space="preserve"> ((TablaCandelaria[[#This Row],[10kg]]*3.5) + (TablaCandelaria[[#This Row],[18kg]]*8)  + (TablaCandelaria[[#This Row],[27kg]]*11) + (TablaCandelaria[[#This Row],[43kg]]*17))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6" name="TablaCoromoto" displayName="TablaCoromoto" ref="AH2:AQ34" totalsRowShown="0" headerRowDxfId="150" dataDxfId="149" headerRowBorderDxfId="147" tableBorderDxfId="148" totalsRowBorderDxfId="146">
  <autoFilter ref="AH2:AQ34"/>
  <tableColumns count="10">
    <tableColumn id="1" name="fecha" dataDxfId="145"/>
    <tableColumn id="2" name="10kg" dataDxfId="144"/>
    <tableColumn id="3" name="18kg" dataDxfId="143"/>
    <tableColumn id="5" name="27kg" dataDxfId="142"/>
    <tableColumn id="6" name="43kg" dataDxfId="141"/>
    <tableColumn id="8" name="pm" dataDxfId="140"/>
    <tableColumn id="9" name="efectivo" dataDxfId="139"/>
    <tableColumn id="10" name="divisa" dataDxfId="138"/>
    <tableColumn id="11" name="pagos" dataDxfId="137"/>
    <tableColumn id="12" name="deuda" dataDxfId="136">
      <calculatedColumnFormula xml:space="preserve"> ((TablaCoromoto[[#This Row],[10kg]]*3.5) + (TablaCoromoto[[#This Row],[18kg]]*8)  + (TablaCoromoto[[#This Row],[27kg]]*11) + (TablaCoromoto[[#This Row],[43kg]]*17))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TablaBarrioBolivar" displayName="TablaBarrioBolivar" ref="AS2:BB34" totalsRowShown="0" headerRowDxfId="135" dataDxfId="134" headerRowBorderDxfId="132" tableBorderDxfId="133" totalsRowBorderDxfId="131">
  <autoFilter ref="AS2:BB34"/>
  <tableColumns count="10">
    <tableColumn id="1" name="fecha" dataDxfId="130"/>
    <tableColumn id="2" name="10kg" dataDxfId="129"/>
    <tableColumn id="3" name="18kg" dataDxfId="128"/>
    <tableColumn id="5" name="27kg" dataDxfId="127"/>
    <tableColumn id="6" name="43kg" dataDxfId="126"/>
    <tableColumn id="8" name="pm" dataDxfId="125"/>
    <tableColumn id="9" name="efectivo" dataDxfId="124"/>
    <tableColumn id="10" name="divisa" dataDxfId="123"/>
    <tableColumn id="11" name="pagos" dataDxfId="122"/>
    <tableColumn id="12" name="deuda" dataDxfId="121">
      <calculatedColumnFormula xml:space="preserve"> ((TablaBarrioBolivar[[#This Row],[10kg]]*3.5) + (TablaBarrioBolivar[[#This Row],[18kg]]*8)  + (TablaBarrioBolivar[[#This Row],[27kg]]*11) + (TablaBarrioBolivar[[#This Row],[43kg]]*17))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L25" sqref="L25"/>
    </sheetView>
  </sheetViews>
  <sheetFormatPr baseColWidth="10" defaultRowHeight="15" x14ac:dyDescent="0.25"/>
  <cols>
    <col min="6" max="6" width="16.42578125" customWidth="1"/>
  </cols>
  <sheetData>
    <row r="1" spans="1:13" x14ac:dyDescent="0.25">
      <c r="A1" s="38" t="s">
        <v>62</v>
      </c>
      <c r="B1" s="38"/>
      <c r="C1" s="38"/>
      <c r="D1" s="38"/>
      <c r="E1" s="38"/>
      <c r="F1" s="38"/>
      <c r="H1" s="38" t="s">
        <v>64</v>
      </c>
      <c r="I1" s="38"/>
      <c r="J1" s="38"/>
      <c r="K1" s="38"/>
      <c r="L1" s="38"/>
      <c r="M1" s="38"/>
    </row>
    <row r="2" spans="1:13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45</v>
      </c>
      <c r="F2" s="20" t="s">
        <v>44</v>
      </c>
      <c r="H2" s="20" t="s">
        <v>0</v>
      </c>
      <c r="I2" s="20" t="s">
        <v>1</v>
      </c>
      <c r="J2" s="20" t="s">
        <v>2</v>
      </c>
      <c r="K2" s="20" t="s">
        <v>3</v>
      </c>
      <c r="L2" s="20" t="s">
        <v>45</v>
      </c>
      <c r="M2" s="20" t="s">
        <v>44</v>
      </c>
    </row>
    <row r="3" spans="1:13" x14ac:dyDescent="0.25">
      <c r="A3" s="20" t="s">
        <v>17</v>
      </c>
      <c r="B3" s="45">
        <v>32</v>
      </c>
      <c r="C3" s="45">
        <v>4</v>
      </c>
      <c r="D3" s="46"/>
      <c r="E3" s="45">
        <v>4</v>
      </c>
      <c r="F3" s="45" t="s">
        <v>43</v>
      </c>
      <c r="H3" s="20" t="s">
        <v>17</v>
      </c>
      <c r="I3" s="20">
        <v>1</v>
      </c>
      <c r="J3" s="20"/>
      <c r="K3" s="10"/>
      <c r="L3" s="20"/>
      <c r="M3" s="20" t="s">
        <v>46</v>
      </c>
    </row>
    <row r="4" spans="1:13" x14ac:dyDescent="0.25">
      <c r="A4" s="20" t="s">
        <v>17</v>
      </c>
      <c r="B4" s="45">
        <v>47</v>
      </c>
      <c r="C4" s="45">
        <v>8</v>
      </c>
      <c r="D4" s="46"/>
      <c r="E4" s="45">
        <v>4</v>
      </c>
      <c r="F4" s="45" t="s">
        <v>48</v>
      </c>
      <c r="H4" s="20" t="s">
        <v>17</v>
      </c>
      <c r="I4" s="20">
        <v>1</v>
      </c>
      <c r="J4" s="20"/>
      <c r="K4" s="10"/>
      <c r="L4" s="20"/>
      <c r="M4" s="20" t="s">
        <v>43</v>
      </c>
    </row>
    <row r="5" spans="1:13" x14ac:dyDescent="0.25">
      <c r="A5" s="20" t="s">
        <v>17</v>
      </c>
      <c r="B5" s="45">
        <v>25</v>
      </c>
      <c r="C5" s="45">
        <v>3</v>
      </c>
      <c r="D5" s="46"/>
      <c r="E5" s="45"/>
      <c r="F5" s="45" t="s">
        <v>46</v>
      </c>
      <c r="H5" s="20" t="s">
        <v>17</v>
      </c>
      <c r="I5" s="20">
        <v>1</v>
      </c>
      <c r="J5" s="20"/>
      <c r="K5" s="10"/>
      <c r="L5" s="20"/>
      <c r="M5" s="20" t="s">
        <v>48</v>
      </c>
    </row>
    <row r="6" spans="1:13" x14ac:dyDescent="0.25">
      <c r="A6" s="22" t="s">
        <v>18</v>
      </c>
      <c r="B6" s="45">
        <v>41</v>
      </c>
      <c r="C6" s="45">
        <v>9</v>
      </c>
      <c r="D6" s="46"/>
      <c r="E6" s="45">
        <v>2</v>
      </c>
      <c r="F6" s="45" t="s">
        <v>48</v>
      </c>
      <c r="H6" s="20" t="s">
        <v>18</v>
      </c>
      <c r="I6" s="20">
        <v>1</v>
      </c>
      <c r="J6" s="20"/>
      <c r="K6" s="10"/>
      <c r="L6" s="20"/>
      <c r="M6" s="20" t="s">
        <v>48</v>
      </c>
    </row>
    <row r="7" spans="1:13" x14ac:dyDescent="0.25">
      <c r="A7" s="22" t="s">
        <v>18</v>
      </c>
      <c r="B7" s="45">
        <v>49</v>
      </c>
      <c r="C7" s="45">
        <v>10</v>
      </c>
      <c r="D7" s="46"/>
      <c r="E7" s="45">
        <v>3</v>
      </c>
      <c r="F7" s="45" t="s">
        <v>57</v>
      </c>
    </row>
    <row r="8" spans="1:13" x14ac:dyDescent="0.25">
      <c r="A8" s="22" t="s">
        <v>18</v>
      </c>
      <c r="B8" s="45">
        <v>9</v>
      </c>
      <c r="C8" s="45">
        <v>1</v>
      </c>
      <c r="D8" s="46"/>
      <c r="E8" s="45"/>
      <c r="F8" s="45" t="s">
        <v>51</v>
      </c>
    </row>
    <row r="9" spans="1:13" x14ac:dyDescent="0.25">
      <c r="A9" s="24" t="s">
        <v>18</v>
      </c>
      <c r="B9" s="47">
        <v>1</v>
      </c>
      <c r="C9" s="47"/>
      <c r="D9" s="48"/>
      <c r="E9" s="47">
        <v>1</v>
      </c>
      <c r="F9" s="45" t="s">
        <v>49</v>
      </c>
    </row>
    <row r="10" spans="1:13" x14ac:dyDescent="0.25">
      <c r="A10" s="32" t="s">
        <v>18</v>
      </c>
      <c r="B10" s="45">
        <v>10</v>
      </c>
      <c r="C10" s="45">
        <v>1</v>
      </c>
      <c r="D10" s="46"/>
      <c r="E10" s="45">
        <v>1</v>
      </c>
      <c r="F10" s="45" t="s">
        <v>47</v>
      </c>
    </row>
    <row r="11" spans="1:13" x14ac:dyDescent="0.25">
      <c r="A11" s="18"/>
      <c r="B11" s="18"/>
      <c r="C11" s="18"/>
      <c r="E11" s="18"/>
      <c r="F11" s="18"/>
    </row>
    <row r="12" spans="1:13" x14ac:dyDescent="0.25">
      <c r="A12" s="18"/>
      <c r="B12" s="18"/>
      <c r="C12" s="18"/>
      <c r="E12" s="18"/>
      <c r="F12" s="18"/>
    </row>
    <row r="13" spans="1:13" x14ac:dyDescent="0.25">
      <c r="A13" s="18"/>
      <c r="B13" s="18"/>
      <c r="C13" s="18"/>
      <c r="E13" s="18"/>
      <c r="F13" s="18"/>
    </row>
    <row r="14" spans="1:13" x14ac:dyDescent="0.25">
      <c r="A14" s="18"/>
      <c r="B14" s="18"/>
      <c r="C14" s="18"/>
      <c r="E14" s="18"/>
      <c r="F14" s="18"/>
    </row>
    <row r="15" spans="1:13" x14ac:dyDescent="0.25">
      <c r="A15" s="18"/>
      <c r="B15" s="18"/>
      <c r="C15" s="18"/>
      <c r="E15" s="18"/>
      <c r="F15" s="18"/>
    </row>
    <row r="16" spans="1:13" x14ac:dyDescent="0.25">
      <c r="A16" s="18"/>
      <c r="B16" s="18"/>
      <c r="C16" s="18"/>
      <c r="E16" s="18"/>
      <c r="F16" s="18"/>
    </row>
    <row r="17" spans="1:6" x14ac:dyDescent="0.25">
      <c r="A17" s="18"/>
      <c r="B17" s="18"/>
      <c r="C17" s="18"/>
      <c r="E17" s="18"/>
      <c r="F17" s="18"/>
    </row>
    <row r="18" spans="1:6" x14ac:dyDescent="0.25">
      <c r="A18" s="18"/>
      <c r="B18" s="18"/>
      <c r="C18" s="18"/>
      <c r="E18" s="18"/>
      <c r="F18" s="18"/>
    </row>
    <row r="19" spans="1:6" x14ac:dyDescent="0.25">
      <c r="A19" s="18"/>
      <c r="B19" s="18"/>
      <c r="C19" s="18"/>
      <c r="E19" s="18"/>
      <c r="F19" s="18"/>
    </row>
  </sheetData>
  <mergeCells count="2">
    <mergeCell ref="A1:F1"/>
    <mergeCell ref="H1:M1"/>
  </mergeCells>
  <phoneticPr fontId="8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DATOS!$A$2:$A$33</xm:f>
          </x14:formula1>
          <xm:sqref>A3:A10 H3:H6</xm:sqref>
        </x14:dataValidation>
        <x14:dataValidation type="list" allowBlank="1" showInputMessage="1" showErrorMessage="1">
          <x14:formula1>
            <xm:f>DATOS!$C$2:$C$11</xm:f>
          </x14:formula1>
          <xm:sqref>F3:F10 M3:M6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22" sqref="G22"/>
    </sheetView>
  </sheetViews>
  <sheetFormatPr baseColWidth="10" defaultRowHeight="15" x14ac:dyDescent="0.25"/>
  <sheetData>
    <row r="1" spans="1:11" x14ac:dyDescent="0.25">
      <c r="A1" s="37" t="s">
        <v>63</v>
      </c>
      <c r="B1" s="37"/>
      <c r="C1" s="37"/>
      <c r="D1" s="37"/>
      <c r="E1" s="37"/>
      <c r="G1" s="37" t="s">
        <v>65</v>
      </c>
      <c r="H1" s="37"/>
      <c r="I1" s="37"/>
      <c r="J1" s="39"/>
      <c r="K1" s="39"/>
    </row>
    <row r="2" spans="1:11" x14ac:dyDescent="0.25">
      <c r="A2" s="16" t="s">
        <v>0</v>
      </c>
      <c r="B2" s="3" t="s">
        <v>4</v>
      </c>
      <c r="C2" s="3" t="s">
        <v>5</v>
      </c>
      <c r="D2" s="3" t="s">
        <v>6</v>
      </c>
      <c r="E2" s="5" t="s">
        <v>44</v>
      </c>
      <c r="G2" s="16" t="s">
        <v>0</v>
      </c>
      <c r="H2" s="3" t="s">
        <v>4</v>
      </c>
      <c r="I2" s="5" t="s">
        <v>44</v>
      </c>
    </row>
    <row r="3" spans="1:11" x14ac:dyDescent="0.25">
      <c r="A3" s="22" t="s">
        <v>17</v>
      </c>
      <c r="B3" s="11">
        <v>4308</v>
      </c>
      <c r="C3" s="11"/>
      <c r="D3" s="11">
        <v>20</v>
      </c>
      <c r="E3" s="23" t="s">
        <v>48</v>
      </c>
      <c r="G3" s="22"/>
      <c r="H3" s="11"/>
      <c r="I3" s="23"/>
    </row>
    <row r="4" spans="1:11" x14ac:dyDescent="0.25">
      <c r="A4" s="24" t="s">
        <v>17</v>
      </c>
      <c r="B4" s="25">
        <v>2004</v>
      </c>
      <c r="C4" s="25"/>
      <c r="D4" s="25"/>
      <c r="E4" s="26" t="s">
        <v>48</v>
      </c>
      <c r="G4" s="24"/>
      <c r="H4" s="25"/>
      <c r="I4" s="26"/>
    </row>
    <row r="5" spans="1:11" x14ac:dyDescent="0.25">
      <c r="A5" s="22" t="s">
        <v>17</v>
      </c>
      <c r="B5" s="32">
        <v>3885</v>
      </c>
      <c r="C5" s="32"/>
      <c r="D5" s="32"/>
      <c r="E5" s="23" t="s">
        <v>48</v>
      </c>
      <c r="G5" s="22"/>
      <c r="H5" s="32"/>
      <c r="I5" s="23"/>
    </row>
    <row r="6" spans="1:11" x14ac:dyDescent="0.25">
      <c r="A6" s="22" t="s">
        <v>17</v>
      </c>
      <c r="B6" s="32">
        <v>7714.5</v>
      </c>
      <c r="C6" s="32"/>
      <c r="D6" s="32"/>
      <c r="E6" s="23" t="s">
        <v>43</v>
      </c>
      <c r="G6" s="22"/>
      <c r="H6" s="32"/>
      <c r="I6" s="23"/>
    </row>
    <row r="7" spans="1:11" x14ac:dyDescent="0.25">
      <c r="A7" s="22" t="s">
        <v>17</v>
      </c>
      <c r="B7" s="32">
        <v>3014</v>
      </c>
      <c r="C7" s="32"/>
      <c r="D7" s="32"/>
      <c r="E7" s="23" t="s">
        <v>46</v>
      </c>
      <c r="G7" s="22"/>
      <c r="H7" s="32"/>
      <c r="I7" s="23"/>
    </row>
    <row r="8" spans="1:11" x14ac:dyDescent="0.25">
      <c r="A8" s="22" t="s">
        <v>18</v>
      </c>
      <c r="B8" s="32">
        <v>2593</v>
      </c>
      <c r="C8" s="32"/>
      <c r="D8" s="32"/>
      <c r="E8" s="23" t="s">
        <v>48</v>
      </c>
      <c r="G8" s="22"/>
      <c r="H8" s="32"/>
      <c r="I8" s="23"/>
    </row>
    <row r="9" spans="1:11" x14ac:dyDescent="0.25">
      <c r="A9" s="22" t="s">
        <v>18</v>
      </c>
      <c r="B9" s="32">
        <v>1074</v>
      </c>
      <c r="C9" s="32"/>
      <c r="D9" s="32"/>
      <c r="E9" s="23" t="s">
        <v>48</v>
      </c>
      <c r="G9" s="22"/>
      <c r="H9" s="32"/>
      <c r="I9" s="23"/>
    </row>
    <row r="10" spans="1:11" x14ac:dyDescent="0.25">
      <c r="A10" s="22" t="s">
        <v>18</v>
      </c>
      <c r="B10" s="32">
        <v>2352</v>
      </c>
      <c r="C10" s="32"/>
      <c r="D10" s="32"/>
      <c r="E10" s="23" t="s">
        <v>48</v>
      </c>
      <c r="G10" s="22"/>
      <c r="H10" s="32"/>
      <c r="I10" s="23"/>
    </row>
    <row r="11" spans="1:11" x14ac:dyDescent="0.25">
      <c r="A11" s="22" t="s">
        <v>18</v>
      </c>
      <c r="B11" s="32">
        <v>1371</v>
      </c>
      <c r="C11" s="32"/>
      <c r="D11" s="32"/>
      <c r="E11" s="23" t="s">
        <v>48</v>
      </c>
      <c r="G11" s="22"/>
      <c r="H11" s="32"/>
      <c r="I11" s="23"/>
    </row>
    <row r="12" spans="1:11" x14ac:dyDescent="0.25">
      <c r="A12" s="22" t="s">
        <v>18</v>
      </c>
      <c r="B12" s="32">
        <v>956</v>
      </c>
      <c r="C12" s="32"/>
      <c r="D12" s="32"/>
      <c r="E12" s="23" t="s">
        <v>48</v>
      </c>
      <c r="G12" s="22"/>
      <c r="H12" s="32"/>
      <c r="I12" s="23"/>
    </row>
    <row r="13" spans="1:11" x14ac:dyDescent="0.25">
      <c r="A13" s="24" t="s">
        <v>18</v>
      </c>
      <c r="B13" s="35">
        <v>593</v>
      </c>
      <c r="C13" s="35"/>
      <c r="D13" s="35"/>
      <c r="E13" s="26" t="s">
        <v>48</v>
      </c>
      <c r="G13" s="24"/>
      <c r="H13" s="35"/>
      <c r="I13" s="26"/>
    </row>
    <row r="14" spans="1:11" x14ac:dyDescent="0.25">
      <c r="A14" s="24" t="s">
        <v>18</v>
      </c>
      <c r="B14" s="35">
        <v>172</v>
      </c>
      <c r="C14" s="35"/>
      <c r="D14" s="35"/>
      <c r="E14" s="26" t="s">
        <v>48</v>
      </c>
    </row>
    <row r="15" spans="1:11" x14ac:dyDescent="0.25">
      <c r="A15" s="24" t="s">
        <v>17</v>
      </c>
      <c r="B15" s="35">
        <v>875</v>
      </c>
      <c r="C15" s="35"/>
      <c r="D15" s="35"/>
      <c r="E15" s="26" t="s">
        <v>46</v>
      </c>
    </row>
  </sheetData>
  <mergeCells count="2">
    <mergeCell ref="A1:E1"/>
    <mergeCell ref="G1:I1"/>
  </mergeCell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DATOS!$A$2:$A$33</xm:f>
          </x14:formula1>
          <xm:sqref>A3:A15 G3:G13</xm:sqref>
        </x14:dataValidation>
        <x14:dataValidation type="list" allowBlank="1" showInputMessage="1" showErrorMessage="1">
          <x14:formula1>
            <xm:f>DATOS!$C$2:$C$11</xm:f>
          </x14:formula1>
          <xm:sqref>E3:E15 I3:I13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"/>
  <sheetViews>
    <sheetView topLeftCell="A37" zoomScaleNormal="100" workbookViewId="0">
      <selection activeCell="BA69" sqref="BA69"/>
    </sheetView>
  </sheetViews>
  <sheetFormatPr baseColWidth="10" defaultColWidth="9.140625" defaultRowHeight="15" x14ac:dyDescent="0.25"/>
  <cols>
    <col min="1" max="1" width="13.42578125" customWidth="1"/>
    <col min="6" max="6" width="12.7109375" customWidth="1"/>
    <col min="7" max="7" width="12.42578125" customWidth="1"/>
    <col min="10" max="10" width="11.7109375" customWidth="1"/>
    <col min="12" max="12" width="14.42578125" customWidth="1"/>
    <col min="23" max="23" width="15.140625" customWidth="1"/>
    <col min="43" max="43" width="11.85546875" bestFit="1" customWidth="1"/>
  </cols>
  <sheetData>
    <row r="1" spans="1:54" ht="34.5" customHeight="1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29"/>
      <c r="L1" s="30" t="s">
        <v>48</v>
      </c>
      <c r="M1" s="30"/>
      <c r="N1" s="30"/>
      <c r="O1" s="30"/>
      <c r="P1" s="30"/>
      <c r="Q1" s="30"/>
      <c r="R1" s="30"/>
      <c r="S1" s="30"/>
      <c r="T1" s="30"/>
      <c r="U1" s="30"/>
      <c r="W1" s="30" t="s">
        <v>46</v>
      </c>
      <c r="X1" s="30"/>
      <c r="Y1" s="30"/>
      <c r="Z1" s="30"/>
      <c r="AA1" s="30"/>
      <c r="AB1" s="30"/>
      <c r="AC1" s="30"/>
      <c r="AD1" s="30"/>
      <c r="AE1" s="30"/>
      <c r="AF1" s="30"/>
      <c r="AH1" s="30" t="s">
        <v>47</v>
      </c>
      <c r="AI1" s="30"/>
      <c r="AJ1" s="30"/>
      <c r="AK1" s="30"/>
      <c r="AL1" s="30"/>
      <c r="AM1" s="30"/>
      <c r="AN1" s="30"/>
      <c r="AO1" s="30"/>
      <c r="AP1" s="30"/>
      <c r="AQ1" s="30"/>
      <c r="AS1" s="30" t="s">
        <v>50</v>
      </c>
      <c r="AT1" s="30"/>
      <c r="AU1" s="30"/>
      <c r="AV1" s="30"/>
      <c r="AW1" s="30"/>
      <c r="AX1" s="30"/>
      <c r="AY1" s="30"/>
      <c r="AZ1" s="30"/>
      <c r="BA1" s="30"/>
      <c r="BB1" s="30"/>
    </row>
    <row r="2" spans="1:54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45</v>
      </c>
      <c r="F2" s="3" t="s">
        <v>4</v>
      </c>
      <c r="G2" s="4" t="s">
        <v>5</v>
      </c>
      <c r="H2" s="3" t="s">
        <v>6</v>
      </c>
      <c r="I2" s="3" t="s">
        <v>54</v>
      </c>
      <c r="J2" s="5" t="s">
        <v>7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45</v>
      </c>
      <c r="Q2" s="3" t="s">
        <v>4</v>
      </c>
      <c r="R2" s="4" t="s">
        <v>5</v>
      </c>
      <c r="S2" s="3" t="s">
        <v>6</v>
      </c>
      <c r="T2" s="3" t="s">
        <v>54</v>
      </c>
      <c r="U2" s="5" t="s">
        <v>7</v>
      </c>
      <c r="W2" s="1" t="s">
        <v>0</v>
      </c>
      <c r="X2" s="2" t="s">
        <v>1</v>
      </c>
      <c r="Y2" s="2" t="s">
        <v>2</v>
      </c>
      <c r="Z2" s="2" t="s">
        <v>3</v>
      </c>
      <c r="AA2" s="2" t="s">
        <v>45</v>
      </c>
      <c r="AB2" s="3" t="s">
        <v>4</v>
      </c>
      <c r="AC2" s="4" t="s">
        <v>5</v>
      </c>
      <c r="AD2" s="3" t="s">
        <v>6</v>
      </c>
      <c r="AE2" s="3" t="s">
        <v>54</v>
      </c>
      <c r="AF2" s="5" t="s">
        <v>7</v>
      </c>
      <c r="AH2" s="1" t="s">
        <v>0</v>
      </c>
      <c r="AI2" s="2" t="s">
        <v>1</v>
      </c>
      <c r="AJ2" s="2" t="s">
        <v>2</v>
      </c>
      <c r="AK2" s="2" t="s">
        <v>3</v>
      </c>
      <c r="AL2" s="2" t="s">
        <v>45</v>
      </c>
      <c r="AM2" s="3" t="s">
        <v>4</v>
      </c>
      <c r="AN2" s="4" t="s">
        <v>5</v>
      </c>
      <c r="AO2" s="3" t="s">
        <v>6</v>
      </c>
      <c r="AP2" s="3" t="s">
        <v>54</v>
      </c>
      <c r="AQ2" s="5" t="s">
        <v>7</v>
      </c>
      <c r="AS2" s="1" t="s">
        <v>0</v>
      </c>
      <c r="AT2" s="2" t="s">
        <v>1</v>
      </c>
      <c r="AU2" s="2" t="s">
        <v>2</v>
      </c>
      <c r="AV2" s="2" t="s">
        <v>3</v>
      </c>
      <c r="AW2" s="2" t="s">
        <v>45</v>
      </c>
      <c r="AX2" s="3" t="s">
        <v>4</v>
      </c>
      <c r="AY2" s="4" t="s">
        <v>5</v>
      </c>
      <c r="AZ2" s="3" t="s">
        <v>6</v>
      </c>
      <c r="BA2" s="3" t="s">
        <v>54</v>
      </c>
      <c r="BB2" s="5" t="s">
        <v>7</v>
      </c>
    </row>
    <row r="3" spans="1:54" x14ac:dyDescent="0.25">
      <c r="A3" s="6" t="str">
        <f xml:space="preserve"> DATOS!A2</f>
        <v>30 9 2024</v>
      </c>
      <c r="B3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3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3" s="8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3" s="8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3" s="8">
        <f xml:space="preserve"> SUMIFS(Tabla18[pm],Tabla18[fecha],TablaMataSeca[[#This Row],[fecha]],Tabla18[punto],DATOS!C2)</f>
        <v>0</v>
      </c>
      <c r="G3" s="28">
        <f xml:space="preserve"> SUMIFS(Tabla18[efectivo],Tabla18[fecha],TablaMataSeca[[#This Row],[fecha]],Tabla18[punto],DATOS!C2)</f>
        <v>0</v>
      </c>
      <c r="H3" s="8">
        <f xml:space="preserve"> SUMIFS(Tabla18[divisa],Tabla18[fecha],TablaMataSeca[[#This Row],[fecha]],Tabla18[punto],DATOS!C2)</f>
        <v>0</v>
      </c>
      <c r="I3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3" s="9">
        <f xml:space="preserve"> ((TablaMataSeca[[#This Row],[10kg]]*3.5) + (TablaMataSeca[[#This Row],[18kg]]*8)  + (TablaMataSeca[[#This Row],[27kg]]*11) + (TablaMataSeca[[#This Row],[43kg]]*17)) * DATOS!F2</f>
        <v>0</v>
      </c>
      <c r="L3" s="6" t="str">
        <f xml:space="preserve"> DATOS!A2</f>
        <v>30 9 2024</v>
      </c>
      <c r="M3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3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3" s="8">
        <f xml:space="preserve"> SUMIFS(Tabla1821[27kg],Tabla1821[fecha],TablaPinal[[#This Row],[fecha]],Tabla1821[punto],L1)</f>
        <v>0</v>
      </c>
      <c r="P3" s="8">
        <f xml:space="preserve"> SUMIFS(Tabla1821[43kg],Tabla1821[fecha],TablaPinal[[#This Row],[fecha]],Tabla1821[punto],L1) -  SUMIFS(Tabla182115[43kg],Tabla182115[fecha],TablaPinal[[#This Row],[fecha]],Tabla182115[punto],L1)</f>
        <v>0</v>
      </c>
      <c r="Q3" s="8">
        <f xml:space="preserve"> SUMIFS(Tabla18[pm],Tabla18[fecha],TablaPinal[[#This Row],[fecha]],Tabla18[punto],L1)</f>
        <v>0</v>
      </c>
      <c r="R3" s="28">
        <f xml:space="preserve"> SUMIFS(Tabla18[efectivo],Tabla18[fecha],TablaPinal[[#This Row],[fecha]],Tabla18[punto],L1)</f>
        <v>0</v>
      </c>
      <c r="S3" s="8">
        <f xml:space="preserve"> SUMIFS(Tabla18[divisa],Tabla18[fecha],TablaPinal[[#This Row],[fecha]],Tabla18[punto],L1)</f>
        <v>0</v>
      </c>
      <c r="T3" s="8">
        <f>(TablaPinal[[#This Row],[pm]] + TablaPinal[[#This Row],[efectivo]] + (TablaPinal[[#This Row],[divisa]]*DATOS!F2) + (SUMIFS(Tabla1816[pm],Tabla1816[fecha],TablaPinal[[#This Row],[fecha]],Tabla1816[punto],L1)))</f>
        <v>0</v>
      </c>
      <c r="U3" s="9">
        <f xml:space="preserve"> ((TablaPinal[[#This Row],[10kg]]*3.5) + (TablaPinal[[#This Row],[18kg]]*8)  + (TablaPinal[[#This Row],[27kg]]*11) + (TablaPinal[[#This Row],[43kg]]*17)) * DATOS!F2</f>
        <v>0</v>
      </c>
      <c r="W3" s="10" t="s">
        <v>10</v>
      </c>
      <c r="X3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3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3" s="8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3" s="8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3" s="8">
        <f xml:space="preserve"> SUMIFS(Tabla18[pm],Tabla18[fecha],TablaCandelaria[[#This Row],[fecha]],Tabla18[punto],W1)</f>
        <v>0</v>
      </c>
      <c r="AC3" s="28">
        <f xml:space="preserve"> SUMIFS(Tabla18[efectivo],Tabla18[fecha],TablaCandelaria[[#This Row],[fecha]],Tabla18[punto],W1)</f>
        <v>0</v>
      </c>
      <c r="AD3" s="8">
        <f xml:space="preserve"> SUMIFS(Tabla18[divisa],Tabla18[fecha],TablaCandelaria[[#This Row],[fecha]],Tabla18[punto],W1)</f>
        <v>0</v>
      </c>
      <c r="AE3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3" s="9">
        <f xml:space="preserve"> ((TablaCandelaria[[#This Row],[10kg]]*3.5) + (TablaCandelaria[[#This Row],[18kg]]*7)  + (TablaCandelaria[[#This Row],[27kg]]*11) + (TablaCandelaria[[#This Row],[43kg]]*17)) * DATOS!F2</f>
        <v>0</v>
      </c>
      <c r="AH3" s="10" t="s">
        <v>10</v>
      </c>
      <c r="AI3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3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3" s="8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3" s="8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3" s="8">
        <f xml:space="preserve"> SUMIFS(Tabla18[pm],Tabla18[fecha],TablaCoromoto[[#This Row],[fecha]],Tabla18[punto],AH1)</f>
        <v>0</v>
      </c>
      <c r="AN3" s="28">
        <f xml:space="preserve"> SUMIFS(Tabla18[efectivo],Tabla18[fecha],TablaCoromoto[[#This Row],[fecha]],Tabla18[punto],AH1)</f>
        <v>0</v>
      </c>
      <c r="AO3" s="8">
        <f xml:space="preserve"> SUMIFS(Tabla18[divisa],Tabla18[fecha],TablaCoromoto[[#This Row],[fecha]],Tabla18[punto],AH1)</f>
        <v>0</v>
      </c>
      <c r="AP3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3" s="9">
        <f xml:space="preserve"> ((TablaCoromoto[[#This Row],[10kg]]*3.5) + (TablaCoromoto[[#This Row],[18kg]]*7)  + (TablaCoromoto[[#This Row],[27kg]]*11) + (TablaCoromoto[[#This Row],[43kg]]*17)) * DATOS!F2</f>
        <v>0</v>
      </c>
      <c r="AS3" s="10" t="s">
        <v>10</v>
      </c>
      <c r="AT3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3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3" s="8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3" s="8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3" s="8">
        <f xml:space="preserve"> SUMIFS(Tabla18[pm],Tabla18[fecha],TablaBarrioBolivar[[#This Row],[fecha]],Tabla18[punto],AS1)</f>
        <v>0</v>
      </c>
      <c r="AY3" s="28">
        <f xml:space="preserve"> SUMIFS(Tabla18[efectivo],Tabla18[fecha],TablaBarrioBolivar[[#This Row],[fecha]],Tabla18[punto],AS1)</f>
        <v>0</v>
      </c>
      <c r="AZ3" s="8">
        <f xml:space="preserve"> SUMIFS(Tabla18[divisa],Tabla18[fecha],TablaBarrioBolivar[[#This Row],[fecha]],Tabla18[punto],AS1)</f>
        <v>0</v>
      </c>
      <c r="BA3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3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4" spans="1:54" x14ac:dyDescent="0.25">
      <c r="A4" s="6" t="str">
        <f xml:space="preserve"> DATOS!A3</f>
        <v>1 10 2024</v>
      </c>
      <c r="B4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4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4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4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4" s="7">
        <f xml:space="preserve"> SUMIFS(Tabla18[pm],Tabla18[fecha],TablaMataSeca[[#This Row],[fecha]],Tabla18[punto],DATOS!C2)</f>
        <v>0</v>
      </c>
      <c r="G4" s="27">
        <f xml:space="preserve"> SUMIFS(Tabla18[efectivo],Tabla18[fecha],TablaMataSeca[[#This Row],[fecha]],Tabla18[punto],DATOS!C2)</f>
        <v>0</v>
      </c>
      <c r="H4" s="8">
        <f xml:space="preserve"> SUMIFS(Tabla18[divisa],Tabla18[fecha],TablaMataSeca[[#This Row],[fecha]],Tabla18[punto],DATOS!C2)</f>
        <v>0</v>
      </c>
      <c r="I4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4" s="9">
        <f xml:space="preserve"> ((TablaMataSeca[[#This Row],[10kg]]*3.5) + (TablaMataSeca[[#This Row],[18kg]]*8)  + (TablaMataSeca[[#This Row],[27kg]]*11) + (TablaMataSeca[[#This Row],[43kg]]*17)) * DATOS!F2</f>
        <v>0</v>
      </c>
      <c r="L4" s="6" t="str">
        <f xml:space="preserve"> DATOS!A3</f>
        <v>1 10 2024</v>
      </c>
      <c r="M4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4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4" s="7">
        <f xml:space="preserve"> SUMIFS(Tabla1821[27kg],Tabla1821[fecha],TablaPinal[[#This Row],[fecha]],Tabla1821[punto],L1)</f>
        <v>0</v>
      </c>
      <c r="P4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4" s="7">
        <f xml:space="preserve"> SUMIFS(Tabla18[pm],Tabla18[fecha],TablaPinal[[#This Row],[fecha]],Tabla18[punto],L1)</f>
        <v>0</v>
      </c>
      <c r="R4" s="27">
        <f xml:space="preserve"> SUMIFS(Tabla18[efectivo],Tabla18[fecha],TablaPinal[[#This Row],[fecha]],Tabla18[punto],L1)</f>
        <v>0</v>
      </c>
      <c r="S4" s="8">
        <f xml:space="preserve"> SUMIFS(Tabla18[divisa],Tabla18[fecha],TablaPinal[[#This Row],[fecha]],Tabla18[punto],L1)</f>
        <v>0</v>
      </c>
      <c r="T4" s="8">
        <f>(TablaPinal[[#This Row],[pm]] + TablaPinal[[#This Row],[efectivo]] + (TablaPinal[[#This Row],[divisa]]*DATOS!F2) + (SUMIFS(Tabla1816[pm],Tabla1816[fecha],TablaPinal[[#This Row],[fecha]],Tabla1816[punto],L1)))</f>
        <v>0</v>
      </c>
      <c r="U4" s="9">
        <f xml:space="preserve"> ((TablaPinal[[#This Row],[10kg]]*3.5) + (TablaPinal[[#This Row],[18kg]]*8)  + (TablaPinal[[#This Row],[27kg]]*11) + (TablaPinal[[#This Row],[43kg]]*17)) * DATOS!F2</f>
        <v>0</v>
      </c>
      <c r="W4" s="10" t="s">
        <v>11</v>
      </c>
      <c r="X4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4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4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4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4" s="7">
        <f xml:space="preserve"> SUMIFS(Tabla18[pm],Tabla18[fecha],TablaCandelaria[[#This Row],[fecha]],Tabla18[punto],W1)</f>
        <v>0</v>
      </c>
      <c r="AC4" s="27">
        <f xml:space="preserve"> SUMIFS(Tabla18[efectivo],Tabla18[fecha],TablaCandelaria[[#This Row],[fecha]],Tabla18[punto],W1)</f>
        <v>0</v>
      </c>
      <c r="AD4" s="8">
        <f xml:space="preserve"> SUMIFS(Tabla18[divisa],Tabla18[fecha],TablaCandelaria[[#This Row],[fecha]],Tabla18[punto],W1)</f>
        <v>0</v>
      </c>
      <c r="AE4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4" s="9">
        <f xml:space="preserve"> ((TablaCandelaria[[#This Row],[10kg]]*3.5) + (TablaCandelaria[[#This Row],[18kg]]*7)  + (TablaCandelaria[[#This Row],[27kg]]*11) + (TablaCandelaria[[#This Row],[43kg]]*17)) * DATOS!F2</f>
        <v>0</v>
      </c>
      <c r="AH4" s="10" t="s">
        <v>11</v>
      </c>
      <c r="AI4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4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4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4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4" s="7">
        <f xml:space="preserve"> SUMIFS(Tabla18[pm],Tabla18[fecha],TablaCoromoto[[#This Row],[fecha]],Tabla18[punto],AH1)</f>
        <v>0</v>
      </c>
      <c r="AN4" s="27">
        <f xml:space="preserve"> SUMIFS(Tabla18[efectivo],Tabla18[fecha],TablaCoromoto[[#This Row],[fecha]],Tabla18[punto],AH1)</f>
        <v>0</v>
      </c>
      <c r="AO4" s="8">
        <f xml:space="preserve"> SUMIFS(Tabla18[divisa],Tabla18[fecha],TablaCoromoto[[#This Row],[fecha]],Tabla18[punto],AH1)</f>
        <v>0</v>
      </c>
      <c r="AP4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4" s="9">
        <f xml:space="preserve"> ((TablaCoromoto[[#This Row],[10kg]]*3.5) + (TablaCoromoto[[#This Row],[18kg]]*7)  + (TablaCoromoto[[#This Row],[27kg]]*11) + (TablaCoromoto[[#This Row],[43kg]]*17)) * DATOS!F2</f>
        <v>0</v>
      </c>
      <c r="AS4" s="10" t="s">
        <v>11</v>
      </c>
      <c r="AT4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4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4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4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4" s="7">
        <f xml:space="preserve"> SUMIFS(Tabla18[pm],Tabla18[fecha],TablaBarrioBolivar[[#This Row],[fecha]],Tabla18[punto],AS1)</f>
        <v>0</v>
      </c>
      <c r="AY4" s="27">
        <f xml:space="preserve"> SUMIFS(Tabla18[efectivo],Tabla18[fecha],TablaBarrioBolivar[[#This Row],[fecha]],Tabla18[punto],AS1)</f>
        <v>0</v>
      </c>
      <c r="AZ4" s="8">
        <f xml:space="preserve"> SUMIFS(Tabla18[divisa],Tabla18[fecha],TablaBarrioBolivar[[#This Row],[fecha]],Tabla18[punto],AS1)</f>
        <v>0</v>
      </c>
      <c r="BA4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4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5" spans="1:54" x14ac:dyDescent="0.25">
      <c r="A5" s="6" t="str">
        <f xml:space="preserve"> DATOS!A4</f>
        <v>2 10 2024</v>
      </c>
      <c r="B5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5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5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5" s="8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5" s="8">
        <f xml:space="preserve"> SUMIFS(Tabla18[pm],Tabla18[fecha],TablaMataSeca[[#This Row],[fecha]],Tabla18[punto],DATOS!C2)</f>
        <v>0</v>
      </c>
      <c r="G5" s="27">
        <f xml:space="preserve"> SUMIFS(Tabla18[efectivo],Tabla18[fecha],TablaMataSeca[[#This Row],[fecha]],Tabla18[punto],DATOS!C2)</f>
        <v>0</v>
      </c>
      <c r="H5" s="8">
        <f xml:space="preserve"> SUMIFS(Tabla18[divisa],Tabla18[fecha],TablaMataSeca[[#This Row],[fecha]],Tabla18[punto],DATOS!C2)</f>
        <v>0</v>
      </c>
      <c r="I5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5" s="9">
        <f xml:space="preserve"> ((TablaMataSeca[[#This Row],[10kg]]*3.5) + (TablaMataSeca[[#This Row],[18kg]]*8)  + (TablaMataSeca[[#This Row],[27kg]]*11) + (TablaMataSeca[[#This Row],[43kg]]*17)) * DATOS!F2</f>
        <v>0</v>
      </c>
      <c r="L5" s="6" t="str">
        <f xml:space="preserve"> DATOS!A4</f>
        <v>2 10 2024</v>
      </c>
      <c r="M5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5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5" s="7">
        <f xml:space="preserve"> SUMIFS(Tabla1821[27kg],Tabla1821[fecha],TablaPinal[[#This Row],[fecha]],Tabla1821[punto],L1)</f>
        <v>0</v>
      </c>
      <c r="P5" s="8">
        <f xml:space="preserve"> SUMIFS(Tabla1821[43kg],Tabla1821[fecha],TablaPinal[[#This Row],[fecha]],Tabla1821[punto],L1) -  SUMIFS(Tabla182115[43kg],Tabla182115[fecha],TablaPinal[[#This Row],[fecha]],Tabla182115[punto],L1)</f>
        <v>0</v>
      </c>
      <c r="Q5" s="8">
        <f xml:space="preserve"> SUMIFS(Tabla18[pm],Tabla18[fecha],TablaPinal[[#This Row],[fecha]],Tabla18[punto],L1)</f>
        <v>0</v>
      </c>
      <c r="R5" s="27">
        <f xml:space="preserve"> SUMIFS(Tabla18[efectivo],Tabla18[fecha],TablaPinal[[#This Row],[fecha]],Tabla18[punto],L1)</f>
        <v>0</v>
      </c>
      <c r="S5" s="8">
        <f xml:space="preserve"> SUMIFS(Tabla18[divisa],Tabla18[fecha],TablaPinal[[#This Row],[fecha]],Tabla18[punto],L1)</f>
        <v>0</v>
      </c>
      <c r="T5" s="8">
        <f>(TablaPinal[[#This Row],[pm]] + TablaPinal[[#This Row],[efectivo]] + (TablaPinal[[#This Row],[divisa]]*DATOS!F2) + (SUMIFS(Tabla1816[pm],Tabla1816[fecha],TablaPinal[[#This Row],[fecha]],Tabla1816[punto],L1)))</f>
        <v>0</v>
      </c>
      <c r="U5" s="9">
        <f xml:space="preserve"> ((TablaPinal[[#This Row],[10kg]]*3.5) + (TablaPinal[[#This Row],[18kg]]*8)  + (TablaPinal[[#This Row],[27kg]]*11) + (TablaPinal[[#This Row],[43kg]]*17)) * DATOS!F2</f>
        <v>0</v>
      </c>
      <c r="W5" s="10" t="s">
        <v>12</v>
      </c>
      <c r="X5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5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5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5" s="8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5" s="8">
        <f xml:space="preserve"> SUMIFS(Tabla18[pm],Tabla18[fecha],TablaCandelaria[[#This Row],[fecha]],Tabla18[punto],W1)</f>
        <v>0</v>
      </c>
      <c r="AC5" s="27">
        <f xml:space="preserve"> SUMIFS(Tabla18[efectivo],Tabla18[fecha],TablaCandelaria[[#This Row],[fecha]],Tabla18[punto],W1)</f>
        <v>0</v>
      </c>
      <c r="AD5" s="8">
        <f xml:space="preserve"> SUMIFS(Tabla18[divisa],Tabla18[fecha],TablaCandelaria[[#This Row],[fecha]],Tabla18[punto],W1)</f>
        <v>0</v>
      </c>
      <c r="AE5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5" s="9">
        <f xml:space="preserve"> ((TablaCandelaria[[#This Row],[10kg]]*3.5) + (TablaCandelaria[[#This Row],[18kg]]*7)  + (TablaCandelaria[[#This Row],[27kg]]*11) + (TablaCandelaria[[#This Row],[43kg]]*17)) * DATOS!F2</f>
        <v>0</v>
      </c>
      <c r="AH5" s="10" t="s">
        <v>12</v>
      </c>
      <c r="AI5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5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5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5" s="8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5" s="8">
        <f xml:space="preserve"> SUMIFS(Tabla18[pm],Tabla18[fecha],TablaCoromoto[[#This Row],[fecha]],Tabla18[punto],AH1)</f>
        <v>0</v>
      </c>
      <c r="AN5" s="27">
        <f xml:space="preserve"> SUMIFS(Tabla18[efectivo],Tabla18[fecha],TablaCoromoto[[#This Row],[fecha]],Tabla18[punto],AH1)</f>
        <v>0</v>
      </c>
      <c r="AO5" s="8">
        <f xml:space="preserve"> SUMIFS(Tabla18[divisa],Tabla18[fecha],TablaCoromoto[[#This Row],[fecha]],Tabla18[punto],AH1)</f>
        <v>0</v>
      </c>
      <c r="AP5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5" s="9">
        <f xml:space="preserve"> ((TablaCoromoto[[#This Row],[10kg]]*3.5) + (TablaCoromoto[[#This Row],[18kg]]*7)  + (TablaCoromoto[[#This Row],[27kg]]*11) + (TablaCoromoto[[#This Row],[43kg]]*17)) * DATOS!F2</f>
        <v>0</v>
      </c>
      <c r="AS5" s="10" t="s">
        <v>12</v>
      </c>
      <c r="AT5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5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5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5" s="8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5" s="8">
        <f xml:space="preserve"> SUMIFS(Tabla18[pm],Tabla18[fecha],TablaBarrioBolivar[[#This Row],[fecha]],Tabla18[punto],AS1)</f>
        <v>0</v>
      </c>
      <c r="AY5" s="27">
        <f xml:space="preserve"> SUMIFS(Tabla18[efectivo],Tabla18[fecha],TablaBarrioBolivar[[#This Row],[fecha]],Tabla18[punto],AS1)</f>
        <v>0</v>
      </c>
      <c r="AZ5" s="8">
        <f xml:space="preserve"> SUMIFS(Tabla18[divisa],Tabla18[fecha],TablaBarrioBolivar[[#This Row],[fecha]],Tabla18[punto],AS1)</f>
        <v>0</v>
      </c>
      <c r="BA5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5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6" spans="1:54" x14ac:dyDescent="0.25">
      <c r="A6" s="6" t="str">
        <f xml:space="preserve"> DATOS!A5</f>
        <v>3 10 2024</v>
      </c>
      <c r="B6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6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6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6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6" s="8">
        <f xml:space="preserve"> SUMIFS(Tabla18[pm],Tabla18[fecha],TablaMataSeca[[#This Row],[fecha]],Tabla18[punto],DATOS!C2)</f>
        <v>0</v>
      </c>
      <c r="G6" s="27">
        <f xml:space="preserve"> SUMIFS(Tabla18[efectivo],Tabla18[fecha],TablaMataSeca[[#This Row],[fecha]],Tabla18[punto],DATOS!C2)</f>
        <v>0</v>
      </c>
      <c r="H6" s="8">
        <f xml:space="preserve"> SUMIFS(Tabla18[divisa],Tabla18[fecha],TablaMataSeca[[#This Row],[fecha]],Tabla18[punto],DATOS!C2)</f>
        <v>0</v>
      </c>
      <c r="I6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6" s="9">
        <f xml:space="preserve"> ((TablaMataSeca[[#This Row],[10kg]]*3.5) + (TablaMataSeca[[#This Row],[18kg]]*8)  + (TablaMataSeca[[#This Row],[27kg]]*11) + (TablaMataSeca[[#This Row],[43kg]]*17)) * DATOS!F2</f>
        <v>0</v>
      </c>
      <c r="L6" s="6" t="str">
        <f xml:space="preserve"> DATOS!A5</f>
        <v>3 10 2024</v>
      </c>
      <c r="M6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6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6" s="7">
        <f xml:space="preserve"> SUMIFS(Tabla1821[27kg],Tabla1821[fecha],TablaPinal[[#This Row],[fecha]],Tabla1821[punto],L1)</f>
        <v>0</v>
      </c>
      <c r="P6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6" s="8">
        <f xml:space="preserve"> SUMIFS(Tabla18[pm],Tabla18[fecha],TablaPinal[[#This Row],[fecha]],Tabla18[punto],L1)</f>
        <v>0</v>
      </c>
      <c r="R6" s="27">
        <f xml:space="preserve"> SUMIFS(Tabla18[efectivo],Tabla18[fecha],TablaPinal[[#This Row],[fecha]],Tabla18[punto],L1)</f>
        <v>0</v>
      </c>
      <c r="S6" s="8">
        <f xml:space="preserve"> SUMIFS(Tabla18[divisa],Tabla18[fecha],TablaPinal[[#This Row],[fecha]],Tabla18[punto],L1)</f>
        <v>0</v>
      </c>
      <c r="T6" s="8">
        <f>(TablaPinal[[#This Row],[pm]] + TablaPinal[[#This Row],[efectivo]] + (TablaPinal[[#This Row],[divisa]]*DATOS!F2) + (SUMIFS(Tabla1816[pm],Tabla1816[fecha],TablaPinal[[#This Row],[fecha]],Tabla1816[punto],L1)))</f>
        <v>0</v>
      </c>
      <c r="U6" s="9">
        <f xml:space="preserve"> ((TablaPinal[[#This Row],[10kg]]*3.5) + (TablaPinal[[#This Row],[18kg]]*8)  + (TablaPinal[[#This Row],[27kg]]*11) + (TablaPinal[[#This Row],[43kg]]*17)) * DATOS!F2</f>
        <v>0</v>
      </c>
      <c r="W6" s="10" t="s">
        <v>13</v>
      </c>
      <c r="X6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6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6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6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6" s="8">
        <f xml:space="preserve"> SUMIFS(Tabla18[pm],Tabla18[fecha],TablaCandelaria[[#This Row],[fecha]],Tabla18[punto],W1)</f>
        <v>0</v>
      </c>
      <c r="AC6" s="27">
        <f xml:space="preserve"> SUMIFS(Tabla18[efectivo],Tabla18[fecha],TablaCandelaria[[#This Row],[fecha]],Tabla18[punto],W1)</f>
        <v>0</v>
      </c>
      <c r="AD6" s="8">
        <f xml:space="preserve"> SUMIFS(Tabla18[divisa],Tabla18[fecha],TablaCandelaria[[#This Row],[fecha]],Tabla18[punto],W1)</f>
        <v>0</v>
      </c>
      <c r="AE6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6" s="9">
        <f xml:space="preserve"> ((TablaCandelaria[[#This Row],[10kg]]*3.5) + (TablaCandelaria[[#This Row],[18kg]]*7)  + (TablaCandelaria[[#This Row],[27kg]]*11) + (TablaCandelaria[[#This Row],[43kg]]*17)) * DATOS!F2</f>
        <v>0</v>
      </c>
      <c r="AH6" s="10" t="s">
        <v>13</v>
      </c>
      <c r="AI6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6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6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6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6" s="8">
        <f xml:space="preserve"> SUMIFS(Tabla18[pm],Tabla18[fecha],TablaCoromoto[[#This Row],[fecha]],Tabla18[punto],AH1)</f>
        <v>0</v>
      </c>
      <c r="AN6" s="27">
        <f xml:space="preserve"> SUMIFS(Tabla18[efectivo],Tabla18[fecha],TablaCoromoto[[#This Row],[fecha]],Tabla18[punto],AH1)</f>
        <v>0</v>
      </c>
      <c r="AO6" s="8">
        <f xml:space="preserve"> SUMIFS(Tabla18[divisa],Tabla18[fecha],TablaCoromoto[[#This Row],[fecha]],Tabla18[punto],AH1)</f>
        <v>0</v>
      </c>
      <c r="AP6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6" s="9">
        <f xml:space="preserve"> ((TablaCoromoto[[#This Row],[10kg]]*3.5) + (TablaCoromoto[[#This Row],[18kg]]*7)  + (TablaCoromoto[[#This Row],[27kg]]*11) + (TablaCoromoto[[#This Row],[43kg]]*17)) * DATOS!F2</f>
        <v>0</v>
      </c>
      <c r="AS6" s="10" t="s">
        <v>13</v>
      </c>
      <c r="AT6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6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6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6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6" s="8">
        <f xml:space="preserve"> SUMIFS(Tabla18[pm],Tabla18[fecha],TablaBarrioBolivar[[#This Row],[fecha]],Tabla18[punto],AS1)</f>
        <v>0</v>
      </c>
      <c r="AY6" s="27">
        <f xml:space="preserve"> SUMIFS(Tabla18[efectivo],Tabla18[fecha],TablaBarrioBolivar[[#This Row],[fecha]],Tabla18[punto],AS1)</f>
        <v>0</v>
      </c>
      <c r="AZ6" s="8">
        <f xml:space="preserve"> SUMIFS(Tabla18[divisa],Tabla18[fecha],TablaBarrioBolivar[[#This Row],[fecha]],Tabla18[punto],AS1)</f>
        <v>0</v>
      </c>
      <c r="BA6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6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7" spans="1:54" x14ac:dyDescent="0.25">
      <c r="A7" s="6" t="str">
        <f xml:space="preserve"> DATOS!A6</f>
        <v>4 10 2024</v>
      </c>
      <c r="B7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7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7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7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7" s="8">
        <f xml:space="preserve"> SUMIFS(Tabla18[pm],Tabla18[fecha],TablaMataSeca[[#This Row],[fecha]],Tabla18[punto],DATOS!C2)</f>
        <v>0</v>
      </c>
      <c r="G7" s="27">
        <f xml:space="preserve"> SUMIFS(Tabla18[efectivo],Tabla18[fecha],TablaMataSeca[[#This Row],[fecha]],Tabla18[punto],DATOS!C2)</f>
        <v>0</v>
      </c>
      <c r="H7" s="8">
        <f xml:space="preserve"> SUMIFS(Tabla18[divisa],Tabla18[fecha],TablaMataSeca[[#This Row],[fecha]],Tabla18[punto],DATOS!C2)</f>
        <v>0</v>
      </c>
      <c r="I7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7" s="9">
        <f xml:space="preserve"> ((TablaMataSeca[[#This Row],[10kg]]*3.5) + (TablaMataSeca[[#This Row],[18kg]]*8)  + (TablaMataSeca[[#This Row],[27kg]]*11) + (TablaMataSeca[[#This Row],[43kg]]*17)) * DATOS!F2</f>
        <v>0</v>
      </c>
      <c r="L7" s="6" t="str">
        <f xml:space="preserve"> DATOS!A6</f>
        <v>4 10 2024</v>
      </c>
      <c r="M7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7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7" s="7">
        <f xml:space="preserve"> SUMIFS(Tabla1821[27kg],Tabla1821[fecha],TablaPinal[[#This Row],[fecha]],Tabla1821[punto],L1)</f>
        <v>0</v>
      </c>
      <c r="P7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7" s="8">
        <f xml:space="preserve"> SUMIFS(Tabla18[pm],Tabla18[fecha],TablaPinal[[#This Row],[fecha]],Tabla18[punto],L1)</f>
        <v>0</v>
      </c>
      <c r="R7" s="27">
        <f xml:space="preserve"> SUMIFS(Tabla18[efectivo],Tabla18[fecha],TablaPinal[[#This Row],[fecha]],Tabla18[punto],L1)</f>
        <v>0</v>
      </c>
      <c r="S7" s="8">
        <f xml:space="preserve"> SUMIFS(Tabla18[divisa],Tabla18[fecha],TablaPinal[[#This Row],[fecha]],Tabla18[punto],L1)</f>
        <v>0</v>
      </c>
      <c r="T7" s="8">
        <f>(TablaPinal[[#This Row],[pm]] + TablaPinal[[#This Row],[efectivo]] + (TablaPinal[[#This Row],[divisa]]*DATOS!F2) + (SUMIFS(Tabla1816[pm],Tabla1816[fecha],TablaPinal[[#This Row],[fecha]],Tabla1816[punto],L1)))</f>
        <v>0</v>
      </c>
      <c r="U7" s="9">
        <f xml:space="preserve"> ((TablaPinal[[#This Row],[10kg]]*3.5) + (TablaPinal[[#This Row],[18kg]]*8)  + (TablaPinal[[#This Row],[27kg]]*11) + (TablaPinal[[#This Row],[43kg]]*17)) * DATOS!F2</f>
        <v>0</v>
      </c>
      <c r="W7" s="10" t="s">
        <v>14</v>
      </c>
      <c r="X7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7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7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7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7" s="8">
        <f xml:space="preserve"> SUMIFS(Tabla18[pm],Tabla18[fecha],TablaCandelaria[[#This Row],[fecha]],Tabla18[punto],W1)</f>
        <v>0</v>
      </c>
      <c r="AC7" s="27">
        <f xml:space="preserve"> SUMIFS(Tabla18[efectivo],Tabla18[fecha],TablaCandelaria[[#This Row],[fecha]],Tabla18[punto],W1)</f>
        <v>0</v>
      </c>
      <c r="AD7" s="8">
        <f xml:space="preserve"> SUMIFS(Tabla18[divisa],Tabla18[fecha],TablaCandelaria[[#This Row],[fecha]],Tabla18[punto],W1)</f>
        <v>0</v>
      </c>
      <c r="AE7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7" s="9">
        <f xml:space="preserve"> ((TablaCandelaria[[#This Row],[10kg]]*3.5) + (TablaCandelaria[[#This Row],[18kg]]*7)  + (TablaCandelaria[[#This Row],[27kg]]*11) + (TablaCandelaria[[#This Row],[43kg]]*17)) * DATOS!F2</f>
        <v>0</v>
      </c>
      <c r="AH7" s="10" t="s">
        <v>14</v>
      </c>
      <c r="AI7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7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7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7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7" s="8">
        <f xml:space="preserve"> SUMIFS(Tabla18[pm],Tabla18[fecha],TablaCoromoto[[#This Row],[fecha]],Tabla18[punto],AH1)</f>
        <v>0</v>
      </c>
      <c r="AN7" s="27">
        <f xml:space="preserve"> SUMIFS(Tabla18[efectivo],Tabla18[fecha],TablaCoromoto[[#This Row],[fecha]],Tabla18[punto],AH1)</f>
        <v>0</v>
      </c>
      <c r="AO7" s="8">
        <f xml:space="preserve"> SUMIFS(Tabla18[divisa],Tabla18[fecha],TablaCoromoto[[#This Row],[fecha]],Tabla18[punto],AH1)</f>
        <v>0</v>
      </c>
      <c r="AP7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7" s="9">
        <f xml:space="preserve"> ((TablaCoromoto[[#This Row],[10kg]]*3.5) + (TablaCoromoto[[#This Row],[18kg]]*7)  + (TablaCoromoto[[#This Row],[27kg]]*11) + (TablaCoromoto[[#This Row],[43kg]]*17)) * DATOS!F2</f>
        <v>0</v>
      </c>
      <c r="AS7" s="10" t="s">
        <v>14</v>
      </c>
      <c r="AT7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7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7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7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7" s="8">
        <f xml:space="preserve"> SUMIFS(Tabla18[pm],Tabla18[fecha],TablaBarrioBolivar[[#This Row],[fecha]],Tabla18[punto],AS1)</f>
        <v>0</v>
      </c>
      <c r="AY7" s="27">
        <f xml:space="preserve"> SUMIFS(Tabla18[efectivo],Tabla18[fecha],TablaBarrioBolivar[[#This Row],[fecha]],Tabla18[punto],AS1)</f>
        <v>0</v>
      </c>
      <c r="AZ7" s="8">
        <f xml:space="preserve"> SUMIFS(Tabla18[divisa],Tabla18[fecha],TablaBarrioBolivar[[#This Row],[fecha]],Tabla18[punto],AS1)</f>
        <v>0</v>
      </c>
      <c r="BA7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7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8" spans="1:54" x14ac:dyDescent="0.25">
      <c r="A8" s="6" t="str">
        <f xml:space="preserve"> DATOS!A7</f>
        <v>5 10 2024</v>
      </c>
      <c r="B8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8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8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8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8" s="8">
        <f xml:space="preserve"> SUMIFS(Tabla18[pm],Tabla18[fecha],TablaMataSeca[[#This Row],[fecha]],Tabla18[punto],DATOS!C2)</f>
        <v>0</v>
      </c>
      <c r="G8" s="27">
        <f xml:space="preserve"> SUMIFS(Tabla18[efectivo],Tabla18[fecha],TablaMataSeca[[#This Row],[fecha]],Tabla18[punto],DATOS!C2)</f>
        <v>0</v>
      </c>
      <c r="H8" s="8">
        <f xml:space="preserve"> SUMIFS(Tabla18[divisa],Tabla18[fecha],TablaMataSeca[[#This Row],[fecha]],Tabla18[punto],DATOS!C2)</f>
        <v>0</v>
      </c>
      <c r="I8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8" s="9">
        <f xml:space="preserve"> ((TablaMataSeca[[#This Row],[10kg]]*3.5) + (TablaMataSeca[[#This Row],[18kg]]*8)  + (TablaMataSeca[[#This Row],[27kg]]*11) + (TablaMataSeca[[#This Row],[43kg]]*17)) * DATOS!F2</f>
        <v>0</v>
      </c>
      <c r="L8" s="6" t="str">
        <f xml:space="preserve"> DATOS!A7</f>
        <v>5 10 2024</v>
      </c>
      <c r="M8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8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8" s="7">
        <f xml:space="preserve"> SUMIFS(Tabla1821[27kg],Tabla1821[fecha],TablaPinal[[#This Row],[fecha]],Tabla1821[punto],L1)</f>
        <v>0</v>
      </c>
      <c r="P8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8" s="8">
        <f xml:space="preserve"> SUMIFS(Tabla18[pm],Tabla18[fecha],TablaPinal[[#This Row],[fecha]],Tabla18[punto],L1)</f>
        <v>0</v>
      </c>
      <c r="R8" s="27">
        <f xml:space="preserve"> SUMIFS(Tabla18[efectivo],Tabla18[fecha],TablaPinal[[#This Row],[fecha]],Tabla18[punto],L1)</f>
        <v>0</v>
      </c>
      <c r="S8" s="8">
        <f xml:space="preserve"> SUMIFS(Tabla18[divisa],Tabla18[fecha],TablaPinal[[#This Row],[fecha]],Tabla18[punto],L1)</f>
        <v>0</v>
      </c>
      <c r="T8" s="8">
        <f>(TablaPinal[[#This Row],[pm]] + TablaPinal[[#This Row],[efectivo]] + (TablaPinal[[#This Row],[divisa]]*DATOS!F2) + (SUMIFS(Tabla1816[pm],Tabla1816[fecha],TablaPinal[[#This Row],[fecha]],Tabla1816[punto],L1)))</f>
        <v>0</v>
      </c>
      <c r="U8" s="9">
        <f xml:space="preserve"> ((TablaPinal[[#This Row],[10kg]]*3.5) + (TablaPinal[[#This Row],[18kg]]*8)  + (TablaPinal[[#This Row],[27kg]]*11) + (TablaPinal[[#This Row],[43kg]]*17)) * DATOS!F2</f>
        <v>0</v>
      </c>
      <c r="W8" s="10" t="s">
        <v>15</v>
      </c>
      <c r="X8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8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8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8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8" s="8">
        <f xml:space="preserve"> SUMIFS(Tabla18[pm],Tabla18[fecha],TablaCandelaria[[#This Row],[fecha]],Tabla18[punto],W1)</f>
        <v>0</v>
      </c>
      <c r="AC8" s="27">
        <f xml:space="preserve"> SUMIFS(Tabla18[efectivo],Tabla18[fecha],TablaCandelaria[[#This Row],[fecha]],Tabla18[punto],W1)</f>
        <v>0</v>
      </c>
      <c r="AD8" s="8">
        <f xml:space="preserve"> SUMIFS(Tabla18[divisa],Tabla18[fecha],TablaCandelaria[[#This Row],[fecha]],Tabla18[punto],W1)</f>
        <v>0</v>
      </c>
      <c r="AE8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8" s="9">
        <f xml:space="preserve"> ((TablaCandelaria[[#This Row],[10kg]]*3.5) + (TablaCandelaria[[#This Row],[18kg]]*7)  + (TablaCandelaria[[#This Row],[27kg]]*11) + (TablaCandelaria[[#This Row],[43kg]]*17)) * DATOS!F2</f>
        <v>0</v>
      </c>
      <c r="AH8" s="10" t="s">
        <v>15</v>
      </c>
      <c r="AI8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8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8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8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8" s="8">
        <f xml:space="preserve"> SUMIFS(Tabla18[pm],Tabla18[fecha],TablaCoromoto[[#This Row],[fecha]],Tabla18[punto],AH1)</f>
        <v>0</v>
      </c>
      <c r="AN8" s="27">
        <f xml:space="preserve"> SUMIFS(Tabla18[efectivo],Tabla18[fecha],TablaCoromoto[[#This Row],[fecha]],Tabla18[punto],AH1)</f>
        <v>0</v>
      </c>
      <c r="AO8" s="8">
        <f xml:space="preserve"> SUMIFS(Tabla18[divisa],Tabla18[fecha],TablaCoromoto[[#This Row],[fecha]],Tabla18[punto],AH1)</f>
        <v>0</v>
      </c>
      <c r="AP8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8" s="9">
        <f xml:space="preserve"> ((TablaCoromoto[[#This Row],[10kg]]*3.5) + (TablaCoromoto[[#This Row],[18kg]]*7)  + (TablaCoromoto[[#This Row],[27kg]]*11) + (TablaCoromoto[[#This Row],[43kg]]*17)) * DATOS!F2</f>
        <v>0</v>
      </c>
      <c r="AS8" s="10" t="s">
        <v>15</v>
      </c>
      <c r="AT8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8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8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8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8" s="8">
        <f xml:space="preserve"> SUMIFS(Tabla18[pm],Tabla18[fecha],TablaBarrioBolivar[[#This Row],[fecha]],Tabla18[punto],AS1)</f>
        <v>0</v>
      </c>
      <c r="AY8" s="27">
        <f xml:space="preserve"> SUMIFS(Tabla18[efectivo],Tabla18[fecha],TablaBarrioBolivar[[#This Row],[fecha]],Tabla18[punto],AS1)</f>
        <v>0</v>
      </c>
      <c r="AZ8" s="8">
        <f xml:space="preserve"> SUMIFS(Tabla18[divisa],Tabla18[fecha],TablaBarrioBolivar[[#This Row],[fecha]],Tabla18[punto],AS1)</f>
        <v>0</v>
      </c>
      <c r="BA8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8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9" spans="1:54" x14ac:dyDescent="0.25">
      <c r="A9" s="6" t="str">
        <f xml:space="preserve"> DATOS!A8</f>
        <v>6 10 2024</v>
      </c>
      <c r="B9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9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9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9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9" s="8">
        <f xml:space="preserve"> SUMIFS(Tabla18[pm],Tabla18[fecha],TablaMataSeca[[#This Row],[fecha]],Tabla18[punto],DATOS!C2)</f>
        <v>0</v>
      </c>
      <c r="G9" s="28">
        <f xml:space="preserve"> SUMIFS(Tabla18[efectivo],Tabla18[fecha],TablaMataSeca[[#This Row],[fecha]],Tabla18[punto],DATOS!C2)</f>
        <v>0</v>
      </c>
      <c r="H9" s="8">
        <f xml:space="preserve"> SUMIFS(Tabla18[divisa],Tabla18[fecha],TablaMataSeca[[#This Row],[fecha]],Tabla18[punto],DATOS!C2)</f>
        <v>0</v>
      </c>
      <c r="I9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9" s="9">
        <f xml:space="preserve"> ((TablaMataSeca[[#This Row],[10kg]]*3.5) + (TablaMataSeca[[#This Row],[18kg]]*8)  + (TablaMataSeca[[#This Row],[27kg]]*11) + (TablaMataSeca[[#This Row],[43kg]]*17)) * DATOS!F2</f>
        <v>0</v>
      </c>
      <c r="L9" s="6" t="str">
        <f xml:space="preserve"> DATOS!A8</f>
        <v>6 10 2024</v>
      </c>
      <c r="M9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9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9" s="7">
        <f xml:space="preserve"> SUMIFS(Tabla1821[27kg],Tabla1821[fecha],TablaPinal[[#This Row],[fecha]],Tabla1821[punto],L1)</f>
        <v>0</v>
      </c>
      <c r="P9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9" s="8">
        <f xml:space="preserve"> SUMIFS(Tabla18[pm],Tabla18[fecha],TablaPinal[[#This Row],[fecha]],Tabla18[punto],L1)</f>
        <v>0</v>
      </c>
      <c r="R9" s="28">
        <f xml:space="preserve"> SUMIFS(Tabla18[efectivo],Tabla18[fecha],TablaPinal[[#This Row],[fecha]],Tabla18[punto],L1)</f>
        <v>0</v>
      </c>
      <c r="S9" s="8">
        <f xml:space="preserve"> SUMIFS(Tabla18[divisa],Tabla18[fecha],TablaPinal[[#This Row],[fecha]],Tabla18[punto],L1)</f>
        <v>0</v>
      </c>
      <c r="T9" s="8">
        <f>(TablaPinal[[#This Row],[pm]] + TablaPinal[[#This Row],[efectivo]] + (TablaPinal[[#This Row],[divisa]]*DATOS!F2) + (SUMIFS(Tabla1816[pm],Tabla1816[fecha],TablaPinal[[#This Row],[fecha]],Tabla1816[punto],L1)))</f>
        <v>0</v>
      </c>
      <c r="U9" s="9">
        <f xml:space="preserve"> ((TablaPinal[[#This Row],[10kg]]*3.5) + (TablaPinal[[#This Row],[18kg]]*8)  + (TablaPinal[[#This Row],[27kg]]*11) + (TablaPinal[[#This Row],[43kg]]*17)) * DATOS!F2</f>
        <v>0</v>
      </c>
      <c r="W9" s="10" t="s">
        <v>16</v>
      </c>
      <c r="X9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9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9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9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9" s="8">
        <f xml:space="preserve"> SUMIFS(Tabla18[pm],Tabla18[fecha],TablaCandelaria[[#This Row],[fecha]],Tabla18[punto],W1)</f>
        <v>0</v>
      </c>
      <c r="AC9" s="28">
        <f xml:space="preserve"> SUMIFS(Tabla18[efectivo],Tabla18[fecha],TablaCandelaria[[#This Row],[fecha]],Tabla18[punto],W1)</f>
        <v>0</v>
      </c>
      <c r="AD9" s="8">
        <f xml:space="preserve"> SUMIFS(Tabla18[divisa],Tabla18[fecha],TablaCandelaria[[#This Row],[fecha]],Tabla18[punto],W1)</f>
        <v>0</v>
      </c>
      <c r="AE9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9" s="9">
        <f xml:space="preserve"> ((TablaCandelaria[[#This Row],[10kg]]*3.5) + (TablaCandelaria[[#This Row],[18kg]]*7)  + (TablaCandelaria[[#This Row],[27kg]]*11) + (TablaCandelaria[[#This Row],[43kg]]*17)) * DATOS!F2</f>
        <v>0</v>
      </c>
      <c r="AH9" s="10" t="s">
        <v>16</v>
      </c>
      <c r="AI9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9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9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9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9" s="8">
        <f xml:space="preserve"> SUMIFS(Tabla18[pm],Tabla18[fecha],TablaCoromoto[[#This Row],[fecha]],Tabla18[punto],AH1)</f>
        <v>0</v>
      </c>
      <c r="AN9" s="28">
        <f xml:space="preserve"> SUMIFS(Tabla18[efectivo],Tabla18[fecha],TablaCoromoto[[#This Row],[fecha]],Tabla18[punto],AH1)</f>
        <v>0</v>
      </c>
      <c r="AO9" s="8">
        <f xml:space="preserve"> SUMIFS(Tabla18[divisa],Tabla18[fecha],TablaCoromoto[[#This Row],[fecha]],Tabla18[punto],AH1)</f>
        <v>0</v>
      </c>
      <c r="AP9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9" s="9">
        <f xml:space="preserve"> ((TablaCoromoto[[#This Row],[10kg]]*3.5) + (TablaCoromoto[[#This Row],[18kg]]*7)  + (TablaCoromoto[[#This Row],[27kg]]*11) + (TablaCoromoto[[#This Row],[43kg]]*17)) * DATOS!F2</f>
        <v>0</v>
      </c>
      <c r="AS9" s="10" t="s">
        <v>16</v>
      </c>
      <c r="AT9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9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9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9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9" s="8">
        <f xml:space="preserve"> SUMIFS(Tabla18[pm],Tabla18[fecha],TablaBarrioBolivar[[#This Row],[fecha]],Tabla18[punto],AS1)</f>
        <v>0</v>
      </c>
      <c r="AY9" s="28">
        <f xml:space="preserve"> SUMIFS(Tabla18[efectivo],Tabla18[fecha],TablaBarrioBolivar[[#This Row],[fecha]],Tabla18[punto],AS1)</f>
        <v>0</v>
      </c>
      <c r="AZ9" s="8">
        <f xml:space="preserve"> SUMIFS(Tabla18[divisa],Tabla18[fecha],TablaBarrioBolivar[[#This Row],[fecha]],Tabla18[punto],AS1)</f>
        <v>0</v>
      </c>
      <c r="BA9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9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0" spans="1:54" x14ac:dyDescent="0.25">
      <c r="A10" s="6" t="str">
        <f xml:space="preserve"> DATOS!A9</f>
        <v>7 10 2024</v>
      </c>
      <c r="B10" s="7">
        <f xml:space="preserve"> SUMIFS(Tabla1821[10kg],Tabla1821[fecha],TablaMataSeca[[#This Row],[fecha]],Tabla1821[punto],A1) -  SUMIFS(Tabla182115[10kg],Tabla182115[fecha],TablaMataSeca[[#This Row],[fecha]],Tabla182115[punto],A1)</f>
        <v>31</v>
      </c>
      <c r="C10" s="7">
        <f xml:space="preserve"> SUMIFS(Tabla1821[18kg],Tabla1821[fecha],TablaMataSeca[[#This Row],[fecha]],Tabla1821[punto],A1) -  SUMIFS(Tabla182115[18kg],Tabla182115[fecha],TablaMataSeca[[#This Row],[fecha]],Tabla182115[punto],A1)</f>
        <v>4</v>
      </c>
      <c r="D10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0" s="7">
        <f xml:space="preserve"> SUMIFS(Tabla1821[43kg],Tabla1821[fecha],TablaMataSeca[[#This Row],[fecha]],Tabla1821[punto],A1) -  SUMIFS(Tabla182115[43kg],Tabla182115[fecha],TablaMataSeca[[#This Row],[fecha]],Tabla182115[punto],A1)</f>
        <v>4</v>
      </c>
      <c r="F10" s="8">
        <f xml:space="preserve"> SUMIFS(Tabla18[pm],Tabla18[fecha],TablaMataSeca[[#This Row],[fecha]],Tabla18[punto],DATOS!C2)</f>
        <v>7714.5</v>
      </c>
      <c r="G10" s="28">
        <f xml:space="preserve"> SUMIFS(Tabla18[efectivo],Tabla18[fecha],TablaMataSeca[[#This Row],[fecha]],Tabla18[punto],DATOS!C2)</f>
        <v>0</v>
      </c>
      <c r="H10" s="8">
        <f xml:space="preserve"> SUMIFS(Tabla18[divisa],Tabla18[fecha],TablaMataSeca[[#This Row],[fecha]],Tabla18[punto],DATOS!C2)</f>
        <v>0</v>
      </c>
      <c r="I10" s="8">
        <f>(TablaMataSeca[[#This Row],[pm]] + TablaMataSeca[[#This Row],[efectivo]] + (TablaMataSeca[[#This Row],[divisa]]*DATOS!F2) + (SUMIFS(Tabla1816[pm],Tabla1816[fecha],TablaMataSeca[[#This Row],[fecha]],Tabla1816[punto],A1)))</f>
        <v>7714.5</v>
      </c>
      <c r="J10" s="21">
        <f xml:space="preserve"> ((TablaMataSeca[[#This Row],[10kg]]*3.5) + (TablaMataSeca[[#This Row],[18kg]]*8)  + (TablaMataSeca[[#This Row],[27kg]]*11) + (TablaMataSeca[[#This Row],[43kg]]*17)) * DATOS!F2</f>
        <v>7722.84</v>
      </c>
      <c r="L10" s="6" t="str">
        <f xml:space="preserve"> DATOS!A9</f>
        <v>7 10 2024</v>
      </c>
      <c r="M10" s="7">
        <f xml:space="preserve"> SUMIFS(Tabla1821[10kg],Tabla1821[fecha],TablaPinal[[#This Row],[fecha]],Tabla1821[punto],L1) -  SUMIFS(Tabla182115[10kg],Tabla182115[fecha],TablaPinal[[#This Row],[fecha]],Tabla182115[punto],L1)</f>
        <v>46</v>
      </c>
      <c r="N10" s="7">
        <f xml:space="preserve"> SUMIFS(Tabla1821[18kg],Tabla1821[fecha],TablaPinal[[#This Row],[fecha]],Tabla1821[punto],L1) -  SUMIFS(Tabla182115[18kg],Tabla182115[fecha],TablaPinal[[#This Row],[fecha]],Tabla182115[punto],L1)</f>
        <v>8</v>
      </c>
      <c r="O10" s="7">
        <f xml:space="preserve"> SUMIFS(Tabla1821[27kg],Tabla1821[fecha],TablaPinal[[#This Row],[fecha]],Tabla1821[punto],L1)</f>
        <v>0</v>
      </c>
      <c r="P10" s="7">
        <f xml:space="preserve"> SUMIFS(Tabla1821[43kg],Tabla1821[fecha],TablaPinal[[#This Row],[fecha]],Tabla1821[punto],L1) -  SUMIFS(Tabla182115[43kg],Tabla182115[fecha],TablaPinal[[#This Row],[fecha]],Tabla182115[punto],L1)</f>
        <v>4</v>
      </c>
      <c r="Q10" s="8">
        <f xml:space="preserve"> SUMIFS(Tabla18[pm],Tabla18[fecha],TablaPinal[[#This Row],[fecha]],Tabla18[punto],L1)</f>
        <v>10197</v>
      </c>
      <c r="R10" s="28">
        <f xml:space="preserve"> SUMIFS(Tabla18[efectivo],Tabla18[fecha],TablaPinal[[#This Row],[fecha]],Tabla18[punto],L1)</f>
        <v>0</v>
      </c>
      <c r="S10" s="8">
        <f xml:space="preserve"> SUMIFS(Tabla18[divisa],Tabla18[fecha],TablaPinal[[#This Row],[fecha]],Tabla18[punto],L1)</f>
        <v>20</v>
      </c>
      <c r="T10" s="8">
        <f>(TablaPinal[[#This Row],[pm]] + TablaPinal[[#This Row],[efectivo]] + (TablaPinal[[#This Row],[divisa]]*DATOS!F2) + (SUMIFS(Tabla1816[pm],Tabla1816[fecha],TablaPinal[[#This Row],[fecha]],Tabla1816[punto],L1)))</f>
        <v>10937.8</v>
      </c>
      <c r="U10" s="21">
        <f xml:space="preserve"> ((TablaPinal[[#This Row],[10kg]]*3.5) + (TablaPinal[[#This Row],[18kg]]*8)  + (TablaPinal[[#This Row],[27kg]]*11) + (TablaPinal[[#This Row],[43kg]]*17)) * DATOS!F2</f>
        <v>10852.72</v>
      </c>
      <c r="W10" s="10" t="s">
        <v>17</v>
      </c>
      <c r="X10" s="7">
        <f xml:space="preserve"> SUMIFS(Tabla1821[10kg],Tabla1821[fecha],TablaCandelaria[[#This Row],[fecha]],Tabla1821[punto],W1) -  SUMIFS(Tabla182115[10kg],Tabla182115[fecha],TablaCandelaria[[#This Row],[fecha]],Tabla182115[punto],W1)</f>
        <v>24</v>
      </c>
      <c r="Y10" s="7">
        <f xml:space="preserve"> SUMIFS(Tabla1821[18kg],Tabla1821[fecha],TablaCandelaria[[#This Row],[fecha]],Tabla1821[punto],W1) -  SUMIFS(Tabla182115[18kg],Tabla182115[fecha],TablaCandelaria[[#This Row],[fecha]],Tabla182115[punto],W1)</f>
        <v>3</v>
      </c>
      <c r="Z10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0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0" s="8">
        <f xml:space="preserve"> SUMIFS(Tabla18[pm],Tabla18[fecha],TablaCandelaria[[#This Row],[fecha]],Tabla18[punto],W1)</f>
        <v>3889</v>
      </c>
      <c r="AC10" s="28">
        <f xml:space="preserve"> SUMIFS(Tabla18[efectivo],Tabla18[fecha],TablaCandelaria[[#This Row],[fecha]],Tabla18[punto],W1)</f>
        <v>0</v>
      </c>
      <c r="AD10" s="8">
        <f xml:space="preserve"> SUMIFS(Tabla18[divisa],Tabla18[fecha],TablaCandelaria[[#This Row],[fecha]],Tabla18[punto],W1)</f>
        <v>0</v>
      </c>
      <c r="AE10" s="8">
        <f>(TablaCandelaria[[#This Row],[pm]] + TablaCandelaria[[#This Row],[efectivo]] + (TablaCandelaria[[#This Row],[divisa]]*DATOS!F2) + (SUMIFS(Tabla1816[pm],Tabla1816[fecha],TablaCandelaria[[#This Row],[fecha]],Tabla1816[punto],W1)))</f>
        <v>3889</v>
      </c>
      <c r="AF10" s="21">
        <f xml:space="preserve"> ((TablaCandelaria[[#This Row],[10kg]]*3.5) + (TablaCandelaria[[#This Row],[18kg]]*7)  + (TablaCandelaria[[#This Row],[27kg]]*11) + (TablaCandelaria[[#This Row],[43kg]]*17)) * DATOS!F2</f>
        <v>3889.2</v>
      </c>
      <c r="AH10" s="10" t="s">
        <v>17</v>
      </c>
      <c r="AI10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10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10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0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10" s="8">
        <f xml:space="preserve"> SUMIFS(Tabla18[pm],Tabla18[fecha],TablaCoromoto[[#This Row],[fecha]],Tabla18[punto],AH1)</f>
        <v>0</v>
      </c>
      <c r="AN10" s="28">
        <f xml:space="preserve"> SUMIFS(Tabla18[efectivo],Tabla18[fecha],TablaCoromoto[[#This Row],[fecha]],Tabla18[punto],AH1)</f>
        <v>0</v>
      </c>
      <c r="AO10" s="8">
        <f xml:space="preserve"> SUMIFS(Tabla18[divisa],Tabla18[fecha],TablaCoromoto[[#This Row],[fecha]],Tabla18[punto],AH1)</f>
        <v>0</v>
      </c>
      <c r="AP10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0" s="21">
        <f xml:space="preserve"> ((TablaCoromoto[[#This Row],[10kg]]*3.5) + (TablaCoromoto[[#This Row],[18kg]]*7)  + (TablaCoromoto[[#This Row],[27kg]]*11) + (TablaCoromoto[[#This Row],[43kg]]*17)) * DATOS!F2</f>
        <v>0</v>
      </c>
      <c r="AS10" s="10" t="s">
        <v>17</v>
      </c>
      <c r="AT10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0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0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0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0" s="8">
        <f xml:space="preserve"> SUMIFS(Tabla18[pm],Tabla18[fecha],TablaBarrioBolivar[[#This Row],[fecha]],Tabla18[punto],AS1)</f>
        <v>0</v>
      </c>
      <c r="AY10" s="28">
        <f xml:space="preserve"> SUMIFS(Tabla18[efectivo],Tabla18[fecha],TablaBarrioBolivar[[#This Row],[fecha]],Tabla18[punto],AS1)</f>
        <v>0</v>
      </c>
      <c r="AZ10" s="8">
        <f xml:space="preserve"> SUMIFS(Tabla18[divisa],Tabla18[fecha],TablaBarrioBolivar[[#This Row],[fecha]],Tabla18[punto],AS1)</f>
        <v>0</v>
      </c>
      <c r="BA10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0" s="21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1" spans="1:54" x14ac:dyDescent="0.25">
      <c r="A11" s="6" t="str">
        <f xml:space="preserve"> DATOS!A10</f>
        <v>8 10 2024</v>
      </c>
      <c r="B11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11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11" s="8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1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11" s="8">
        <f xml:space="preserve"> SUMIFS(Tabla18[pm],Tabla18[fecha],TablaMataSeca[[#This Row],[fecha]],Tabla18[punto],DATOS!C2)</f>
        <v>0</v>
      </c>
      <c r="G11" s="28">
        <f xml:space="preserve"> SUMIFS(Tabla18[efectivo],Tabla18[fecha],TablaMataSeca[[#This Row],[fecha]],Tabla18[punto],DATOS!C2)</f>
        <v>0</v>
      </c>
      <c r="H11" s="8">
        <f xml:space="preserve"> SUMIFS(Tabla18[divisa],Tabla18[fecha],TablaMataSeca[[#This Row],[fecha]],Tabla18[punto],DATOS!C2)</f>
        <v>0</v>
      </c>
      <c r="I11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11" s="9">
        <f xml:space="preserve"> ((TablaMataSeca[[#This Row],[10kg]]*3.5) + (TablaMataSeca[[#This Row],[18kg]]*8)  + (TablaMataSeca[[#This Row],[27kg]]*11) + (TablaMataSeca[[#This Row],[43kg]]*17)) * DATOS!F2</f>
        <v>0</v>
      </c>
      <c r="L11" s="6" t="str">
        <f xml:space="preserve"> DATOS!A10</f>
        <v>8 10 2024</v>
      </c>
      <c r="M11" s="7">
        <f xml:space="preserve"> SUMIFS(Tabla1821[10kg],Tabla1821[fecha],TablaPinal[[#This Row],[fecha]],Tabla1821[punto],L1) -  SUMIFS(Tabla182115[10kg],Tabla182115[fecha],TablaPinal[[#This Row],[fecha]],Tabla182115[punto],L1)</f>
        <v>40</v>
      </c>
      <c r="N11" s="7">
        <f xml:space="preserve"> SUMIFS(Tabla1821[18kg],Tabla1821[fecha],TablaPinal[[#This Row],[fecha]],Tabla1821[punto],L1) -  SUMIFS(Tabla182115[18kg],Tabla182115[fecha],TablaPinal[[#This Row],[fecha]],Tabla182115[punto],L1)</f>
        <v>9</v>
      </c>
      <c r="O11" s="8">
        <f xml:space="preserve"> SUMIFS(Tabla1821[27kg],Tabla1821[fecha],TablaPinal[[#This Row],[fecha]],Tabla1821[punto],L1)</f>
        <v>0</v>
      </c>
      <c r="P11" s="7">
        <f xml:space="preserve"> SUMIFS(Tabla1821[43kg],Tabla1821[fecha],TablaPinal[[#This Row],[fecha]],Tabla1821[punto],L1) -  SUMIFS(Tabla182115[43kg],Tabla182115[fecha],TablaPinal[[#This Row],[fecha]],Tabla182115[punto],L1)</f>
        <v>2</v>
      </c>
      <c r="Q11" s="8">
        <f xml:space="preserve"> SUMIFS(Tabla18[pm],Tabla18[fecha],TablaPinal[[#This Row],[fecha]],Tabla18[punto],L1)</f>
        <v>9111</v>
      </c>
      <c r="R11" s="28">
        <f xml:space="preserve"> SUMIFS(Tabla18[efectivo],Tabla18[fecha],TablaPinal[[#This Row],[fecha]],Tabla18[punto],L1)</f>
        <v>0</v>
      </c>
      <c r="S11" s="8">
        <f xml:space="preserve"> SUMIFS(Tabla18[divisa],Tabla18[fecha],TablaPinal[[#This Row],[fecha]],Tabla18[punto],L1)</f>
        <v>0</v>
      </c>
      <c r="T11" s="8">
        <f>(TablaPinal[[#This Row],[pm]] + TablaPinal[[#This Row],[efectivo]] + (TablaPinal[[#This Row],[divisa]]*DATOS!F2) + (SUMIFS(Tabla1816[pm],Tabla1816[fecha],TablaPinal[[#This Row],[fecha]],Tabla1816[punto],L1)))</f>
        <v>9111</v>
      </c>
      <c r="U11" s="9">
        <f xml:space="preserve"> ((TablaPinal[[#This Row],[10kg]]*3.5) + (TablaPinal[[#This Row],[18kg]]*8)  + (TablaPinal[[#This Row],[27kg]]*11) + (TablaPinal[[#This Row],[43kg]]*17)) * DATOS!F2</f>
        <v>9111.84</v>
      </c>
      <c r="W11" s="10" t="s">
        <v>18</v>
      </c>
      <c r="X11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11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11" s="8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1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1" s="8">
        <f xml:space="preserve"> SUMIFS(Tabla18[pm],Tabla18[fecha],TablaCandelaria[[#This Row],[fecha]],Tabla18[punto],W1)</f>
        <v>0</v>
      </c>
      <c r="AC11" s="28">
        <f xml:space="preserve"> SUMIFS(Tabla18[efectivo],Tabla18[fecha],TablaCandelaria[[#This Row],[fecha]],Tabla18[punto],W1)</f>
        <v>0</v>
      </c>
      <c r="AD11" s="8">
        <f xml:space="preserve"> SUMIFS(Tabla18[divisa],Tabla18[fecha],TablaCandelaria[[#This Row],[fecha]],Tabla18[punto],W1)</f>
        <v>0</v>
      </c>
      <c r="AE11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11" s="9">
        <f xml:space="preserve"> ((TablaCandelaria[[#This Row],[10kg]]*3.5) + (TablaCandelaria[[#This Row],[18kg]]*7)  + (TablaCandelaria[[#This Row],[27kg]]*11) + (TablaCandelaria[[#This Row],[43kg]]*17)) * DATOS!F2</f>
        <v>0</v>
      </c>
      <c r="AH11" s="10" t="s">
        <v>18</v>
      </c>
      <c r="AI11" s="7">
        <f xml:space="preserve"> SUMIFS(Tabla1821[10kg],Tabla1821[fecha],TablaCoromoto[[#This Row],[fecha]],Tabla1821[punto],AH1) -  SUMIFS(Tabla182115[10kg],Tabla182115[fecha],TablaCoromoto[[#This Row],[fecha]],Tabla182115[punto],AH1)</f>
        <v>10</v>
      </c>
      <c r="AJ11" s="7">
        <f xml:space="preserve"> SUMIFS(Tabla1821[18kg],Tabla1821[fecha],TablaCoromoto[[#This Row],[fecha]],Tabla1821[punto],AH1) -  SUMIFS(Tabla182115[18kg],Tabla182115[fecha],TablaCoromoto[[#This Row],[fecha]],Tabla182115[punto],AH1)</f>
        <v>1</v>
      </c>
      <c r="AK11" s="8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1" s="7">
        <f xml:space="preserve"> SUMIFS(Tabla1821[43kg],Tabla1821[fecha],TablaCoromoto[[#This Row],[fecha]],Tabla1821[punto],AH1) -  SUMIFS(Tabla182115[43kg],Tabla182115[fecha],TablaCoromoto[[#This Row],[fecha]],Tabla182115[punto],AH1)</f>
        <v>1</v>
      </c>
      <c r="AM11" s="8">
        <f xml:space="preserve"> SUMIFS(Tabla18[pm],Tabla18[fecha],TablaCoromoto[[#This Row],[fecha]],Tabla18[punto],AH1)</f>
        <v>0</v>
      </c>
      <c r="AN11" s="28">
        <f xml:space="preserve"> SUMIFS(Tabla18[efectivo],Tabla18[fecha],TablaCoromoto[[#This Row],[fecha]],Tabla18[punto],AH1)</f>
        <v>0</v>
      </c>
      <c r="AO11" s="8">
        <f xml:space="preserve"> SUMIFS(Tabla18[divisa],Tabla18[fecha],TablaCoromoto[[#This Row],[fecha]],Tabla18[punto],AH1)</f>
        <v>0</v>
      </c>
      <c r="AP11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1" s="9">
        <f xml:space="preserve"> ((TablaCoromoto[[#This Row],[10kg]]*3.5) + (TablaCoromoto[[#This Row],[18kg]]*7)  + (TablaCoromoto[[#This Row],[27kg]]*11) + (TablaCoromoto[[#This Row],[43kg]]*17)) * DATOS!F2</f>
        <v>2185.36</v>
      </c>
      <c r="AS11" s="10" t="s">
        <v>18</v>
      </c>
      <c r="AT11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1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1" s="8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1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1" s="8">
        <f xml:space="preserve"> SUMIFS(Tabla18[pm],Tabla18[fecha],TablaBarrioBolivar[[#This Row],[fecha]],Tabla18[punto],AS1)</f>
        <v>0</v>
      </c>
      <c r="AY11" s="28">
        <f xml:space="preserve"> SUMIFS(Tabla18[efectivo],Tabla18[fecha],TablaBarrioBolivar[[#This Row],[fecha]],Tabla18[punto],AS1)</f>
        <v>0</v>
      </c>
      <c r="AZ11" s="8">
        <f xml:space="preserve"> SUMIFS(Tabla18[divisa],Tabla18[fecha],TablaBarrioBolivar[[#This Row],[fecha]],Tabla18[punto],AS1)</f>
        <v>0</v>
      </c>
      <c r="BA11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1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2" spans="1:54" x14ac:dyDescent="0.25">
      <c r="A12" s="6" t="str">
        <f xml:space="preserve"> DATOS!A11</f>
        <v>9 10 2024</v>
      </c>
      <c r="B12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12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12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2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12" s="7">
        <f xml:space="preserve"> SUMIFS(Tabla18[pm],Tabla18[fecha],TablaMataSeca[[#This Row],[fecha]],Tabla18[punto],DATOS!C2)</f>
        <v>0</v>
      </c>
      <c r="G12" s="27">
        <f xml:space="preserve"> SUMIFS(Tabla18[efectivo],Tabla18[fecha],TablaMataSeca[[#This Row],[fecha]],Tabla18[punto],DATOS!C2)</f>
        <v>0</v>
      </c>
      <c r="H12" s="10">
        <f xml:space="preserve"> SUMIFS(Tabla18[divisa],Tabla18[fecha],TablaMataSeca[[#This Row],[fecha]],Tabla18[punto],DATOS!C2)</f>
        <v>0</v>
      </c>
      <c r="I12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12" s="9">
        <f xml:space="preserve"> ((TablaMataSeca[[#This Row],[10kg]]*3.5) + (TablaMataSeca[[#This Row],[18kg]]*8)  + (TablaMataSeca[[#This Row],[27kg]]*11) + (TablaMataSeca[[#This Row],[43kg]]*17)) * DATOS!F2</f>
        <v>0</v>
      </c>
      <c r="L12" s="6" t="str">
        <f xml:space="preserve"> DATOS!A11</f>
        <v>9 10 2024</v>
      </c>
      <c r="M12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12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12" s="7">
        <f xml:space="preserve"> SUMIFS(Tabla1821[27kg],Tabla1821[fecha],TablaPinal[[#This Row],[fecha]],Tabla1821[punto],L1)</f>
        <v>0</v>
      </c>
      <c r="P12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12" s="7">
        <f xml:space="preserve"> SUMIFS(Tabla18[pm],Tabla18[fecha],TablaPinal[[#This Row],[fecha]],Tabla18[punto],L1)</f>
        <v>0</v>
      </c>
      <c r="R12" s="27">
        <f xml:space="preserve"> SUMIFS(Tabla18[efectivo],Tabla18[fecha],TablaPinal[[#This Row],[fecha]],Tabla18[punto],L1)</f>
        <v>0</v>
      </c>
      <c r="S12" s="10">
        <f xml:space="preserve"> SUMIFS(Tabla18[divisa],Tabla18[fecha],TablaPinal[[#This Row],[fecha]],Tabla18[punto],L1)</f>
        <v>0</v>
      </c>
      <c r="T12" s="8">
        <f>(TablaPinal[[#This Row],[pm]] + TablaPinal[[#This Row],[efectivo]] + (TablaPinal[[#This Row],[divisa]]*DATOS!F2) + (SUMIFS(Tabla1816[pm],Tabla1816[fecha],TablaPinal[[#This Row],[fecha]],Tabla1816[punto],L1)))</f>
        <v>0</v>
      </c>
      <c r="U12" s="9">
        <f xml:space="preserve"> ((TablaPinal[[#This Row],[10kg]]*3.5) + (TablaPinal[[#This Row],[18kg]]*8)  + (TablaPinal[[#This Row],[27kg]]*11) + (TablaPinal[[#This Row],[43kg]]*17)) * DATOS!F2</f>
        <v>0</v>
      </c>
      <c r="W12" s="10" t="s">
        <v>19</v>
      </c>
      <c r="X12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12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12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2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2" s="7">
        <f xml:space="preserve"> SUMIFS(Tabla18[pm],Tabla18[fecha],TablaCandelaria[[#This Row],[fecha]],Tabla18[punto],W1)</f>
        <v>0</v>
      </c>
      <c r="AC12" s="27">
        <f xml:space="preserve"> SUMIFS(Tabla18[efectivo],Tabla18[fecha],TablaCandelaria[[#This Row],[fecha]],Tabla18[punto],W1)</f>
        <v>0</v>
      </c>
      <c r="AD12" s="10">
        <f xml:space="preserve"> SUMIFS(Tabla18[divisa],Tabla18[fecha],TablaCandelaria[[#This Row],[fecha]],Tabla18[punto],W1)</f>
        <v>0</v>
      </c>
      <c r="AE12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12" s="9">
        <f xml:space="preserve"> ((TablaCandelaria[[#This Row],[10kg]]*3.5) + (TablaCandelaria[[#This Row],[18kg]]*7)  + (TablaCandelaria[[#This Row],[27kg]]*11) + (TablaCandelaria[[#This Row],[43kg]]*17)) * DATOS!F2</f>
        <v>0</v>
      </c>
      <c r="AH12" s="10" t="s">
        <v>19</v>
      </c>
      <c r="AI12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12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12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2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12" s="7">
        <f xml:space="preserve"> SUMIFS(Tabla18[pm],Tabla18[fecha],TablaCoromoto[[#This Row],[fecha]],Tabla18[punto],AH1)</f>
        <v>0</v>
      </c>
      <c r="AN12" s="27">
        <f xml:space="preserve"> SUMIFS(Tabla18[efectivo],Tabla18[fecha],TablaCoromoto[[#This Row],[fecha]],Tabla18[punto],AH1)</f>
        <v>0</v>
      </c>
      <c r="AO12" s="10">
        <f xml:space="preserve"> SUMIFS(Tabla18[divisa],Tabla18[fecha],TablaCoromoto[[#This Row],[fecha]],Tabla18[punto],AH1)</f>
        <v>0</v>
      </c>
      <c r="AP12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2" s="9">
        <f xml:space="preserve"> ((TablaCoromoto[[#This Row],[10kg]]*3.5) + (TablaCoromoto[[#This Row],[18kg]]*7)  + (TablaCoromoto[[#This Row],[27kg]]*11) + (TablaCoromoto[[#This Row],[43kg]]*17)) * DATOS!F2</f>
        <v>0</v>
      </c>
      <c r="AS12" s="10" t="s">
        <v>19</v>
      </c>
      <c r="AT12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2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2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2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2" s="7">
        <f xml:space="preserve"> SUMIFS(Tabla18[pm],Tabla18[fecha],TablaBarrioBolivar[[#This Row],[fecha]],Tabla18[punto],AS1)</f>
        <v>0</v>
      </c>
      <c r="AY12" s="27">
        <f xml:space="preserve"> SUMIFS(Tabla18[efectivo],Tabla18[fecha],TablaBarrioBolivar[[#This Row],[fecha]],Tabla18[punto],AS1)</f>
        <v>0</v>
      </c>
      <c r="AZ12" s="10">
        <f xml:space="preserve"> SUMIFS(Tabla18[divisa],Tabla18[fecha],TablaBarrioBolivar[[#This Row],[fecha]],Tabla18[punto],AS1)</f>
        <v>0</v>
      </c>
      <c r="BA12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2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3" spans="1:54" x14ac:dyDescent="0.25">
      <c r="A13" s="6" t="str">
        <f xml:space="preserve"> DATOS!A12</f>
        <v>10 10 2024</v>
      </c>
      <c r="B13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13" s="8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13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3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13" s="8">
        <f xml:space="preserve"> SUMIFS(Tabla18[pm],Tabla18[fecha],TablaMataSeca[[#This Row],[fecha]],Tabla18[punto],DATOS!C2)</f>
        <v>0</v>
      </c>
      <c r="G13" s="27">
        <f xml:space="preserve"> SUMIFS(Tabla18[efectivo],Tabla18[fecha],TablaMataSeca[[#This Row],[fecha]],Tabla18[punto],DATOS!C2)</f>
        <v>0</v>
      </c>
      <c r="H13" s="7">
        <f xml:space="preserve"> SUMIFS(Tabla18[divisa],Tabla18[fecha],TablaMataSeca[[#This Row],[fecha]],Tabla18[punto],DATOS!C2)</f>
        <v>0</v>
      </c>
      <c r="I13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13" s="9">
        <f xml:space="preserve"> ((TablaMataSeca[[#This Row],[10kg]]*3.5) + (TablaMataSeca[[#This Row],[18kg]]*8)  + (TablaMataSeca[[#This Row],[27kg]]*11) + (TablaMataSeca[[#This Row],[43kg]]*17)) * DATOS!F2</f>
        <v>0</v>
      </c>
      <c r="L13" s="6" t="str">
        <f xml:space="preserve"> DATOS!A12</f>
        <v>10 10 2024</v>
      </c>
      <c r="M13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13" s="8">
        <f xml:space="preserve"> SUMIFS(Tabla1821[18kg],Tabla1821[fecha],TablaPinal[[#This Row],[fecha]],Tabla1821[punto],L1) -  SUMIFS(Tabla182115[18kg],Tabla182115[fecha],TablaPinal[[#This Row],[fecha]],Tabla182115[punto],L1)</f>
        <v>0</v>
      </c>
      <c r="O13" s="7">
        <f xml:space="preserve"> SUMIFS(Tabla1821[27kg],Tabla1821[fecha],TablaPinal[[#This Row],[fecha]],Tabla1821[punto],L1)</f>
        <v>0</v>
      </c>
      <c r="P13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13" s="8">
        <f xml:space="preserve"> SUMIFS(Tabla18[pm],Tabla18[fecha],TablaPinal[[#This Row],[fecha]],Tabla18[punto],L1)</f>
        <v>0</v>
      </c>
      <c r="R13" s="27">
        <f xml:space="preserve"> SUMIFS(Tabla18[efectivo],Tabla18[fecha],TablaPinal[[#This Row],[fecha]],Tabla18[punto],L1)</f>
        <v>0</v>
      </c>
      <c r="S13" s="7">
        <f xml:space="preserve"> SUMIFS(Tabla18[divisa],Tabla18[fecha],TablaPinal[[#This Row],[fecha]],Tabla18[punto],L1)</f>
        <v>0</v>
      </c>
      <c r="T13" s="8">
        <f>(TablaPinal[[#This Row],[pm]] + TablaPinal[[#This Row],[efectivo]] + (TablaPinal[[#This Row],[divisa]]*DATOS!F2) + (SUMIFS(Tabla1816[pm],Tabla1816[fecha],TablaPinal[[#This Row],[fecha]],Tabla1816[punto],L1)))</f>
        <v>0</v>
      </c>
      <c r="U13" s="9">
        <f xml:space="preserve"> ((TablaPinal[[#This Row],[10kg]]*3.5) + (TablaPinal[[#This Row],[18kg]]*8)  + (TablaPinal[[#This Row],[27kg]]*11) + (TablaPinal[[#This Row],[43kg]]*17)) * DATOS!F2</f>
        <v>0</v>
      </c>
      <c r="W13" s="10" t="s">
        <v>20</v>
      </c>
      <c r="X13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13" s="8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13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3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3" s="8">
        <f xml:space="preserve"> SUMIFS(Tabla18[pm],Tabla18[fecha],TablaCandelaria[[#This Row],[fecha]],Tabla18[punto],W1)</f>
        <v>0</v>
      </c>
      <c r="AC13" s="27">
        <f xml:space="preserve"> SUMIFS(Tabla18[efectivo],Tabla18[fecha],TablaCandelaria[[#This Row],[fecha]],Tabla18[punto],W1)</f>
        <v>0</v>
      </c>
      <c r="AD13" s="7">
        <f xml:space="preserve"> SUMIFS(Tabla18[divisa],Tabla18[fecha],TablaCandelaria[[#This Row],[fecha]],Tabla18[punto],W1)</f>
        <v>0</v>
      </c>
      <c r="AE13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13" s="9">
        <f xml:space="preserve"> ((TablaCandelaria[[#This Row],[10kg]]*3.5) + (TablaCandelaria[[#This Row],[18kg]]*7)  + (TablaCandelaria[[#This Row],[27kg]]*11) + (TablaCandelaria[[#This Row],[43kg]]*17)) * DATOS!F2</f>
        <v>0</v>
      </c>
      <c r="AH13" s="10" t="s">
        <v>20</v>
      </c>
      <c r="AI13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13" s="8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13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3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13" s="8">
        <f xml:space="preserve"> SUMIFS(Tabla18[pm],Tabla18[fecha],TablaCoromoto[[#This Row],[fecha]],Tabla18[punto],AH1)</f>
        <v>0</v>
      </c>
      <c r="AN13" s="27">
        <f xml:space="preserve"> SUMIFS(Tabla18[efectivo],Tabla18[fecha],TablaCoromoto[[#This Row],[fecha]],Tabla18[punto],AH1)</f>
        <v>0</v>
      </c>
      <c r="AO13" s="7">
        <f xml:space="preserve"> SUMIFS(Tabla18[divisa],Tabla18[fecha],TablaCoromoto[[#This Row],[fecha]],Tabla18[punto],AH1)</f>
        <v>0</v>
      </c>
      <c r="AP13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3" s="9">
        <f xml:space="preserve"> ((TablaCoromoto[[#This Row],[10kg]]*3.5) + (TablaCoromoto[[#This Row],[18kg]]*7)  + (TablaCoromoto[[#This Row],[27kg]]*11) + (TablaCoromoto[[#This Row],[43kg]]*17)) * DATOS!F2</f>
        <v>0</v>
      </c>
      <c r="AS13" s="10" t="s">
        <v>20</v>
      </c>
      <c r="AT13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3" s="8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3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3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3" s="8">
        <f xml:space="preserve"> SUMIFS(Tabla18[pm],Tabla18[fecha],TablaBarrioBolivar[[#This Row],[fecha]],Tabla18[punto],AS1)</f>
        <v>0</v>
      </c>
      <c r="AY13" s="27">
        <f xml:space="preserve"> SUMIFS(Tabla18[efectivo],Tabla18[fecha],TablaBarrioBolivar[[#This Row],[fecha]],Tabla18[punto],AS1)</f>
        <v>0</v>
      </c>
      <c r="AZ13" s="7">
        <f xml:space="preserve"> SUMIFS(Tabla18[divisa],Tabla18[fecha],TablaBarrioBolivar[[#This Row],[fecha]],Tabla18[punto],AS1)</f>
        <v>0</v>
      </c>
      <c r="BA13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3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4" spans="1:54" x14ac:dyDescent="0.25">
      <c r="A14" s="6" t="str">
        <f xml:space="preserve"> DATOS!A13</f>
        <v>11 10 2024</v>
      </c>
      <c r="B14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14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14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4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14" s="8">
        <f xml:space="preserve"> SUMIFS(Tabla18[pm],Tabla18[fecha],TablaMataSeca[[#This Row],[fecha]],Tabla18[punto],DATOS!C2)</f>
        <v>0</v>
      </c>
      <c r="G14" s="27">
        <f xml:space="preserve"> SUMIFS(Tabla18[efectivo],Tabla18[fecha],TablaMataSeca[[#This Row],[fecha]],Tabla18[punto],DATOS!C2)</f>
        <v>0</v>
      </c>
      <c r="H14" s="8">
        <f xml:space="preserve"> SUMIFS(Tabla18[divisa],Tabla18[fecha],TablaMataSeca[[#This Row],[fecha]],Tabla18[punto],DATOS!C2)</f>
        <v>0</v>
      </c>
      <c r="I14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14" s="9">
        <f xml:space="preserve"> ((TablaMataSeca[[#This Row],[10kg]]*3.5) + (TablaMataSeca[[#This Row],[18kg]]*8)  + (TablaMataSeca[[#This Row],[27kg]]*11) + (TablaMataSeca[[#This Row],[43kg]]*17)) * DATOS!F2</f>
        <v>0</v>
      </c>
      <c r="L14" s="6" t="str">
        <f xml:space="preserve"> DATOS!A13</f>
        <v>11 10 2024</v>
      </c>
      <c r="M14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14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14" s="7">
        <f xml:space="preserve"> SUMIFS(Tabla1821[27kg],Tabla1821[fecha],TablaPinal[[#This Row],[fecha]],Tabla1821[punto],L1)</f>
        <v>0</v>
      </c>
      <c r="P14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14" s="8">
        <f xml:space="preserve"> SUMIFS(Tabla18[pm],Tabla18[fecha],TablaPinal[[#This Row],[fecha]],Tabla18[punto],L1)</f>
        <v>0</v>
      </c>
      <c r="R14" s="27">
        <f xml:space="preserve"> SUMIFS(Tabla18[efectivo],Tabla18[fecha],TablaPinal[[#This Row],[fecha]],Tabla18[punto],L1)</f>
        <v>0</v>
      </c>
      <c r="S14" s="8">
        <f xml:space="preserve"> SUMIFS(Tabla18[divisa],Tabla18[fecha],TablaPinal[[#This Row],[fecha]],Tabla18[punto],L1)</f>
        <v>0</v>
      </c>
      <c r="T14" s="8">
        <f>(TablaPinal[[#This Row],[pm]] + TablaPinal[[#This Row],[efectivo]] + (TablaPinal[[#This Row],[divisa]]*DATOS!F2) + (SUMIFS(Tabla1816[pm],Tabla1816[fecha],TablaPinal[[#This Row],[fecha]],Tabla1816[punto],L1)))</f>
        <v>0</v>
      </c>
      <c r="U14" s="9">
        <f xml:space="preserve"> ((TablaPinal[[#This Row],[10kg]]*3.5) + (TablaPinal[[#This Row],[18kg]]*8)  + (TablaPinal[[#This Row],[27kg]]*11) + (TablaPinal[[#This Row],[43kg]]*17)) * DATOS!F2</f>
        <v>0</v>
      </c>
      <c r="W14" s="10" t="s">
        <v>21</v>
      </c>
      <c r="X14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14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14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4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4" s="8">
        <f xml:space="preserve"> SUMIFS(Tabla18[pm],Tabla18[fecha],TablaCandelaria[[#This Row],[fecha]],Tabla18[punto],W1)</f>
        <v>0</v>
      </c>
      <c r="AC14" s="27">
        <f xml:space="preserve"> SUMIFS(Tabla18[efectivo],Tabla18[fecha],TablaCandelaria[[#This Row],[fecha]],Tabla18[punto],W1)</f>
        <v>0</v>
      </c>
      <c r="AD14" s="8">
        <f xml:space="preserve"> SUMIFS(Tabla18[divisa],Tabla18[fecha],TablaCandelaria[[#This Row],[fecha]],Tabla18[punto],W1)</f>
        <v>0</v>
      </c>
      <c r="AE14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14" s="9">
        <f xml:space="preserve"> ((TablaCandelaria[[#This Row],[10kg]]*3.5) + (TablaCandelaria[[#This Row],[18kg]]*7)  + (TablaCandelaria[[#This Row],[27kg]]*11) + (TablaCandelaria[[#This Row],[43kg]]*17)) * DATOS!F2</f>
        <v>0</v>
      </c>
      <c r="AH14" s="10" t="s">
        <v>21</v>
      </c>
      <c r="AI14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14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14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4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14" s="8">
        <f xml:space="preserve"> SUMIFS(Tabla18[pm],Tabla18[fecha],TablaCoromoto[[#This Row],[fecha]],Tabla18[punto],AH1)</f>
        <v>0</v>
      </c>
      <c r="AN14" s="27">
        <f xml:space="preserve"> SUMIFS(Tabla18[efectivo],Tabla18[fecha],TablaCoromoto[[#This Row],[fecha]],Tabla18[punto],AH1)</f>
        <v>0</v>
      </c>
      <c r="AO14" s="8">
        <f xml:space="preserve"> SUMIFS(Tabla18[divisa],Tabla18[fecha],TablaCoromoto[[#This Row],[fecha]],Tabla18[punto],AH1)</f>
        <v>0</v>
      </c>
      <c r="AP14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4" s="9">
        <f xml:space="preserve"> ((TablaCoromoto[[#This Row],[10kg]]*3.5) + (TablaCoromoto[[#This Row],[18kg]]*7)  + (TablaCoromoto[[#This Row],[27kg]]*11) + (TablaCoromoto[[#This Row],[43kg]]*17)) * DATOS!F2</f>
        <v>0</v>
      </c>
      <c r="AS14" s="10" t="s">
        <v>21</v>
      </c>
      <c r="AT14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4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4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4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4" s="8">
        <f xml:space="preserve"> SUMIFS(Tabla18[pm],Tabla18[fecha],TablaBarrioBolivar[[#This Row],[fecha]],Tabla18[punto],AS1)</f>
        <v>0</v>
      </c>
      <c r="AY14" s="27">
        <f xml:space="preserve"> SUMIFS(Tabla18[efectivo],Tabla18[fecha],TablaBarrioBolivar[[#This Row],[fecha]],Tabla18[punto],AS1)</f>
        <v>0</v>
      </c>
      <c r="AZ14" s="8">
        <f xml:space="preserve"> SUMIFS(Tabla18[divisa],Tabla18[fecha],TablaBarrioBolivar[[#This Row],[fecha]],Tabla18[punto],AS1)</f>
        <v>0</v>
      </c>
      <c r="BA14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4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5" spans="1:54" x14ac:dyDescent="0.25">
      <c r="A15" s="6" t="str">
        <f xml:space="preserve"> DATOS!A14</f>
        <v>12 10 2024</v>
      </c>
      <c r="B15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15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15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5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15" s="8">
        <f xml:space="preserve"> SUMIFS(Tabla18[pm],Tabla18[fecha],TablaMataSeca[[#This Row],[fecha]],Tabla18[punto],DATOS!C2)</f>
        <v>0</v>
      </c>
      <c r="G15" s="27">
        <f xml:space="preserve"> SUMIFS(Tabla18[efectivo],Tabla18[fecha],TablaMataSeca[[#This Row],[fecha]],Tabla18[punto],DATOS!C2)</f>
        <v>0</v>
      </c>
      <c r="H15" s="8">
        <f xml:space="preserve"> SUMIFS(Tabla18[divisa],Tabla18[fecha],TablaMataSeca[[#This Row],[fecha]],Tabla18[punto],DATOS!C2)</f>
        <v>0</v>
      </c>
      <c r="I15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15" s="9">
        <f xml:space="preserve"> ((TablaMataSeca[[#This Row],[10kg]]*3.5) + (TablaMataSeca[[#This Row],[18kg]]*8)  + (TablaMataSeca[[#This Row],[27kg]]*11) + (TablaMataSeca[[#This Row],[43kg]]*17)) * DATOS!F2</f>
        <v>0</v>
      </c>
      <c r="L15" s="6" t="str">
        <f xml:space="preserve"> DATOS!A14</f>
        <v>12 10 2024</v>
      </c>
      <c r="M15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15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15" s="7">
        <f xml:space="preserve"> SUMIFS(Tabla1821[27kg],Tabla1821[fecha],TablaPinal[[#This Row],[fecha]],Tabla1821[punto],L1)</f>
        <v>0</v>
      </c>
      <c r="P15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15" s="8">
        <f xml:space="preserve"> SUMIFS(Tabla18[pm],Tabla18[fecha],TablaPinal[[#This Row],[fecha]],Tabla18[punto],L1)</f>
        <v>0</v>
      </c>
      <c r="R15" s="27">
        <f xml:space="preserve"> SUMIFS(Tabla18[efectivo],Tabla18[fecha],TablaPinal[[#This Row],[fecha]],Tabla18[punto],L1)</f>
        <v>0</v>
      </c>
      <c r="S15" s="8">
        <f xml:space="preserve"> SUMIFS(Tabla18[divisa],Tabla18[fecha],TablaPinal[[#This Row],[fecha]],Tabla18[punto],L1)</f>
        <v>0</v>
      </c>
      <c r="T15" s="8">
        <f>(TablaPinal[[#This Row],[pm]] + TablaPinal[[#This Row],[efectivo]] + (TablaPinal[[#This Row],[divisa]]*DATOS!F2) + (SUMIFS(Tabla1816[pm],Tabla1816[fecha],TablaPinal[[#This Row],[fecha]],Tabla1816[punto],L1)))</f>
        <v>0</v>
      </c>
      <c r="U15" s="9">
        <f xml:space="preserve"> ((TablaPinal[[#This Row],[10kg]]*3.5) + (TablaPinal[[#This Row],[18kg]]*8)  + (TablaPinal[[#This Row],[27kg]]*11) + (TablaPinal[[#This Row],[43kg]]*17)) * DATOS!F2</f>
        <v>0</v>
      </c>
      <c r="W15" s="10" t="s">
        <v>22</v>
      </c>
      <c r="X15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15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15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5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5" s="8">
        <f xml:space="preserve"> SUMIFS(Tabla18[pm],Tabla18[fecha],TablaCandelaria[[#This Row],[fecha]],Tabla18[punto],W1)</f>
        <v>0</v>
      </c>
      <c r="AC15" s="27">
        <f xml:space="preserve"> SUMIFS(Tabla18[efectivo],Tabla18[fecha],TablaCandelaria[[#This Row],[fecha]],Tabla18[punto],W1)</f>
        <v>0</v>
      </c>
      <c r="AD15" s="8">
        <f xml:space="preserve"> SUMIFS(Tabla18[divisa],Tabla18[fecha],TablaCandelaria[[#This Row],[fecha]],Tabla18[punto],W1)</f>
        <v>0</v>
      </c>
      <c r="AE15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15" s="9">
        <f xml:space="preserve"> ((TablaCandelaria[[#This Row],[10kg]]*3.5) + (TablaCandelaria[[#This Row],[18kg]]*7)  + (TablaCandelaria[[#This Row],[27kg]]*11) + (TablaCandelaria[[#This Row],[43kg]]*17)) * DATOS!F2</f>
        <v>0</v>
      </c>
      <c r="AH15" s="10" t="s">
        <v>22</v>
      </c>
      <c r="AI15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15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15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5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15" s="8">
        <f xml:space="preserve"> SUMIFS(Tabla18[pm],Tabla18[fecha],TablaCoromoto[[#This Row],[fecha]],Tabla18[punto],AH1)</f>
        <v>0</v>
      </c>
      <c r="AN15" s="27">
        <f xml:space="preserve"> SUMIFS(Tabla18[efectivo],Tabla18[fecha],TablaCoromoto[[#This Row],[fecha]],Tabla18[punto],AH1)</f>
        <v>0</v>
      </c>
      <c r="AO15" s="8">
        <f xml:space="preserve"> SUMIFS(Tabla18[divisa],Tabla18[fecha],TablaCoromoto[[#This Row],[fecha]],Tabla18[punto],AH1)</f>
        <v>0</v>
      </c>
      <c r="AP15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5" s="9">
        <f xml:space="preserve"> ((TablaCoromoto[[#This Row],[10kg]]*3.5) + (TablaCoromoto[[#This Row],[18kg]]*7)  + (TablaCoromoto[[#This Row],[27kg]]*11) + (TablaCoromoto[[#This Row],[43kg]]*17)) * DATOS!F2</f>
        <v>0</v>
      </c>
      <c r="AS15" s="10" t="s">
        <v>22</v>
      </c>
      <c r="AT15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5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5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5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5" s="8">
        <f xml:space="preserve"> SUMIFS(Tabla18[pm],Tabla18[fecha],TablaBarrioBolivar[[#This Row],[fecha]],Tabla18[punto],AS1)</f>
        <v>0</v>
      </c>
      <c r="AY15" s="27">
        <f xml:space="preserve"> SUMIFS(Tabla18[efectivo],Tabla18[fecha],TablaBarrioBolivar[[#This Row],[fecha]],Tabla18[punto],AS1)</f>
        <v>0</v>
      </c>
      <c r="AZ15" s="8">
        <f xml:space="preserve"> SUMIFS(Tabla18[divisa],Tabla18[fecha],TablaBarrioBolivar[[#This Row],[fecha]],Tabla18[punto],AS1)</f>
        <v>0</v>
      </c>
      <c r="BA15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5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6" spans="1:54" x14ac:dyDescent="0.25">
      <c r="A16" s="6" t="str">
        <f xml:space="preserve"> DATOS!A15</f>
        <v>13 10 2024</v>
      </c>
      <c r="B16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16" s="8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16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6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16" s="8">
        <f xml:space="preserve"> SUMIFS(Tabla18[pm],Tabla18[fecha],TablaMataSeca[[#This Row],[fecha]],Tabla18[punto],DATOS!C2)</f>
        <v>0</v>
      </c>
      <c r="G16" s="27">
        <f xml:space="preserve"> SUMIFS(Tabla18[efectivo],Tabla18[fecha],TablaMataSeca[[#This Row],[fecha]],Tabla18[punto],DATOS!C2)</f>
        <v>0</v>
      </c>
      <c r="H16" s="8">
        <f xml:space="preserve"> SUMIFS(Tabla18[divisa],Tabla18[fecha],TablaMataSeca[[#This Row],[fecha]],Tabla18[punto],DATOS!C2)</f>
        <v>0</v>
      </c>
      <c r="I16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16" s="9">
        <f xml:space="preserve"> ((TablaMataSeca[[#This Row],[10kg]]*3.5) + (TablaMataSeca[[#This Row],[18kg]]*8)  + (TablaMataSeca[[#This Row],[27kg]]*11) + (TablaMataSeca[[#This Row],[43kg]]*17)) * DATOS!F2</f>
        <v>0</v>
      </c>
      <c r="L16" s="6" t="str">
        <f xml:space="preserve"> DATOS!A15</f>
        <v>13 10 2024</v>
      </c>
      <c r="M16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16" s="8">
        <f xml:space="preserve"> SUMIFS(Tabla1821[18kg],Tabla1821[fecha],TablaPinal[[#This Row],[fecha]],Tabla1821[punto],L1) -  SUMIFS(Tabla182115[18kg],Tabla182115[fecha],TablaPinal[[#This Row],[fecha]],Tabla182115[punto],L1)</f>
        <v>0</v>
      </c>
      <c r="O16" s="7">
        <f xml:space="preserve"> SUMIFS(Tabla1821[27kg],Tabla1821[fecha],TablaPinal[[#This Row],[fecha]],Tabla1821[punto],L1)</f>
        <v>0</v>
      </c>
      <c r="P16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16" s="8">
        <f xml:space="preserve"> SUMIFS(Tabla18[pm],Tabla18[fecha],TablaPinal[[#This Row],[fecha]],Tabla18[punto],L1)</f>
        <v>0</v>
      </c>
      <c r="R16" s="27">
        <f xml:space="preserve"> SUMIFS(Tabla18[efectivo],Tabla18[fecha],TablaPinal[[#This Row],[fecha]],Tabla18[punto],L1)</f>
        <v>0</v>
      </c>
      <c r="S16" s="8">
        <f xml:space="preserve"> SUMIFS(Tabla18[divisa],Tabla18[fecha],TablaPinal[[#This Row],[fecha]],Tabla18[punto],L1)</f>
        <v>0</v>
      </c>
      <c r="T16" s="8">
        <f>(TablaPinal[[#This Row],[pm]] + TablaPinal[[#This Row],[efectivo]] + (TablaPinal[[#This Row],[divisa]]*DATOS!F2) + (SUMIFS(Tabla1816[pm],Tabla1816[fecha],TablaPinal[[#This Row],[fecha]],Tabla1816[punto],L1)))</f>
        <v>0</v>
      </c>
      <c r="U16" s="9">
        <f xml:space="preserve"> ((TablaPinal[[#This Row],[10kg]]*3.5) + (TablaPinal[[#This Row],[18kg]]*8)  + (TablaPinal[[#This Row],[27kg]]*11) + (TablaPinal[[#This Row],[43kg]]*17)) * DATOS!F2</f>
        <v>0</v>
      </c>
      <c r="W16" s="10" t="s">
        <v>23</v>
      </c>
      <c r="X16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16" s="8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16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6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6" s="8">
        <f xml:space="preserve"> SUMIFS(Tabla18[pm],Tabla18[fecha],TablaCandelaria[[#This Row],[fecha]],Tabla18[punto],W1)</f>
        <v>0</v>
      </c>
      <c r="AC16" s="27">
        <f xml:space="preserve"> SUMIFS(Tabla18[efectivo],Tabla18[fecha],TablaCandelaria[[#This Row],[fecha]],Tabla18[punto],W1)</f>
        <v>0</v>
      </c>
      <c r="AD16" s="8">
        <f xml:space="preserve"> SUMIFS(Tabla18[divisa],Tabla18[fecha],TablaCandelaria[[#This Row],[fecha]],Tabla18[punto],W1)</f>
        <v>0</v>
      </c>
      <c r="AE16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16" s="9">
        <f xml:space="preserve"> ((TablaCandelaria[[#This Row],[10kg]]*3.5) + (TablaCandelaria[[#This Row],[18kg]]*7)  + (TablaCandelaria[[#This Row],[27kg]]*11) + (TablaCandelaria[[#This Row],[43kg]]*17)) * DATOS!F2</f>
        <v>0</v>
      </c>
      <c r="AH16" s="10" t="s">
        <v>23</v>
      </c>
      <c r="AI16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16" s="8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16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6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16" s="8">
        <f xml:space="preserve"> SUMIFS(Tabla18[pm],Tabla18[fecha],TablaCoromoto[[#This Row],[fecha]],Tabla18[punto],AH1)</f>
        <v>0</v>
      </c>
      <c r="AN16" s="27">
        <f xml:space="preserve"> SUMIFS(Tabla18[efectivo],Tabla18[fecha],TablaCoromoto[[#This Row],[fecha]],Tabla18[punto],AH1)</f>
        <v>0</v>
      </c>
      <c r="AO16" s="8">
        <f xml:space="preserve"> SUMIFS(Tabla18[divisa],Tabla18[fecha],TablaCoromoto[[#This Row],[fecha]],Tabla18[punto],AH1)</f>
        <v>0</v>
      </c>
      <c r="AP16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6" s="9">
        <f xml:space="preserve"> ((TablaCoromoto[[#This Row],[10kg]]*3.5) + (TablaCoromoto[[#This Row],[18kg]]*7)  + (TablaCoromoto[[#This Row],[27kg]]*11) + (TablaCoromoto[[#This Row],[43kg]]*17)) * DATOS!F2</f>
        <v>0</v>
      </c>
      <c r="AS16" s="10" t="s">
        <v>23</v>
      </c>
      <c r="AT16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6" s="8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6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6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6" s="8">
        <f xml:space="preserve"> SUMIFS(Tabla18[pm],Tabla18[fecha],TablaBarrioBolivar[[#This Row],[fecha]],Tabla18[punto],AS1)</f>
        <v>0</v>
      </c>
      <c r="AY16" s="27">
        <f xml:space="preserve"> SUMIFS(Tabla18[efectivo],Tabla18[fecha],TablaBarrioBolivar[[#This Row],[fecha]],Tabla18[punto],AS1)</f>
        <v>0</v>
      </c>
      <c r="AZ16" s="8">
        <f xml:space="preserve"> SUMIFS(Tabla18[divisa],Tabla18[fecha],TablaBarrioBolivar[[#This Row],[fecha]],Tabla18[punto],AS1)</f>
        <v>0</v>
      </c>
      <c r="BA16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6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7" spans="1:54" x14ac:dyDescent="0.25">
      <c r="A17" s="6" t="str">
        <f xml:space="preserve"> DATOS!A16</f>
        <v>14 10 2024</v>
      </c>
      <c r="B17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17" s="10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17" s="10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7" s="10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17" s="8">
        <f xml:space="preserve"> SUMIFS(Tabla18[pm],Tabla18[fecha],TablaMataSeca[[#This Row],[fecha]],Tabla18[punto],DATOS!C2)</f>
        <v>0</v>
      </c>
      <c r="G17" s="28">
        <f xml:space="preserve"> SUMIFS(Tabla18[efectivo],Tabla18[fecha],TablaMataSeca[[#This Row],[fecha]],Tabla18[punto],DATOS!C2)</f>
        <v>0</v>
      </c>
      <c r="H17" s="8">
        <f xml:space="preserve"> SUMIFS(Tabla18[divisa],Tabla18[fecha],TablaMataSeca[[#This Row],[fecha]],Tabla18[punto],DATOS!C2)</f>
        <v>0</v>
      </c>
      <c r="I17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17" s="9">
        <f xml:space="preserve"> ((TablaMataSeca[[#This Row],[10kg]]*3.5) + (TablaMataSeca[[#This Row],[18kg]]*8)  + (TablaMataSeca[[#This Row],[27kg]]*11) + (TablaMataSeca[[#This Row],[43kg]]*17)) * DATOS!F2</f>
        <v>0</v>
      </c>
      <c r="L17" s="6" t="str">
        <f xml:space="preserve"> DATOS!A16</f>
        <v>14 10 2024</v>
      </c>
      <c r="M17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17" s="10">
        <f xml:space="preserve"> SUMIFS(Tabla1821[18kg],Tabla1821[fecha],TablaPinal[[#This Row],[fecha]],Tabla1821[punto],L1) -  SUMIFS(Tabla182115[18kg],Tabla182115[fecha],TablaPinal[[#This Row],[fecha]],Tabla182115[punto],L1)</f>
        <v>0</v>
      </c>
      <c r="O17" s="10">
        <f xml:space="preserve"> SUMIFS(Tabla1821[27kg],Tabla1821[fecha],TablaPinal[[#This Row],[fecha]],Tabla1821[punto],L1)</f>
        <v>0</v>
      </c>
      <c r="P17" s="10">
        <f xml:space="preserve"> SUMIFS(Tabla1821[43kg],Tabla1821[fecha],TablaPinal[[#This Row],[fecha]],Tabla1821[punto],L1) -  SUMIFS(Tabla182115[43kg],Tabla182115[fecha],TablaPinal[[#This Row],[fecha]],Tabla182115[punto],L1)</f>
        <v>0</v>
      </c>
      <c r="Q17" s="8">
        <f xml:space="preserve"> SUMIFS(Tabla18[pm],Tabla18[fecha],TablaPinal[[#This Row],[fecha]],Tabla18[punto],L1)</f>
        <v>0</v>
      </c>
      <c r="R17" s="28">
        <f xml:space="preserve"> SUMIFS(Tabla18[efectivo],Tabla18[fecha],TablaPinal[[#This Row],[fecha]],Tabla18[punto],L1)</f>
        <v>0</v>
      </c>
      <c r="S17" s="8">
        <f xml:space="preserve"> SUMIFS(Tabla18[divisa],Tabla18[fecha],TablaPinal[[#This Row],[fecha]],Tabla18[punto],L1)</f>
        <v>0</v>
      </c>
      <c r="T17" s="8">
        <f>(TablaPinal[[#This Row],[pm]] + TablaPinal[[#This Row],[efectivo]] + (TablaPinal[[#This Row],[divisa]]*DATOS!F2) + (SUMIFS(Tabla1816[pm],Tabla1816[fecha],TablaPinal[[#This Row],[fecha]],Tabla1816[punto],L1)))</f>
        <v>0</v>
      </c>
      <c r="U17" s="9">
        <f xml:space="preserve"> ((TablaPinal[[#This Row],[10kg]]*3.5) + (TablaPinal[[#This Row],[18kg]]*8)  + (TablaPinal[[#This Row],[27kg]]*11) + (TablaPinal[[#This Row],[43kg]]*17)) * DATOS!F2</f>
        <v>0</v>
      </c>
      <c r="W17" s="10" t="s">
        <v>24</v>
      </c>
      <c r="X17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17" s="10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17" s="10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7" s="10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7" s="8">
        <f xml:space="preserve"> SUMIFS(Tabla18[pm],Tabla18[fecha],TablaCandelaria[[#This Row],[fecha]],Tabla18[punto],W1)</f>
        <v>0</v>
      </c>
      <c r="AC17" s="28">
        <f xml:space="preserve"> SUMIFS(Tabla18[efectivo],Tabla18[fecha],TablaCandelaria[[#This Row],[fecha]],Tabla18[punto],W1)</f>
        <v>0</v>
      </c>
      <c r="AD17" s="8">
        <f xml:space="preserve"> SUMIFS(Tabla18[divisa],Tabla18[fecha],TablaCandelaria[[#This Row],[fecha]],Tabla18[punto],W1)</f>
        <v>0</v>
      </c>
      <c r="AE17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17" s="9">
        <f xml:space="preserve"> ((TablaCandelaria[[#This Row],[10kg]]*3.5) + (TablaCandelaria[[#This Row],[18kg]]*7)  + (TablaCandelaria[[#This Row],[27kg]]*11) + (TablaCandelaria[[#This Row],[43kg]]*17)) * DATOS!F2</f>
        <v>0</v>
      </c>
      <c r="AH17" s="10" t="s">
        <v>24</v>
      </c>
      <c r="AI17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17" s="10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17" s="10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7" s="10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17" s="8">
        <f xml:space="preserve"> SUMIFS(Tabla18[pm],Tabla18[fecha],TablaCoromoto[[#This Row],[fecha]],Tabla18[punto],AH1)</f>
        <v>0</v>
      </c>
      <c r="AN17" s="28">
        <f xml:space="preserve"> SUMIFS(Tabla18[efectivo],Tabla18[fecha],TablaCoromoto[[#This Row],[fecha]],Tabla18[punto],AH1)</f>
        <v>0</v>
      </c>
      <c r="AO17" s="8">
        <f xml:space="preserve"> SUMIFS(Tabla18[divisa],Tabla18[fecha],TablaCoromoto[[#This Row],[fecha]],Tabla18[punto],AH1)</f>
        <v>0</v>
      </c>
      <c r="AP17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7" s="9">
        <f xml:space="preserve"> ((TablaCoromoto[[#This Row],[10kg]]*3.5) + (TablaCoromoto[[#This Row],[18kg]]*7)  + (TablaCoromoto[[#This Row],[27kg]]*11) + (TablaCoromoto[[#This Row],[43kg]]*17)) * DATOS!F2</f>
        <v>0</v>
      </c>
      <c r="AS17" s="10" t="s">
        <v>24</v>
      </c>
      <c r="AT17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7" s="10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7" s="10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7" s="10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7" s="8">
        <f xml:space="preserve"> SUMIFS(Tabla18[pm],Tabla18[fecha],TablaBarrioBolivar[[#This Row],[fecha]],Tabla18[punto],AS1)</f>
        <v>0</v>
      </c>
      <c r="AY17" s="28">
        <f xml:space="preserve"> SUMIFS(Tabla18[efectivo],Tabla18[fecha],TablaBarrioBolivar[[#This Row],[fecha]],Tabla18[punto],AS1)</f>
        <v>0</v>
      </c>
      <c r="AZ17" s="8">
        <f xml:space="preserve"> SUMIFS(Tabla18[divisa],Tabla18[fecha],TablaBarrioBolivar[[#This Row],[fecha]],Tabla18[punto],AS1)</f>
        <v>0</v>
      </c>
      <c r="BA17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7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8" spans="1:54" x14ac:dyDescent="0.25">
      <c r="A18" s="6" t="str">
        <f xml:space="preserve"> DATOS!A17</f>
        <v>15 10 2024</v>
      </c>
      <c r="B18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18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18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8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18" s="8">
        <f xml:space="preserve"> SUMIFS(Tabla18[pm],Tabla18[fecha],TablaMataSeca[[#This Row],[fecha]],Tabla18[punto],DATOS!C2)</f>
        <v>0</v>
      </c>
      <c r="G18" s="28">
        <f xml:space="preserve"> SUMIFS(Tabla18[efectivo],Tabla18[fecha],TablaMataSeca[[#This Row],[fecha]],Tabla18[punto],DATOS!C2)</f>
        <v>0</v>
      </c>
      <c r="H18" s="8">
        <f xml:space="preserve"> SUMIFS(Tabla18[divisa],Tabla18[fecha],TablaMataSeca[[#This Row],[fecha]],Tabla18[punto],DATOS!C2)</f>
        <v>0</v>
      </c>
      <c r="I18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18" s="9">
        <f xml:space="preserve"> ((TablaMataSeca[[#This Row],[10kg]]*3.5) + (TablaMataSeca[[#This Row],[18kg]]*8)  + (TablaMataSeca[[#This Row],[27kg]]*11) + (TablaMataSeca[[#This Row],[43kg]]*17)) * DATOS!F2</f>
        <v>0</v>
      </c>
      <c r="L18" s="6" t="str">
        <f xml:space="preserve"> DATOS!A17</f>
        <v>15 10 2024</v>
      </c>
      <c r="M18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18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18" s="7">
        <f xml:space="preserve"> SUMIFS(Tabla1821[27kg],Tabla1821[fecha],TablaPinal[[#This Row],[fecha]],Tabla1821[punto],L1)</f>
        <v>0</v>
      </c>
      <c r="P18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18" s="8">
        <f xml:space="preserve"> SUMIFS(Tabla18[pm],Tabla18[fecha],TablaPinal[[#This Row],[fecha]],Tabla18[punto],L1)</f>
        <v>0</v>
      </c>
      <c r="R18" s="28">
        <f xml:space="preserve"> SUMIFS(Tabla18[efectivo],Tabla18[fecha],TablaPinal[[#This Row],[fecha]],Tabla18[punto],L1)</f>
        <v>0</v>
      </c>
      <c r="S18" s="8">
        <f xml:space="preserve"> SUMIFS(Tabla18[divisa],Tabla18[fecha],TablaPinal[[#This Row],[fecha]],Tabla18[punto],L1)</f>
        <v>0</v>
      </c>
      <c r="T18" s="8">
        <f>(TablaPinal[[#This Row],[pm]] + TablaPinal[[#This Row],[efectivo]] + (TablaPinal[[#This Row],[divisa]]*DATOS!F2) + (SUMIFS(Tabla1816[pm],Tabla1816[fecha],TablaPinal[[#This Row],[fecha]],Tabla1816[punto],L1)))</f>
        <v>0</v>
      </c>
      <c r="U18" s="9">
        <f xml:space="preserve"> ((TablaPinal[[#This Row],[10kg]]*3.5) + (TablaPinal[[#This Row],[18kg]]*8)  + (TablaPinal[[#This Row],[27kg]]*11) + (TablaPinal[[#This Row],[43kg]]*17)) * DATOS!F2</f>
        <v>0</v>
      </c>
      <c r="W18" s="10" t="s">
        <v>25</v>
      </c>
      <c r="X18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18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18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8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8" s="8">
        <f xml:space="preserve"> SUMIFS(Tabla18[pm],Tabla18[fecha],TablaCandelaria[[#This Row],[fecha]],Tabla18[punto],W1)</f>
        <v>0</v>
      </c>
      <c r="AC18" s="28">
        <f xml:space="preserve"> SUMIFS(Tabla18[efectivo],Tabla18[fecha],TablaCandelaria[[#This Row],[fecha]],Tabla18[punto],W1)</f>
        <v>0</v>
      </c>
      <c r="AD18" s="8">
        <f xml:space="preserve"> SUMIFS(Tabla18[divisa],Tabla18[fecha],TablaCandelaria[[#This Row],[fecha]],Tabla18[punto],W1)</f>
        <v>0</v>
      </c>
      <c r="AE18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18" s="9">
        <f xml:space="preserve"> ((TablaCandelaria[[#This Row],[10kg]]*3.5) + (TablaCandelaria[[#This Row],[18kg]]*7)  + (TablaCandelaria[[#This Row],[27kg]]*11) + (TablaCandelaria[[#This Row],[43kg]]*17)) * DATOS!F2</f>
        <v>0</v>
      </c>
      <c r="AH18" s="10" t="s">
        <v>25</v>
      </c>
      <c r="AI18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18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18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8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18" s="8">
        <f xml:space="preserve"> SUMIFS(Tabla18[pm],Tabla18[fecha],TablaCoromoto[[#This Row],[fecha]],Tabla18[punto],AH1)</f>
        <v>0</v>
      </c>
      <c r="AN18" s="28">
        <f xml:space="preserve"> SUMIFS(Tabla18[efectivo],Tabla18[fecha],TablaCoromoto[[#This Row],[fecha]],Tabla18[punto],AH1)</f>
        <v>0</v>
      </c>
      <c r="AO18" s="8">
        <f xml:space="preserve"> SUMIFS(Tabla18[divisa],Tabla18[fecha],TablaCoromoto[[#This Row],[fecha]],Tabla18[punto],AH1)</f>
        <v>0</v>
      </c>
      <c r="AP18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8" s="9">
        <f xml:space="preserve"> ((TablaCoromoto[[#This Row],[10kg]]*3.5) + (TablaCoromoto[[#This Row],[18kg]]*7)  + (TablaCoromoto[[#This Row],[27kg]]*11) + (TablaCoromoto[[#This Row],[43kg]]*17)) * DATOS!F2</f>
        <v>0</v>
      </c>
      <c r="AS18" s="10" t="s">
        <v>25</v>
      </c>
      <c r="AT18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8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8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8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8" s="8">
        <f xml:space="preserve"> SUMIFS(Tabla18[pm],Tabla18[fecha],TablaBarrioBolivar[[#This Row],[fecha]],Tabla18[punto],AS1)</f>
        <v>0</v>
      </c>
      <c r="AY18" s="28">
        <f xml:space="preserve"> SUMIFS(Tabla18[efectivo],Tabla18[fecha],TablaBarrioBolivar[[#This Row],[fecha]],Tabla18[punto],AS1)</f>
        <v>0</v>
      </c>
      <c r="AZ18" s="8">
        <f xml:space="preserve"> SUMIFS(Tabla18[divisa],Tabla18[fecha],TablaBarrioBolivar[[#This Row],[fecha]],Tabla18[punto],AS1)</f>
        <v>0</v>
      </c>
      <c r="BA18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8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19" spans="1:54" x14ac:dyDescent="0.25">
      <c r="A19" s="6" t="str">
        <f xml:space="preserve"> DATOS!A18</f>
        <v>16 10 2024</v>
      </c>
      <c r="B19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19" s="8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19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19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19" s="7">
        <f xml:space="preserve"> SUMIFS(Tabla18[pm],Tabla18[fecha],TablaMataSeca[[#This Row],[fecha]],Tabla18[punto],DATOS!C2)</f>
        <v>0</v>
      </c>
      <c r="G19" s="28">
        <f xml:space="preserve"> SUMIFS(Tabla18[efectivo],Tabla18[fecha],TablaMataSeca[[#This Row],[fecha]],Tabla18[punto],DATOS!C2)</f>
        <v>0</v>
      </c>
      <c r="H19" s="10">
        <f xml:space="preserve"> SUMIFS(Tabla18[divisa],Tabla18[fecha],TablaMataSeca[[#This Row],[fecha]],Tabla18[punto],DATOS!C2)</f>
        <v>0</v>
      </c>
      <c r="I19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19" s="9">
        <f xml:space="preserve"> ((TablaMataSeca[[#This Row],[10kg]]*3.5) + (TablaMataSeca[[#This Row],[18kg]]*8)  + (TablaMataSeca[[#This Row],[27kg]]*11) + (TablaMataSeca[[#This Row],[43kg]]*17)) * DATOS!F2</f>
        <v>0</v>
      </c>
      <c r="L19" s="6" t="str">
        <f xml:space="preserve"> DATOS!A18</f>
        <v>16 10 2024</v>
      </c>
      <c r="M19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19" s="8">
        <f xml:space="preserve"> SUMIFS(Tabla1821[18kg],Tabla1821[fecha],TablaPinal[[#This Row],[fecha]],Tabla1821[punto],L1) -  SUMIFS(Tabla182115[18kg],Tabla182115[fecha],TablaPinal[[#This Row],[fecha]],Tabla182115[punto],L1)</f>
        <v>0</v>
      </c>
      <c r="O19" s="7">
        <f xml:space="preserve"> SUMIFS(Tabla1821[27kg],Tabla1821[fecha],TablaPinal[[#This Row],[fecha]],Tabla1821[punto],L1)</f>
        <v>0</v>
      </c>
      <c r="P19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19" s="7">
        <f xml:space="preserve"> SUMIFS(Tabla18[pm],Tabla18[fecha],TablaPinal[[#This Row],[fecha]],Tabla18[punto],L1)</f>
        <v>0</v>
      </c>
      <c r="R19" s="28">
        <f xml:space="preserve"> SUMIFS(Tabla18[efectivo],Tabla18[fecha],TablaPinal[[#This Row],[fecha]],Tabla18[punto],L1)</f>
        <v>0</v>
      </c>
      <c r="S19" s="10">
        <f xml:space="preserve"> SUMIFS(Tabla18[divisa],Tabla18[fecha],TablaPinal[[#This Row],[fecha]],Tabla18[punto],L1)</f>
        <v>0</v>
      </c>
      <c r="T19" s="8">
        <f>(TablaPinal[[#This Row],[pm]] + TablaPinal[[#This Row],[efectivo]] + (TablaPinal[[#This Row],[divisa]]*DATOS!F2) + (SUMIFS(Tabla1816[pm],Tabla1816[fecha],TablaPinal[[#This Row],[fecha]],Tabla1816[punto],L1)))</f>
        <v>0</v>
      </c>
      <c r="U19" s="9">
        <f xml:space="preserve"> ((TablaPinal[[#This Row],[10kg]]*3.5) + (TablaPinal[[#This Row],[18kg]]*8)  + (TablaPinal[[#This Row],[27kg]]*11) + (TablaPinal[[#This Row],[43kg]]*17)) * DATOS!F2</f>
        <v>0</v>
      </c>
      <c r="W19" s="10" t="s">
        <v>26</v>
      </c>
      <c r="X19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19" s="8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19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19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19" s="7">
        <f xml:space="preserve"> SUMIFS(Tabla18[pm],Tabla18[fecha],TablaCandelaria[[#This Row],[fecha]],Tabla18[punto],W1)</f>
        <v>0</v>
      </c>
      <c r="AC19" s="28">
        <f xml:space="preserve"> SUMIFS(Tabla18[efectivo],Tabla18[fecha],TablaCandelaria[[#This Row],[fecha]],Tabla18[punto],W1)</f>
        <v>0</v>
      </c>
      <c r="AD19" s="10">
        <f xml:space="preserve"> SUMIFS(Tabla18[divisa],Tabla18[fecha],TablaCandelaria[[#This Row],[fecha]],Tabla18[punto],W1)</f>
        <v>0</v>
      </c>
      <c r="AE19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19" s="9">
        <f xml:space="preserve"> ((TablaCandelaria[[#This Row],[10kg]]*3.5) + (TablaCandelaria[[#This Row],[18kg]]*7)  + (TablaCandelaria[[#This Row],[27kg]]*11) + (TablaCandelaria[[#This Row],[43kg]]*17)) * DATOS!F2</f>
        <v>0</v>
      </c>
      <c r="AH19" s="10" t="s">
        <v>26</v>
      </c>
      <c r="AI19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19" s="8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19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19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19" s="7">
        <f xml:space="preserve"> SUMIFS(Tabla18[pm],Tabla18[fecha],TablaCoromoto[[#This Row],[fecha]],Tabla18[punto],AH1)</f>
        <v>0</v>
      </c>
      <c r="AN19" s="28">
        <f xml:space="preserve"> SUMIFS(Tabla18[efectivo],Tabla18[fecha],TablaCoromoto[[#This Row],[fecha]],Tabla18[punto],AH1)</f>
        <v>0</v>
      </c>
      <c r="AO19" s="10">
        <f xml:space="preserve"> SUMIFS(Tabla18[divisa],Tabla18[fecha],TablaCoromoto[[#This Row],[fecha]],Tabla18[punto],AH1)</f>
        <v>0</v>
      </c>
      <c r="AP19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19" s="9">
        <f xml:space="preserve"> ((TablaCoromoto[[#This Row],[10kg]]*3.5) + (TablaCoromoto[[#This Row],[18kg]]*7)  + (TablaCoromoto[[#This Row],[27kg]]*11) + (TablaCoromoto[[#This Row],[43kg]]*17)) * DATOS!F2</f>
        <v>0</v>
      </c>
      <c r="AS19" s="10" t="s">
        <v>26</v>
      </c>
      <c r="AT19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19" s="8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19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19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19" s="7">
        <f xml:space="preserve"> SUMIFS(Tabla18[pm],Tabla18[fecha],TablaBarrioBolivar[[#This Row],[fecha]],Tabla18[punto],AS1)</f>
        <v>0</v>
      </c>
      <c r="AY19" s="28">
        <f xml:space="preserve"> SUMIFS(Tabla18[efectivo],Tabla18[fecha],TablaBarrioBolivar[[#This Row],[fecha]],Tabla18[punto],AS1)</f>
        <v>0</v>
      </c>
      <c r="AZ19" s="10">
        <f xml:space="preserve"> SUMIFS(Tabla18[divisa],Tabla18[fecha],TablaBarrioBolivar[[#This Row],[fecha]],Tabla18[punto],AS1)</f>
        <v>0</v>
      </c>
      <c r="BA19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19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0" spans="1:54" x14ac:dyDescent="0.25">
      <c r="A20" s="6" t="str">
        <f xml:space="preserve"> DATOS!A19</f>
        <v>17 10 2024</v>
      </c>
      <c r="B20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0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0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0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0" s="8">
        <f xml:space="preserve"> SUMIFS(Tabla18[pm],Tabla18[fecha],TablaMataSeca[[#This Row],[fecha]],Tabla18[punto],DATOS!C2)</f>
        <v>0</v>
      </c>
      <c r="G20" s="27">
        <f xml:space="preserve"> SUMIFS(Tabla18[efectivo],Tabla18[fecha],TablaMataSeca[[#This Row],[fecha]],Tabla18[punto],DATOS!C2)</f>
        <v>0</v>
      </c>
      <c r="H20" s="7">
        <f xml:space="preserve"> SUMIFS(Tabla18[divisa],Tabla18[fecha],TablaMataSeca[[#This Row],[fecha]],Tabla18[punto],DATOS!C2)</f>
        <v>0</v>
      </c>
      <c r="I20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0" s="9">
        <f xml:space="preserve"> ((TablaMataSeca[[#This Row],[10kg]]*3.5) + (TablaMataSeca[[#This Row],[18kg]]*8)  + (TablaMataSeca[[#This Row],[27kg]]*11) + (TablaMataSeca[[#This Row],[43kg]]*17)) * DATOS!F2</f>
        <v>0</v>
      </c>
      <c r="L20" s="6" t="str">
        <f xml:space="preserve"> DATOS!A19</f>
        <v>17 10 2024</v>
      </c>
      <c r="M20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0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20" s="7">
        <f xml:space="preserve"> SUMIFS(Tabla1821[27kg],Tabla1821[fecha],TablaPinal[[#This Row],[fecha]],Tabla1821[punto],L1)</f>
        <v>0</v>
      </c>
      <c r="P20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0" s="8">
        <f xml:space="preserve"> SUMIFS(Tabla18[pm],Tabla18[fecha],TablaPinal[[#This Row],[fecha]],Tabla18[punto],L1)</f>
        <v>0</v>
      </c>
      <c r="R20" s="27">
        <f xml:space="preserve"> SUMIFS(Tabla18[efectivo],Tabla18[fecha],TablaPinal[[#This Row],[fecha]],Tabla18[punto],L1)</f>
        <v>0</v>
      </c>
      <c r="S20" s="7">
        <f xml:space="preserve"> SUMIFS(Tabla18[divisa],Tabla18[fecha],TablaPinal[[#This Row],[fecha]],Tabla18[punto],L1)</f>
        <v>0</v>
      </c>
      <c r="T20" s="8">
        <f>(TablaPinal[[#This Row],[pm]] + TablaPinal[[#This Row],[efectivo]] + (TablaPinal[[#This Row],[divisa]]*DATOS!F2) + (SUMIFS(Tabla1816[pm],Tabla1816[fecha],TablaPinal[[#This Row],[fecha]],Tabla1816[punto],L1)))</f>
        <v>0</v>
      </c>
      <c r="U20" s="9">
        <f xml:space="preserve"> ((TablaPinal[[#This Row],[10kg]]*3.5) + (TablaPinal[[#This Row],[18kg]]*8)  + (TablaPinal[[#This Row],[27kg]]*11) + (TablaPinal[[#This Row],[43kg]]*17)) * DATOS!F2</f>
        <v>0</v>
      </c>
      <c r="W20" s="10" t="s">
        <v>27</v>
      </c>
      <c r="X20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0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0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0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0" s="8">
        <f xml:space="preserve"> SUMIFS(Tabla18[pm],Tabla18[fecha],TablaCandelaria[[#This Row],[fecha]],Tabla18[punto],W1)</f>
        <v>0</v>
      </c>
      <c r="AC20" s="27">
        <f xml:space="preserve"> SUMIFS(Tabla18[efectivo],Tabla18[fecha],TablaCandelaria[[#This Row],[fecha]],Tabla18[punto],W1)</f>
        <v>0</v>
      </c>
      <c r="AD20" s="7">
        <f xml:space="preserve"> SUMIFS(Tabla18[divisa],Tabla18[fecha],TablaCandelaria[[#This Row],[fecha]],Tabla18[punto],W1)</f>
        <v>0</v>
      </c>
      <c r="AE20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0" s="9">
        <f xml:space="preserve"> ((TablaCandelaria[[#This Row],[10kg]]*3.5) + (TablaCandelaria[[#This Row],[18kg]]*7)  + (TablaCandelaria[[#This Row],[27kg]]*11) + (TablaCandelaria[[#This Row],[43kg]]*17)) * DATOS!F2</f>
        <v>0</v>
      </c>
      <c r="AH20" s="10" t="s">
        <v>27</v>
      </c>
      <c r="AI20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0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0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0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0" s="8">
        <f xml:space="preserve"> SUMIFS(Tabla18[pm],Tabla18[fecha],TablaCoromoto[[#This Row],[fecha]],Tabla18[punto],AH1)</f>
        <v>0</v>
      </c>
      <c r="AN20" s="27">
        <f xml:space="preserve"> SUMIFS(Tabla18[efectivo],Tabla18[fecha],TablaCoromoto[[#This Row],[fecha]],Tabla18[punto],AH1)</f>
        <v>0</v>
      </c>
      <c r="AO20" s="7">
        <f xml:space="preserve"> SUMIFS(Tabla18[divisa],Tabla18[fecha],TablaCoromoto[[#This Row],[fecha]],Tabla18[punto],AH1)</f>
        <v>0</v>
      </c>
      <c r="AP20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0" s="9">
        <f xml:space="preserve"> ((TablaCoromoto[[#This Row],[10kg]]*3.5) + (TablaCoromoto[[#This Row],[18kg]]*7)  + (TablaCoromoto[[#This Row],[27kg]]*11) + (TablaCoromoto[[#This Row],[43kg]]*17)) * DATOS!F2</f>
        <v>0</v>
      </c>
      <c r="AS20" s="10" t="s">
        <v>27</v>
      </c>
      <c r="AT20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0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0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0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0" s="8">
        <f xml:space="preserve"> SUMIFS(Tabla18[pm],Tabla18[fecha],TablaBarrioBolivar[[#This Row],[fecha]],Tabla18[punto],AS1)</f>
        <v>0</v>
      </c>
      <c r="AY20" s="27">
        <f xml:space="preserve"> SUMIFS(Tabla18[efectivo],Tabla18[fecha],TablaBarrioBolivar[[#This Row],[fecha]],Tabla18[punto],AS1)</f>
        <v>0</v>
      </c>
      <c r="AZ20" s="7">
        <f xml:space="preserve"> SUMIFS(Tabla18[divisa],Tabla18[fecha],TablaBarrioBolivar[[#This Row],[fecha]],Tabla18[punto],AS1)</f>
        <v>0</v>
      </c>
      <c r="BA20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0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1" spans="1:54" x14ac:dyDescent="0.25">
      <c r="A21" s="6" t="str">
        <f xml:space="preserve"> DATOS!A20</f>
        <v>18 10 2024</v>
      </c>
      <c r="B21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1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1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1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1" s="8">
        <f xml:space="preserve"> SUMIFS(Tabla18[pm],Tabla18[fecha],TablaMataSeca[[#This Row],[fecha]],Tabla18[punto],DATOS!C2)</f>
        <v>0</v>
      </c>
      <c r="G21" s="27">
        <f xml:space="preserve"> SUMIFS(Tabla18[efectivo],Tabla18[fecha],TablaMataSeca[[#This Row],[fecha]],Tabla18[punto],DATOS!C2)</f>
        <v>0</v>
      </c>
      <c r="H21" s="8">
        <f xml:space="preserve"> SUMIFS(Tabla18[divisa],Tabla18[fecha],TablaMataSeca[[#This Row],[fecha]],Tabla18[punto],DATOS!C2)</f>
        <v>0</v>
      </c>
      <c r="I21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1" s="9">
        <f xml:space="preserve"> ((TablaMataSeca[[#This Row],[10kg]]*3.5) + (TablaMataSeca[[#This Row],[18kg]]*8)  + (TablaMataSeca[[#This Row],[27kg]]*11) + (TablaMataSeca[[#This Row],[43kg]]*17)) * DATOS!F2</f>
        <v>0</v>
      </c>
      <c r="L21" s="6" t="str">
        <f xml:space="preserve"> DATOS!A20</f>
        <v>18 10 2024</v>
      </c>
      <c r="M21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1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21" s="7">
        <f xml:space="preserve"> SUMIFS(Tabla1821[27kg],Tabla1821[fecha],TablaPinal[[#This Row],[fecha]],Tabla1821[punto],L1)</f>
        <v>0</v>
      </c>
      <c r="P21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1" s="8">
        <f xml:space="preserve"> SUMIFS(Tabla18[pm],Tabla18[fecha],TablaPinal[[#This Row],[fecha]],Tabla18[punto],L1)</f>
        <v>0</v>
      </c>
      <c r="R21" s="27">
        <f xml:space="preserve"> SUMIFS(Tabla18[efectivo],Tabla18[fecha],TablaPinal[[#This Row],[fecha]],Tabla18[punto],L1)</f>
        <v>0</v>
      </c>
      <c r="S21" s="8">
        <f xml:space="preserve"> SUMIFS(Tabla18[divisa],Tabla18[fecha],TablaPinal[[#This Row],[fecha]],Tabla18[punto],L1)</f>
        <v>0</v>
      </c>
      <c r="T21" s="8">
        <f>(TablaPinal[[#This Row],[pm]] + TablaPinal[[#This Row],[efectivo]] + (TablaPinal[[#This Row],[divisa]]*DATOS!F2) + (SUMIFS(Tabla1816[pm],Tabla1816[fecha],TablaPinal[[#This Row],[fecha]],Tabla1816[punto],L1)))</f>
        <v>0</v>
      </c>
      <c r="U21" s="9">
        <f xml:space="preserve"> ((TablaPinal[[#This Row],[10kg]]*3.5) + (TablaPinal[[#This Row],[18kg]]*8)  + (TablaPinal[[#This Row],[27kg]]*11) + (TablaPinal[[#This Row],[43kg]]*17)) * DATOS!F2</f>
        <v>0</v>
      </c>
      <c r="W21" s="10" t="s">
        <v>28</v>
      </c>
      <c r="X21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1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1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1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1" s="8">
        <f xml:space="preserve"> SUMIFS(Tabla18[pm],Tabla18[fecha],TablaCandelaria[[#This Row],[fecha]],Tabla18[punto],W1)</f>
        <v>0</v>
      </c>
      <c r="AC21" s="27">
        <f xml:space="preserve"> SUMIFS(Tabla18[efectivo],Tabla18[fecha],TablaCandelaria[[#This Row],[fecha]],Tabla18[punto],W1)</f>
        <v>0</v>
      </c>
      <c r="AD21" s="8">
        <f xml:space="preserve"> SUMIFS(Tabla18[divisa],Tabla18[fecha],TablaCandelaria[[#This Row],[fecha]],Tabla18[punto],W1)</f>
        <v>0</v>
      </c>
      <c r="AE21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1" s="9">
        <f xml:space="preserve"> ((TablaCandelaria[[#This Row],[10kg]]*3.5) + (TablaCandelaria[[#This Row],[18kg]]*7)  + (TablaCandelaria[[#This Row],[27kg]]*11) + (TablaCandelaria[[#This Row],[43kg]]*17)) * DATOS!F2</f>
        <v>0</v>
      </c>
      <c r="AH21" s="10" t="s">
        <v>28</v>
      </c>
      <c r="AI21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1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1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1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1" s="8">
        <f xml:space="preserve"> SUMIFS(Tabla18[pm],Tabla18[fecha],TablaCoromoto[[#This Row],[fecha]],Tabla18[punto],AH1)</f>
        <v>0</v>
      </c>
      <c r="AN21" s="27">
        <f xml:space="preserve"> SUMIFS(Tabla18[efectivo],Tabla18[fecha],TablaCoromoto[[#This Row],[fecha]],Tabla18[punto],AH1)</f>
        <v>0</v>
      </c>
      <c r="AO21" s="8">
        <f xml:space="preserve"> SUMIFS(Tabla18[divisa],Tabla18[fecha],TablaCoromoto[[#This Row],[fecha]],Tabla18[punto],AH1)</f>
        <v>0</v>
      </c>
      <c r="AP21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1" s="9">
        <f xml:space="preserve"> ((TablaCoromoto[[#This Row],[10kg]]*3.5) + (TablaCoromoto[[#This Row],[18kg]]*7)  + (TablaCoromoto[[#This Row],[27kg]]*11) + (TablaCoromoto[[#This Row],[43kg]]*17)) * DATOS!F2</f>
        <v>0</v>
      </c>
      <c r="AS21" s="10" t="s">
        <v>28</v>
      </c>
      <c r="AT21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1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1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1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1" s="8">
        <f xml:space="preserve"> SUMIFS(Tabla18[pm],Tabla18[fecha],TablaBarrioBolivar[[#This Row],[fecha]],Tabla18[punto],AS1)</f>
        <v>0</v>
      </c>
      <c r="AY21" s="27">
        <f xml:space="preserve"> SUMIFS(Tabla18[efectivo],Tabla18[fecha],TablaBarrioBolivar[[#This Row],[fecha]],Tabla18[punto],AS1)</f>
        <v>0</v>
      </c>
      <c r="AZ21" s="8">
        <f xml:space="preserve"> SUMIFS(Tabla18[divisa],Tabla18[fecha],TablaBarrioBolivar[[#This Row],[fecha]],Tabla18[punto],AS1)</f>
        <v>0</v>
      </c>
      <c r="BA21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1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2" spans="1:54" x14ac:dyDescent="0.25">
      <c r="A22" s="6" t="str">
        <f xml:space="preserve"> DATOS!A21</f>
        <v>19 10 2024</v>
      </c>
      <c r="B22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2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2" s="8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2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2" s="8">
        <f xml:space="preserve"> SUMIFS(Tabla18[pm],Tabla18[fecha],TablaMataSeca[[#This Row],[fecha]],Tabla18[punto],DATOS!C2)</f>
        <v>0</v>
      </c>
      <c r="G22" s="27">
        <f xml:space="preserve"> SUMIFS(Tabla18[efectivo],Tabla18[fecha],TablaMataSeca[[#This Row],[fecha]],Tabla18[punto],DATOS!C2)</f>
        <v>0</v>
      </c>
      <c r="H22" s="8">
        <f xml:space="preserve"> SUMIFS(Tabla18[divisa],Tabla18[fecha],TablaMataSeca[[#This Row],[fecha]],Tabla18[punto],DATOS!C2)</f>
        <v>0</v>
      </c>
      <c r="I22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2" s="9">
        <f xml:space="preserve"> ((TablaMataSeca[[#This Row],[10kg]]*3.5) + (TablaMataSeca[[#This Row],[18kg]]*8)  + (TablaMataSeca[[#This Row],[27kg]]*11) + (TablaMataSeca[[#This Row],[43kg]]*17)) * DATOS!F2</f>
        <v>0</v>
      </c>
      <c r="L22" s="6" t="str">
        <f xml:space="preserve"> DATOS!A21</f>
        <v>19 10 2024</v>
      </c>
      <c r="M22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2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22" s="8">
        <f xml:space="preserve"> SUMIFS(Tabla1821[27kg],Tabla1821[fecha],TablaPinal[[#This Row],[fecha]],Tabla1821[punto],L1)</f>
        <v>0</v>
      </c>
      <c r="P22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2" s="8">
        <f xml:space="preserve"> SUMIFS(Tabla18[pm],Tabla18[fecha],TablaPinal[[#This Row],[fecha]],Tabla18[punto],L1)</f>
        <v>0</v>
      </c>
      <c r="R22" s="27">
        <f xml:space="preserve"> SUMIFS(Tabla18[efectivo],Tabla18[fecha],TablaPinal[[#This Row],[fecha]],Tabla18[punto],L1)</f>
        <v>0</v>
      </c>
      <c r="S22" s="8">
        <f xml:space="preserve"> SUMIFS(Tabla18[divisa],Tabla18[fecha],TablaPinal[[#This Row],[fecha]],Tabla18[punto],L1)</f>
        <v>0</v>
      </c>
      <c r="T22" s="8">
        <f>(TablaPinal[[#This Row],[pm]] + TablaPinal[[#This Row],[efectivo]] + (TablaPinal[[#This Row],[divisa]]*DATOS!F2) + (SUMIFS(Tabla1816[pm],Tabla1816[fecha],TablaPinal[[#This Row],[fecha]],Tabla1816[punto],L1)))</f>
        <v>0</v>
      </c>
      <c r="U22" s="9">
        <f xml:space="preserve"> ((TablaPinal[[#This Row],[10kg]]*3.5) + (TablaPinal[[#This Row],[18kg]]*8)  + (TablaPinal[[#This Row],[27kg]]*11) + (TablaPinal[[#This Row],[43kg]]*17)) * DATOS!F2</f>
        <v>0</v>
      </c>
      <c r="W22" s="10" t="s">
        <v>29</v>
      </c>
      <c r="X22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2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2" s="8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2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2" s="8">
        <f xml:space="preserve"> SUMIFS(Tabla18[pm],Tabla18[fecha],TablaCandelaria[[#This Row],[fecha]],Tabla18[punto],W1)</f>
        <v>0</v>
      </c>
      <c r="AC22" s="27">
        <f xml:space="preserve"> SUMIFS(Tabla18[efectivo],Tabla18[fecha],TablaCandelaria[[#This Row],[fecha]],Tabla18[punto],W1)</f>
        <v>0</v>
      </c>
      <c r="AD22" s="8">
        <f xml:space="preserve"> SUMIFS(Tabla18[divisa],Tabla18[fecha],TablaCandelaria[[#This Row],[fecha]],Tabla18[punto],W1)</f>
        <v>0</v>
      </c>
      <c r="AE22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2" s="9">
        <f xml:space="preserve"> ((TablaCandelaria[[#This Row],[10kg]]*3.5) + (TablaCandelaria[[#This Row],[18kg]]*7)  + (TablaCandelaria[[#This Row],[27kg]]*11) + (TablaCandelaria[[#This Row],[43kg]]*17)) * DATOS!F2</f>
        <v>0</v>
      </c>
      <c r="AH22" s="10" t="s">
        <v>29</v>
      </c>
      <c r="AI22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2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2" s="8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2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2" s="8">
        <f xml:space="preserve"> SUMIFS(Tabla18[pm],Tabla18[fecha],TablaCoromoto[[#This Row],[fecha]],Tabla18[punto],AH1)</f>
        <v>0</v>
      </c>
      <c r="AN22" s="27">
        <f xml:space="preserve"> SUMIFS(Tabla18[efectivo],Tabla18[fecha],TablaCoromoto[[#This Row],[fecha]],Tabla18[punto],AH1)</f>
        <v>0</v>
      </c>
      <c r="AO22" s="8">
        <f xml:space="preserve"> SUMIFS(Tabla18[divisa],Tabla18[fecha],TablaCoromoto[[#This Row],[fecha]],Tabla18[punto],AH1)</f>
        <v>0</v>
      </c>
      <c r="AP22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2" s="9">
        <f xml:space="preserve"> ((TablaCoromoto[[#This Row],[10kg]]*3.5) + (TablaCoromoto[[#This Row],[18kg]]*7)  + (TablaCoromoto[[#This Row],[27kg]]*11) + (TablaCoromoto[[#This Row],[43kg]]*17)) * DATOS!F2</f>
        <v>0</v>
      </c>
      <c r="AS22" s="10" t="s">
        <v>29</v>
      </c>
      <c r="AT22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2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2" s="8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2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2" s="8">
        <f xml:space="preserve"> SUMIFS(Tabla18[pm],Tabla18[fecha],TablaBarrioBolivar[[#This Row],[fecha]],Tabla18[punto],AS1)</f>
        <v>0</v>
      </c>
      <c r="AY22" s="27">
        <f xml:space="preserve"> SUMIFS(Tabla18[efectivo],Tabla18[fecha],TablaBarrioBolivar[[#This Row],[fecha]],Tabla18[punto],AS1)</f>
        <v>0</v>
      </c>
      <c r="AZ22" s="8">
        <f xml:space="preserve"> SUMIFS(Tabla18[divisa],Tabla18[fecha],TablaBarrioBolivar[[#This Row],[fecha]],Tabla18[punto],AS1)</f>
        <v>0</v>
      </c>
      <c r="BA22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2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3" spans="1:54" x14ac:dyDescent="0.25">
      <c r="A23" s="6" t="str">
        <f xml:space="preserve"> DATOS!A22</f>
        <v>20 10 2024</v>
      </c>
      <c r="B23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3" s="8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3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3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3" s="8">
        <f xml:space="preserve"> SUMIFS(Tabla18[pm],Tabla18[fecha],TablaMataSeca[[#This Row],[fecha]],Tabla18[punto],DATOS!C2)</f>
        <v>0</v>
      </c>
      <c r="G23" s="27">
        <f xml:space="preserve"> SUMIFS(Tabla18[efectivo],Tabla18[fecha],TablaMataSeca[[#This Row],[fecha]],Tabla18[punto],DATOS!C2)</f>
        <v>0</v>
      </c>
      <c r="H23" s="8">
        <f xml:space="preserve"> SUMIFS(Tabla18[divisa],Tabla18[fecha],TablaMataSeca[[#This Row],[fecha]],Tabla18[punto],DATOS!C2)</f>
        <v>0</v>
      </c>
      <c r="I23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3" s="9">
        <f xml:space="preserve"> ((TablaMataSeca[[#This Row],[10kg]]*3.5) + (TablaMataSeca[[#This Row],[18kg]]*8)  + (TablaMataSeca[[#This Row],[27kg]]*11) + (TablaMataSeca[[#This Row],[43kg]]*17)) * DATOS!F2</f>
        <v>0</v>
      </c>
      <c r="L23" s="6" t="str">
        <f xml:space="preserve"> DATOS!A22</f>
        <v>20 10 2024</v>
      </c>
      <c r="M23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3" s="8">
        <f xml:space="preserve"> SUMIFS(Tabla1821[18kg],Tabla1821[fecha],TablaPinal[[#This Row],[fecha]],Tabla1821[punto],L1) -  SUMIFS(Tabla182115[18kg],Tabla182115[fecha],TablaPinal[[#This Row],[fecha]],Tabla182115[punto],L1)</f>
        <v>0</v>
      </c>
      <c r="O23" s="7">
        <f xml:space="preserve"> SUMIFS(Tabla1821[27kg],Tabla1821[fecha],TablaPinal[[#This Row],[fecha]],Tabla1821[punto],L1)</f>
        <v>0</v>
      </c>
      <c r="P23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3" s="8">
        <f xml:space="preserve"> SUMIFS(Tabla18[pm],Tabla18[fecha],TablaPinal[[#This Row],[fecha]],Tabla18[punto],L1)</f>
        <v>0</v>
      </c>
      <c r="R23" s="27">
        <f xml:space="preserve"> SUMIFS(Tabla18[efectivo],Tabla18[fecha],TablaPinal[[#This Row],[fecha]],Tabla18[punto],L1)</f>
        <v>0</v>
      </c>
      <c r="S23" s="8">
        <f xml:space="preserve"> SUMIFS(Tabla18[divisa],Tabla18[fecha],TablaPinal[[#This Row],[fecha]],Tabla18[punto],L1)</f>
        <v>0</v>
      </c>
      <c r="T23" s="8">
        <f>(TablaPinal[[#This Row],[pm]] + TablaPinal[[#This Row],[efectivo]] + (TablaPinal[[#This Row],[divisa]]*DATOS!F2) + (SUMIFS(Tabla1816[pm],Tabla1816[fecha],TablaPinal[[#This Row],[fecha]],Tabla1816[punto],L1)))</f>
        <v>0</v>
      </c>
      <c r="U23" s="9">
        <f xml:space="preserve"> ((TablaPinal[[#This Row],[10kg]]*3.5) + (TablaPinal[[#This Row],[18kg]]*8)  + (TablaPinal[[#This Row],[27kg]]*11) + (TablaPinal[[#This Row],[43kg]]*17)) * DATOS!F2</f>
        <v>0</v>
      </c>
      <c r="W23" s="10" t="s">
        <v>30</v>
      </c>
      <c r="X23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3" s="8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3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3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3" s="8">
        <f xml:space="preserve"> SUMIFS(Tabla18[pm],Tabla18[fecha],TablaCandelaria[[#This Row],[fecha]],Tabla18[punto],W1)</f>
        <v>0</v>
      </c>
      <c r="AC23" s="27">
        <f xml:space="preserve"> SUMIFS(Tabla18[efectivo],Tabla18[fecha],TablaCandelaria[[#This Row],[fecha]],Tabla18[punto],W1)</f>
        <v>0</v>
      </c>
      <c r="AD23" s="8">
        <f xml:space="preserve"> SUMIFS(Tabla18[divisa],Tabla18[fecha],TablaCandelaria[[#This Row],[fecha]],Tabla18[punto],W1)</f>
        <v>0</v>
      </c>
      <c r="AE23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3" s="9">
        <f xml:space="preserve"> ((TablaCandelaria[[#This Row],[10kg]]*3.5) + (TablaCandelaria[[#This Row],[18kg]]*7)  + (TablaCandelaria[[#This Row],[27kg]]*11) + (TablaCandelaria[[#This Row],[43kg]]*17)) * DATOS!F2</f>
        <v>0</v>
      </c>
      <c r="AH23" s="10" t="s">
        <v>30</v>
      </c>
      <c r="AI23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3" s="8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3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3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3" s="8">
        <f xml:space="preserve"> SUMIFS(Tabla18[pm],Tabla18[fecha],TablaCoromoto[[#This Row],[fecha]],Tabla18[punto],AH1)</f>
        <v>0</v>
      </c>
      <c r="AN23" s="27">
        <f xml:space="preserve"> SUMIFS(Tabla18[efectivo],Tabla18[fecha],TablaCoromoto[[#This Row],[fecha]],Tabla18[punto],AH1)</f>
        <v>0</v>
      </c>
      <c r="AO23" s="8">
        <f xml:space="preserve"> SUMIFS(Tabla18[divisa],Tabla18[fecha],TablaCoromoto[[#This Row],[fecha]],Tabla18[punto],AH1)</f>
        <v>0</v>
      </c>
      <c r="AP23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3" s="9">
        <f xml:space="preserve"> ((TablaCoromoto[[#This Row],[10kg]]*3.5) + (TablaCoromoto[[#This Row],[18kg]]*7)  + (TablaCoromoto[[#This Row],[27kg]]*11) + (TablaCoromoto[[#This Row],[43kg]]*17)) * DATOS!F2</f>
        <v>0</v>
      </c>
      <c r="AS23" s="10" t="s">
        <v>30</v>
      </c>
      <c r="AT23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3" s="8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3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3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3" s="8">
        <f xml:space="preserve"> SUMIFS(Tabla18[pm],Tabla18[fecha],TablaBarrioBolivar[[#This Row],[fecha]],Tabla18[punto],AS1)</f>
        <v>0</v>
      </c>
      <c r="AY23" s="27">
        <f xml:space="preserve"> SUMIFS(Tabla18[efectivo],Tabla18[fecha],TablaBarrioBolivar[[#This Row],[fecha]],Tabla18[punto],AS1)</f>
        <v>0</v>
      </c>
      <c r="AZ23" s="8">
        <f xml:space="preserve"> SUMIFS(Tabla18[divisa],Tabla18[fecha],TablaBarrioBolivar[[#This Row],[fecha]],Tabla18[punto],AS1)</f>
        <v>0</v>
      </c>
      <c r="BA23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3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4" spans="1:54" x14ac:dyDescent="0.25">
      <c r="A24" s="6" t="str">
        <f xml:space="preserve"> DATOS!A23</f>
        <v>21 10 2024</v>
      </c>
      <c r="B24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4" s="8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4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4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4" s="8">
        <f xml:space="preserve"> SUMIFS(Tabla18[pm],Tabla18[fecha],TablaMataSeca[[#This Row],[fecha]],Tabla18[punto],DATOS!C2)</f>
        <v>0</v>
      </c>
      <c r="G24" s="27">
        <f xml:space="preserve"> SUMIFS(Tabla18[efectivo],Tabla18[fecha],TablaMataSeca[[#This Row],[fecha]],Tabla18[punto],DATOS!C2)</f>
        <v>0</v>
      </c>
      <c r="H24" s="8">
        <f xml:space="preserve"> SUMIFS(Tabla18[divisa],Tabla18[fecha],TablaMataSeca[[#This Row],[fecha]],Tabla18[punto],DATOS!C2)</f>
        <v>0</v>
      </c>
      <c r="I24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4" s="9">
        <f xml:space="preserve"> ((TablaMataSeca[[#This Row],[10kg]]*3.5) + (TablaMataSeca[[#This Row],[18kg]]*8)  + (TablaMataSeca[[#This Row],[27kg]]*11) + (TablaMataSeca[[#This Row],[43kg]]*17)) * DATOS!F2</f>
        <v>0</v>
      </c>
      <c r="L24" s="6" t="str">
        <f xml:space="preserve"> DATOS!A23</f>
        <v>21 10 2024</v>
      </c>
      <c r="M24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4" s="8">
        <f xml:space="preserve"> SUMIFS(Tabla1821[18kg],Tabla1821[fecha],TablaPinal[[#This Row],[fecha]],Tabla1821[punto],L1) -  SUMIFS(Tabla182115[18kg],Tabla182115[fecha],TablaPinal[[#This Row],[fecha]],Tabla182115[punto],L1)</f>
        <v>0</v>
      </c>
      <c r="O24" s="7">
        <f xml:space="preserve"> SUMIFS(Tabla1821[27kg],Tabla1821[fecha],TablaPinal[[#This Row],[fecha]],Tabla1821[punto],L1)</f>
        <v>0</v>
      </c>
      <c r="P24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4" s="8">
        <f xml:space="preserve"> SUMIFS(Tabla18[pm],Tabla18[fecha],TablaPinal[[#This Row],[fecha]],Tabla18[punto],L1)</f>
        <v>0</v>
      </c>
      <c r="R24" s="27">
        <f xml:space="preserve"> SUMIFS(Tabla18[efectivo],Tabla18[fecha],TablaPinal[[#This Row],[fecha]],Tabla18[punto],L1)</f>
        <v>0</v>
      </c>
      <c r="S24" s="8">
        <f xml:space="preserve"> SUMIFS(Tabla18[divisa],Tabla18[fecha],TablaPinal[[#This Row],[fecha]],Tabla18[punto],L1)</f>
        <v>0</v>
      </c>
      <c r="T24" s="8">
        <f>(TablaPinal[[#This Row],[pm]] + TablaPinal[[#This Row],[efectivo]] + (TablaPinal[[#This Row],[divisa]]*DATOS!F2) + (SUMIFS(Tabla1816[pm],Tabla1816[fecha],TablaPinal[[#This Row],[fecha]],Tabla1816[punto],L1)))</f>
        <v>0</v>
      </c>
      <c r="U24" s="9">
        <f xml:space="preserve"> ((TablaPinal[[#This Row],[10kg]]*3.5) + (TablaPinal[[#This Row],[18kg]]*8)  + (TablaPinal[[#This Row],[27kg]]*11) + (TablaPinal[[#This Row],[43kg]]*17)) * DATOS!F2</f>
        <v>0</v>
      </c>
      <c r="W24" s="10" t="s">
        <v>31</v>
      </c>
      <c r="X24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4" s="8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4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4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4" s="8">
        <f xml:space="preserve"> SUMIFS(Tabla18[pm],Tabla18[fecha],TablaCandelaria[[#This Row],[fecha]],Tabla18[punto],W1)</f>
        <v>0</v>
      </c>
      <c r="AC24" s="27">
        <f xml:space="preserve"> SUMIFS(Tabla18[efectivo],Tabla18[fecha],TablaCandelaria[[#This Row],[fecha]],Tabla18[punto],W1)</f>
        <v>0</v>
      </c>
      <c r="AD24" s="8">
        <f xml:space="preserve"> SUMIFS(Tabla18[divisa],Tabla18[fecha],TablaCandelaria[[#This Row],[fecha]],Tabla18[punto],W1)</f>
        <v>0</v>
      </c>
      <c r="AE24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4" s="9">
        <f xml:space="preserve"> ((TablaCandelaria[[#This Row],[10kg]]*3.5) + (TablaCandelaria[[#This Row],[18kg]]*7)  + (TablaCandelaria[[#This Row],[27kg]]*11) + (TablaCandelaria[[#This Row],[43kg]]*17)) * DATOS!F2</f>
        <v>0</v>
      </c>
      <c r="AH24" s="10" t="s">
        <v>31</v>
      </c>
      <c r="AI24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4" s="8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4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4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4" s="8">
        <f xml:space="preserve"> SUMIFS(Tabla18[pm],Tabla18[fecha],TablaCoromoto[[#This Row],[fecha]],Tabla18[punto],AH1)</f>
        <v>0</v>
      </c>
      <c r="AN24" s="27">
        <f xml:space="preserve"> SUMIFS(Tabla18[efectivo],Tabla18[fecha],TablaCoromoto[[#This Row],[fecha]],Tabla18[punto],AH1)</f>
        <v>0</v>
      </c>
      <c r="AO24" s="8">
        <f xml:space="preserve"> SUMIFS(Tabla18[divisa],Tabla18[fecha],TablaCoromoto[[#This Row],[fecha]],Tabla18[punto],AH1)</f>
        <v>0</v>
      </c>
      <c r="AP24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4" s="9">
        <f xml:space="preserve"> ((TablaCoromoto[[#This Row],[10kg]]*3.5) + (TablaCoromoto[[#This Row],[18kg]]*7)  + (TablaCoromoto[[#This Row],[27kg]]*11) + (TablaCoromoto[[#This Row],[43kg]]*17)) * DATOS!F2</f>
        <v>0</v>
      </c>
      <c r="AS24" s="10" t="s">
        <v>31</v>
      </c>
      <c r="AT24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4" s="8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4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4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4" s="8">
        <f xml:space="preserve"> SUMIFS(Tabla18[pm],Tabla18[fecha],TablaBarrioBolivar[[#This Row],[fecha]],Tabla18[punto],AS1)</f>
        <v>0</v>
      </c>
      <c r="AY24" s="27">
        <f xml:space="preserve"> SUMIFS(Tabla18[efectivo],Tabla18[fecha],TablaBarrioBolivar[[#This Row],[fecha]],Tabla18[punto],AS1)</f>
        <v>0</v>
      </c>
      <c r="AZ24" s="8">
        <f xml:space="preserve"> SUMIFS(Tabla18[divisa],Tabla18[fecha],TablaBarrioBolivar[[#This Row],[fecha]],Tabla18[punto],AS1)</f>
        <v>0</v>
      </c>
      <c r="BA24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4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5" spans="1:54" x14ac:dyDescent="0.25">
      <c r="A25" s="6" t="str">
        <f xml:space="preserve"> DATOS!A24</f>
        <v>22 10 2024</v>
      </c>
      <c r="B25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5" s="8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5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5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5" s="8">
        <f xml:space="preserve"> SUMIFS(Tabla18[pm],Tabla18[fecha],TablaMataSeca[[#This Row],[fecha]],Tabla18[punto],DATOS!C2)</f>
        <v>0</v>
      </c>
      <c r="G25" s="28">
        <f xml:space="preserve"> SUMIFS(Tabla18[efectivo],Tabla18[fecha],TablaMataSeca[[#This Row],[fecha]],Tabla18[punto],DATOS!C2)</f>
        <v>0</v>
      </c>
      <c r="H25" s="8">
        <f xml:space="preserve"> SUMIFS(Tabla18[divisa],Tabla18[fecha],TablaMataSeca[[#This Row],[fecha]],Tabla18[punto],DATOS!C2)</f>
        <v>0</v>
      </c>
      <c r="I25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5" s="9">
        <f xml:space="preserve"> ((TablaMataSeca[[#This Row],[10kg]]*3.5) + (TablaMataSeca[[#This Row],[18kg]]*8)  + (TablaMataSeca[[#This Row],[27kg]]*11) + (TablaMataSeca[[#This Row],[43kg]]*17)) * DATOS!F2</f>
        <v>0</v>
      </c>
      <c r="L25" s="6" t="str">
        <f xml:space="preserve"> DATOS!A24</f>
        <v>22 10 2024</v>
      </c>
      <c r="M25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5" s="8">
        <f xml:space="preserve"> SUMIFS(Tabla1821[18kg],Tabla1821[fecha],TablaPinal[[#This Row],[fecha]],Tabla1821[punto],L1) -  SUMIFS(Tabla182115[18kg],Tabla182115[fecha],TablaPinal[[#This Row],[fecha]],Tabla182115[punto],L1)</f>
        <v>0</v>
      </c>
      <c r="O25" s="7">
        <f xml:space="preserve"> SUMIFS(Tabla1821[27kg],Tabla1821[fecha],TablaPinal[[#This Row],[fecha]],Tabla1821[punto],L1)</f>
        <v>0</v>
      </c>
      <c r="P25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5" s="8">
        <f xml:space="preserve"> SUMIFS(Tabla18[pm],Tabla18[fecha],TablaPinal[[#This Row],[fecha]],Tabla18[punto],L1)</f>
        <v>0</v>
      </c>
      <c r="R25" s="28">
        <f xml:space="preserve"> SUMIFS(Tabla18[efectivo],Tabla18[fecha],TablaPinal[[#This Row],[fecha]],Tabla18[punto],L1)</f>
        <v>0</v>
      </c>
      <c r="S25" s="8">
        <f xml:space="preserve"> SUMIFS(Tabla18[divisa],Tabla18[fecha],TablaPinal[[#This Row],[fecha]],Tabla18[punto],L1)</f>
        <v>0</v>
      </c>
      <c r="T25" s="8">
        <f>(TablaPinal[[#This Row],[pm]] + TablaPinal[[#This Row],[efectivo]] + (TablaPinal[[#This Row],[divisa]]*DATOS!F2) + (SUMIFS(Tabla1816[pm],Tabla1816[fecha],TablaPinal[[#This Row],[fecha]],Tabla1816[punto],L1)))</f>
        <v>0</v>
      </c>
      <c r="U25" s="9">
        <f xml:space="preserve"> ((TablaPinal[[#This Row],[10kg]]*3.5) + (TablaPinal[[#This Row],[18kg]]*8)  + (TablaPinal[[#This Row],[27kg]]*11) + (TablaPinal[[#This Row],[43kg]]*17)) * DATOS!F2</f>
        <v>0</v>
      </c>
      <c r="W25" s="10" t="s">
        <v>32</v>
      </c>
      <c r="X25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5" s="8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5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5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5" s="8">
        <f xml:space="preserve"> SUMIFS(Tabla18[pm],Tabla18[fecha],TablaCandelaria[[#This Row],[fecha]],Tabla18[punto],W1)</f>
        <v>0</v>
      </c>
      <c r="AC25" s="28">
        <f xml:space="preserve"> SUMIFS(Tabla18[efectivo],Tabla18[fecha],TablaCandelaria[[#This Row],[fecha]],Tabla18[punto],W1)</f>
        <v>0</v>
      </c>
      <c r="AD25" s="8">
        <f xml:space="preserve"> SUMIFS(Tabla18[divisa],Tabla18[fecha],TablaCandelaria[[#This Row],[fecha]],Tabla18[punto],W1)</f>
        <v>0</v>
      </c>
      <c r="AE25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5" s="9">
        <f xml:space="preserve"> ((TablaCandelaria[[#This Row],[10kg]]*3.5) + (TablaCandelaria[[#This Row],[18kg]]*7)  + (TablaCandelaria[[#This Row],[27kg]]*11) + (TablaCandelaria[[#This Row],[43kg]]*17)) * DATOS!F2</f>
        <v>0</v>
      </c>
      <c r="AH25" s="10" t="s">
        <v>32</v>
      </c>
      <c r="AI25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5" s="8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5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5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5" s="8">
        <f xml:space="preserve"> SUMIFS(Tabla18[pm],Tabla18[fecha],TablaCoromoto[[#This Row],[fecha]],Tabla18[punto],AH1)</f>
        <v>0</v>
      </c>
      <c r="AN25" s="28">
        <f xml:space="preserve"> SUMIFS(Tabla18[efectivo],Tabla18[fecha],TablaCoromoto[[#This Row],[fecha]],Tabla18[punto],AH1)</f>
        <v>0</v>
      </c>
      <c r="AO25" s="8">
        <f xml:space="preserve"> SUMIFS(Tabla18[divisa],Tabla18[fecha],TablaCoromoto[[#This Row],[fecha]],Tabla18[punto],AH1)</f>
        <v>0</v>
      </c>
      <c r="AP25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5" s="9">
        <f xml:space="preserve"> ((TablaCoromoto[[#This Row],[10kg]]*3.5) + (TablaCoromoto[[#This Row],[18kg]]*7)  + (TablaCoromoto[[#This Row],[27kg]]*11) + (TablaCoromoto[[#This Row],[43kg]]*17)) * DATOS!F2</f>
        <v>0</v>
      </c>
      <c r="AS25" s="10" t="s">
        <v>32</v>
      </c>
      <c r="AT25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5" s="8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5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5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5" s="8">
        <f xml:space="preserve"> SUMIFS(Tabla18[pm],Tabla18[fecha],TablaBarrioBolivar[[#This Row],[fecha]],Tabla18[punto],AS1)</f>
        <v>0</v>
      </c>
      <c r="AY25" s="28">
        <f xml:space="preserve"> SUMIFS(Tabla18[efectivo],Tabla18[fecha],TablaBarrioBolivar[[#This Row],[fecha]],Tabla18[punto],AS1)</f>
        <v>0</v>
      </c>
      <c r="AZ25" s="8">
        <f xml:space="preserve"> SUMIFS(Tabla18[divisa],Tabla18[fecha],TablaBarrioBolivar[[#This Row],[fecha]],Tabla18[punto],AS1)</f>
        <v>0</v>
      </c>
      <c r="BA25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5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6" spans="1:54" x14ac:dyDescent="0.25">
      <c r="A26" s="6" t="str">
        <f xml:space="preserve"> DATOS!A25</f>
        <v>23 10 2024</v>
      </c>
      <c r="B26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6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6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6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6" s="7">
        <f xml:space="preserve"> SUMIFS(Tabla18[pm],Tabla18[fecha],TablaMataSeca[[#This Row],[fecha]],Tabla18[punto],DATOS!C2)</f>
        <v>0</v>
      </c>
      <c r="G26" s="28">
        <f xml:space="preserve"> SUMIFS(Tabla18[efectivo],Tabla18[fecha],TablaMataSeca[[#This Row],[fecha]],Tabla18[punto],DATOS!C2)</f>
        <v>0</v>
      </c>
      <c r="H26" s="10">
        <f xml:space="preserve"> SUMIFS(Tabla18[divisa],Tabla18[fecha],TablaMataSeca[[#This Row],[fecha]],Tabla18[punto],DATOS!C2)</f>
        <v>0</v>
      </c>
      <c r="I26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6" s="9">
        <f xml:space="preserve"> ((TablaMataSeca[[#This Row],[10kg]]*3.5) + (TablaMataSeca[[#This Row],[18kg]]*8)  + (TablaMataSeca[[#This Row],[27kg]]*11) + (TablaMataSeca[[#This Row],[43kg]]*17)) * DATOS!F2</f>
        <v>0</v>
      </c>
      <c r="L26" s="6" t="str">
        <f xml:space="preserve"> DATOS!A25</f>
        <v>23 10 2024</v>
      </c>
      <c r="M26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6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26" s="7">
        <f xml:space="preserve"> SUMIFS(Tabla1821[27kg],Tabla1821[fecha],TablaPinal[[#This Row],[fecha]],Tabla1821[punto],L1)</f>
        <v>0</v>
      </c>
      <c r="P26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6" s="7">
        <f xml:space="preserve"> SUMIFS(Tabla18[pm],Tabla18[fecha],TablaPinal[[#This Row],[fecha]],Tabla18[punto],L1)</f>
        <v>0</v>
      </c>
      <c r="R26" s="28">
        <f xml:space="preserve"> SUMIFS(Tabla18[efectivo],Tabla18[fecha],TablaPinal[[#This Row],[fecha]],Tabla18[punto],L1)</f>
        <v>0</v>
      </c>
      <c r="S26" s="10">
        <f xml:space="preserve"> SUMIFS(Tabla18[divisa],Tabla18[fecha],TablaPinal[[#This Row],[fecha]],Tabla18[punto],L1)</f>
        <v>0</v>
      </c>
      <c r="T26" s="8">
        <f>(TablaPinal[[#This Row],[pm]] + TablaPinal[[#This Row],[efectivo]] + (TablaPinal[[#This Row],[divisa]]*DATOS!F2) + (SUMIFS(Tabla1816[pm],Tabla1816[fecha],TablaPinal[[#This Row],[fecha]],Tabla1816[punto],L1)))</f>
        <v>0</v>
      </c>
      <c r="U26" s="9">
        <f xml:space="preserve"> ((TablaPinal[[#This Row],[10kg]]*3.5) + (TablaPinal[[#This Row],[18kg]]*8)  + (TablaPinal[[#This Row],[27kg]]*11) + (TablaPinal[[#This Row],[43kg]]*17)) * DATOS!F2</f>
        <v>0</v>
      </c>
      <c r="W26" s="10" t="s">
        <v>33</v>
      </c>
      <c r="X26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6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6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6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6" s="7">
        <f xml:space="preserve"> SUMIFS(Tabla18[pm],Tabla18[fecha],TablaCandelaria[[#This Row],[fecha]],Tabla18[punto],W1)</f>
        <v>0</v>
      </c>
      <c r="AC26" s="28">
        <f xml:space="preserve"> SUMIFS(Tabla18[efectivo],Tabla18[fecha],TablaCandelaria[[#This Row],[fecha]],Tabla18[punto],W1)</f>
        <v>0</v>
      </c>
      <c r="AD26" s="10">
        <f xml:space="preserve"> SUMIFS(Tabla18[divisa],Tabla18[fecha],TablaCandelaria[[#This Row],[fecha]],Tabla18[punto],W1)</f>
        <v>0</v>
      </c>
      <c r="AE26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6" s="9">
        <f xml:space="preserve"> ((TablaCandelaria[[#This Row],[10kg]]*3.5) + (TablaCandelaria[[#This Row],[18kg]]*7)  + (TablaCandelaria[[#This Row],[27kg]]*11) + (TablaCandelaria[[#This Row],[43kg]]*17)) * DATOS!F2</f>
        <v>0</v>
      </c>
      <c r="AH26" s="10" t="s">
        <v>33</v>
      </c>
      <c r="AI26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6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6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6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6" s="7">
        <f xml:space="preserve"> SUMIFS(Tabla18[pm],Tabla18[fecha],TablaCoromoto[[#This Row],[fecha]],Tabla18[punto],AH1)</f>
        <v>0</v>
      </c>
      <c r="AN26" s="28">
        <f xml:space="preserve"> SUMIFS(Tabla18[efectivo],Tabla18[fecha],TablaCoromoto[[#This Row],[fecha]],Tabla18[punto],AH1)</f>
        <v>0</v>
      </c>
      <c r="AO26" s="10">
        <f xml:space="preserve"> SUMIFS(Tabla18[divisa],Tabla18[fecha],TablaCoromoto[[#This Row],[fecha]],Tabla18[punto],AH1)</f>
        <v>0</v>
      </c>
      <c r="AP26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6" s="9">
        <f xml:space="preserve"> ((TablaCoromoto[[#This Row],[10kg]]*3.5) + (TablaCoromoto[[#This Row],[18kg]]*7)  + (TablaCoromoto[[#This Row],[27kg]]*11) + (TablaCoromoto[[#This Row],[43kg]]*17)) * DATOS!F2</f>
        <v>0</v>
      </c>
      <c r="AS26" s="10" t="s">
        <v>33</v>
      </c>
      <c r="AT26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6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6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6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6" s="7">
        <f xml:space="preserve"> SUMIFS(Tabla18[pm],Tabla18[fecha],TablaBarrioBolivar[[#This Row],[fecha]],Tabla18[punto],AS1)</f>
        <v>0</v>
      </c>
      <c r="AY26" s="28">
        <f xml:space="preserve"> SUMIFS(Tabla18[efectivo],Tabla18[fecha],TablaBarrioBolivar[[#This Row],[fecha]],Tabla18[punto],AS1)</f>
        <v>0</v>
      </c>
      <c r="AZ26" s="10">
        <f xml:space="preserve"> SUMIFS(Tabla18[divisa],Tabla18[fecha],TablaBarrioBolivar[[#This Row],[fecha]],Tabla18[punto],AS1)</f>
        <v>0</v>
      </c>
      <c r="BA26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6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7" spans="1:54" x14ac:dyDescent="0.25">
      <c r="A27" s="6" t="str">
        <f xml:space="preserve"> DATOS!A26</f>
        <v>24 10 2024</v>
      </c>
      <c r="B27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7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7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7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7" s="8">
        <f xml:space="preserve"> SUMIFS(Tabla18[pm],Tabla18[fecha],TablaMataSeca[[#This Row],[fecha]],Tabla18[punto],DATOS!C2)</f>
        <v>0</v>
      </c>
      <c r="G27" s="27">
        <f xml:space="preserve"> SUMIFS(Tabla18[efectivo],Tabla18[fecha],TablaMataSeca[[#This Row],[fecha]],Tabla18[punto],DATOS!C2)</f>
        <v>0</v>
      </c>
      <c r="H27" s="7">
        <f xml:space="preserve"> SUMIFS(Tabla18[divisa],Tabla18[fecha],TablaMataSeca[[#This Row],[fecha]],Tabla18[punto],DATOS!C2)</f>
        <v>0</v>
      </c>
      <c r="I27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7" s="9">
        <f xml:space="preserve"> ((TablaMataSeca[[#This Row],[10kg]]*3.5) + (TablaMataSeca[[#This Row],[18kg]]*8)  + (TablaMataSeca[[#This Row],[27kg]]*11) + (TablaMataSeca[[#This Row],[43kg]]*17)) * DATOS!F2</f>
        <v>0</v>
      </c>
      <c r="L27" s="6" t="str">
        <f xml:space="preserve"> DATOS!A26</f>
        <v>24 10 2024</v>
      </c>
      <c r="M27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7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27" s="7">
        <f xml:space="preserve"> SUMIFS(Tabla1821[27kg],Tabla1821[fecha],TablaPinal[[#This Row],[fecha]],Tabla1821[punto],L1)</f>
        <v>0</v>
      </c>
      <c r="P27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7" s="8">
        <f xml:space="preserve"> SUMIFS(Tabla18[pm],Tabla18[fecha],TablaPinal[[#This Row],[fecha]],Tabla18[punto],L1)</f>
        <v>0</v>
      </c>
      <c r="R27" s="27">
        <f xml:space="preserve"> SUMIFS(Tabla18[efectivo],Tabla18[fecha],TablaPinal[[#This Row],[fecha]],Tabla18[punto],L1)</f>
        <v>0</v>
      </c>
      <c r="S27" s="7">
        <f xml:space="preserve"> SUMIFS(Tabla18[divisa],Tabla18[fecha],TablaPinal[[#This Row],[fecha]],Tabla18[punto],L1)</f>
        <v>0</v>
      </c>
      <c r="T27" s="8">
        <f>(TablaPinal[[#This Row],[pm]] + TablaPinal[[#This Row],[efectivo]] + (TablaPinal[[#This Row],[divisa]]*DATOS!F2) + (SUMIFS(Tabla1816[pm],Tabla1816[fecha],TablaPinal[[#This Row],[fecha]],Tabla1816[punto],L1)))</f>
        <v>0</v>
      </c>
      <c r="U27" s="9">
        <f xml:space="preserve"> ((TablaPinal[[#This Row],[10kg]]*3.5) + (TablaPinal[[#This Row],[18kg]]*8)  + (TablaPinal[[#This Row],[27kg]]*11) + (TablaPinal[[#This Row],[43kg]]*17)) * DATOS!F2</f>
        <v>0</v>
      </c>
      <c r="W27" s="10" t="s">
        <v>34</v>
      </c>
      <c r="X27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7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7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7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7" s="8">
        <f xml:space="preserve"> SUMIFS(Tabla18[pm],Tabla18[fecha],TablaCandelaria[[#This Row],[fecha]],Tabla18[punto],W1)</f>
        <v>0</v>
      </c>
      <c r="AC27" s="27">
        <f xml:space="preserve"> SUMIFS(Tabla18[efectivo],Tabla18[fecha],TablaCandelaria[[#This Row],[fecha]],Tabla18[punto],W1)</f>
        <v>0</v>
      </c>
      <c r="AD27" s="7">
        <f xml:space="preserve"> SUMIFS(Tabla18[divisa],Tabla18[fecha],TablaCandelaria[[#This Row],[fecha]],Tabla18[punto],W1)</f>
        <v>0</v>
      </c>
      <c r="AE27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7" s="9">
        <f xml:space="preserve"> ((TablaCandelaria[[#This Row],[10kg]]*3.5) + (TablaCandelaria[[#This Row],[18kg]]*7)  + (TablaCandelaria[[#This Row],[27kg]]*11) + (TablaCandelaria[[#This Row],[43kg]]*17)) * DATOS!F2</f>
        <v>0</v>
      </c>
      <c r="AH27" s="10" t="s">
        <v>34</v>
      </c>
      <c r="AI27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7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7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7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7" s="8">
        <f xml:space="preserve"> SUMIFS(Tabla18[pm],Tabla18[fecha],TablaCoromoto[[#This Row],[fecha]],Tabla18[punto],AH1)</f>
        <v>0</v>
      </c>
      <c r="AN27" s="27">
        <f xml:space="preserve"> SUMIFS(Tabla18[efectivo],Tabla18[fecha],TablaCoromoto[[#This Row],[fecha]],Tabla18[punto],AH1)</f>
        <v>0</v>
      </c>
      <c r="AO27" s="7">
        <f xml:space="preserve"> SUMIFS(Tabla18[divisa],Tabla18[fecha],TablaCoromoto[[#This Row],[fecha]],Tabla18[punto],AH1)</f>
        <v>0</v>
      </c>
      <c r="AP27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7" s="9">
        <f xml:space="preserve"> ((TablaCoromoto[[#This Row],[10kg]]*3.5) + (TablaCoromoto[[#This Row],[18kg]]*7)  + (TablaCoromoto[[#This Row],[27kg]]*11) + (TablaCoromoto[[#This Row],[43kg]]*17)) * DATOS!F2</f>
        <v>0</v>
      </c>
      <c r="AS27" s="10" t="s">
        <v>34</v>
      </c>
      <c r="AT27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7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7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7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7" s="8">
        <f xml:space="preserve"> SUMIFS(Tabla18[pm],Tabla18[fecha],TablaBarrioBolivar[[#This Row],[fecha]],Tabla18[punto],AS1)</f>
        <v>0</v>
      </c>
      <c r="AY27" s="27">
        <f xml:space="preserve"> SUMIFS(Tabla18[efectivo],Tabla18[fecha],TablaBarrioBolivar[[#This Row],[fecha]],Tabla18[punto],AS1)</f>
        <v>0</v>
      </c>
      <c r="AZ27" s="7">
        <f xml:space="preserve"> SUMIFS(Tabla18[divisa],Tabla18[fecha],TablaBarrioBolivar[[#This Row],[fecha]],Tabla18[punto],AS1)</f>
        <v>0</v>
      </c>
      <c r="BA27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7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8" spans="1:54" x14ac:dyDescent="0.25">
      <c r="A28" s="6" t="str">
        <f xml:space="preserve"> DATOS!A27</f>
        <v>25 10 2024</v>
      </c>
      <c r="B28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8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8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8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8" s="8">
        <f xml:space="preserve"> SUMIFS(Tabla18[pm],Tabla18[fecha],TablaMataSeca[[#This Row],[fecha]],Tabla18[punto],DATOS!C2)</f>
        <v>0</v>
      </c>
      <c r="G28" s="27">
        <f xml:space="preserve"> SUMIFS(Tabla18[efectivo],Tabla18[fecha],TablaMataSeca[[#This Row],[fecha]],Tabla18[punto],DATOS!C2)</f>
        <v>0</v>
      </c>
      <c r="H28" s="8">
        <f xml:space="preserve"> SUMIFS(Tabla18[divisa],Tabla18[fecha],TablaMataSeca[[#This Row],[fecha]],Tabla18[punto],DATOS!C2)</f>
        <v>0</v>
      </c>
      <c r="I28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8" s="9">
        <f xml:space="preserve"> ((TablaMataSeca[[#This Row],[10kg]]*3.5) + (TablaMataSeca[[#This Row],[18kg]]*8)  + (TablaMataSeca[[#This Row],[27kg]]*11) + (TablaMataSeca[[#This Row],[43kg]]*17)) * DATOS!F2</f>
        <v>0</v>
      </c>
      <c r="L28" s="6" t="str">
        <f xml:space="preserve"> DATOS!A27</f>
        <v>25 10 2024</v>
      </c>
      <c r="M28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8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28" s="7">
        <f xml:space="preserve"> SUMIFS(Tabla1821[27kg],Tabla1821[fecha],TablaPinal[[#This Row],[fecha]],Tabla1821[punto],L1)</f>
        <v>0</v>
      </c>
      <c r="P28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8" s="8">
        <f xml:space="preserve"> SUMIFS(Tabla18[pm],Tabla18[fecha],TablaPinal[[#This Row],[fecha]],Tabla18[punto],L1)</f>
        <v>0</v>
      </c>
      <c r="R28" s="27">
        <f xml:space="preserve"> SUMIFS(Tabla18[efectivo],Tabla18[fecha],TablaPinal[[#This Row],[fecha]],Tabla18[punto],L1)</f>
        <v>0</v>
      </c>
      <c r="S28" s="8">
        <f xml:space="preserve"> SUMIFS(Tabla18[divisa],Tabla18[fecha],TablaPinal[[#This Row],[fecha]],Tabla18[punto],L1)</f>
        <v>0</v>
      </c>
      <c r="T28" s="8">
        <f>(TablaPinal[[#This Row],[pm]] + TablaPinal[[#This Row],[efectivo]] + (TablaPinal[[#This Row],[divisa]]*DATOS!F2) + (SUMIFS(Tabla1816[pm],Tabla1816[fecha],TablaPinal[[#This Row],[fecha]],Tabla1816[punto],L1)))</f>
        <v>0</v>
      </c>
      <c r="U28" s="9">
        <f xml:space="preserve"> ((TablaPinal[[#This Row],[10kg]]*3.5) + (TablaPinal[[#This Row],[18kg]]*8)  + (TablaPinal[[#This Row],[27kg]]*11) + (TablaPinal[[#This Row],[43kg]]*17)) * DATOS!F2</f>
        <v>0</v>
      </c>
      <c r="W28" s="10" t="s">
        <v>35</v>
      </c>
      <c r="X28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8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8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8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8" s="8">
        <f xml:space="preserve"> SUMIFS(Tabla18[pm],Tabla18[fecha],TablaCandelaria[[#This Row],[fecha]],Tabla18[punto],W1)</f>
        <v>0</v>
      </c>
      <c r="AC28" s="27">
        <f xml:space="preserve"> SUMIFS(Tabla18[efectivo],Tabla18[fecha],TablaCandelaria[[#This Row],[fecha]],Tabla18[punto],W1)</f>
        <v>0</v>
      </c>
      <c r="AD28" s="8">
        <f xml:space="preserve"> SUMIFS(Tabla18[divisa],Tabla18[fecha],TablaCandelaria[[#This Row],[fecha]],Tabla18[punto],W1)</f>
        <v>0</v>
      </c>
      <c r="AE28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8" s="9">
        <f xml:space="preserve"> ((TablaCandelaria[[#This Row],[10kg]]*3.5) + (TablaCandelaria[[#This Row],[18kg]]*7)  + (TablaCandelaria[[#This Row],[27kg]]*11) + (TablaCandelaria[[#This Row],[43kg]]*17)) * DATOS!F2</f>
        <v>0</v>
      </c>
      <c r="AH28" s="10" t="s">
        <v>35</v>
      </c>
      <c r="AI28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8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8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8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8" s="8">
        <f xml:space="preserve"> SUMIFS(Tabla18[pm],Tabla18[fecha],TablaCoromoto[[#This Row],[fecha]],Tabla18[punto],AH1)</f>
        <v>0</v>
      </c>
      <c r="AN28" s="27">
        <f xml:space="preserve"> SUMIFS(Tabla18[efectivo],Tabla18[fecha],TablaCoromoto[[#This Row],[fecha]],Tabla18[punto],AH1)</f>
        <v>0</v>
      </c>
      <c r="AO28" s="8">
        <f xml:space="preserve"> SUMIFS(Tabla18[divisa],Tabla18[fecha],TablaCoromoto[[#This Row],[fecha]],Tabla18[punto],AH1)</f>
        <v>0</v>
      </c>
      <c r="AP28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8" s="9">
        <f xml:space="preserve"> ((TablaCoromoto[[#This Row],[10kg]]*3.5) + (TablaCoromoto[[#This Row],[18kg]]*7)  + (TablaCoromoto[[#This Row],[27kg]]*11) + (TablaCoromoto[[#This Row],[43kg]]*17)) * DATOS!F2</f>
        <v>0</v>
      </c>
      <c r="AS28" s="10" t="s">
        <v>35</v>
      </c>
      <c r="AT28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8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8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8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8" s="8">
        <f xml:space="preserve"> SUMIFS(Tabla18[pm],Tabla18[fecha],TablaBarrioBolivar[[#This Row],[fecha]],Tabla18[punto],AS1)</f>
        <v>0</v>
      </c>
      <c r="AY28" s="27">
        <f xml:space="preserve"> SUMIFS(Tabla18[efectivo],Tabla18[fecha],TablaBarrioBolivar[[#This Row],[fecha]],Tabla18[punto],AS1)</f>
        <v>0</v>
      </c>
      <c r="AZ28" s="8">
        <f xml:space="preserve"> SUMIFS(Tabla18[divisa],Tabla18[fecha],TablaBarrioBolivar[[#This Row],[fecha]],Tabla18[punto],AS1)</f>
        <v>0</v>
      </c>
      <c r="BA28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8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29" spans="1:54" x14ac:dyDescent="0.25">
      <c r="A29" s="6" t="str">
        <f xml:space="preserve"> DATOS!A28</f>
        <v>26 10 2024</v>
      </c>
      <c r="B29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29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29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29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29" s="8">
        <f xml:space="preserve"> SUMIFS(Tabla18[pm],Tabla18[fecha],TablaMataSeca[[#This Row],[fecha]],Tabla18[punto],DATOS!C2)</f>
        <v>0</v>
      </c>
      <c r="G29" s="27">
        <f xml:space="preserve"> SUMIFS(Tabla18[efectivo],Tabla18[fecha],TablaMataSeca[[#This Row],[fecha]],Tabla18[punto],DATOS!C2)</f>
        <v>0</v>
      </c>
      <c r="H29" s="8">
        <f xml:space="preserve"> SUMIFS(Tabla18[divisa],Tabla18[fecha],TablaMataSeca[[#This Row],[fecha]],Tabla18[punto],DATOS!C2)</f>
        <v>0</v>
      </c>
      <c r="I29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29" s="9">
        <f xml:space="preserve"> ((TablaMataSeca[[#This Row],[10kg]]*3.5) + (TablaMataSeca[[#This Row],[18kg]]*8)  + (TablaMataSeca[[#This Row],[27kg]]*11) + (TablaMataSeca[[#This Row],[43kg]]*17)) * DATOS!F2</f>
        <v>0</v>
      </c>
      <c r="L29" s="6" t="str">
        <f xml:space="preserve"> DATOS!A28</f>
        <v>26 10 2024</v>
      </c>
      <c r="M29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29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29" s="7">
        <f xml:space="preserve"> SUMIFS(Tabla1821[27kg],Tabla1821[fecha],TablaPinal[[#This Row],[fecha]],Tabla1821[punto],L1)</f>
        <v>0</v>
      </c>
      <c r="P29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29" s="8">
        <f xml:space="preserve"> SUMIFS(Tabla18[pm],Tabla18[fecha],TablaPinal[[#This Row],[fecha]],Tabla18[punto],L1)</f>
        <v>0</v>
      </c>
      <c r="R29" s="27">
        <f xml:space="preserve"> SUMIFS(Tabla18[efectivo],Tabla18[fecha],TablaPinal[[#This Row],[fecha]],Tabla18[punto],L1)</f>
        <v>0</v>
      </c>
      <c r="S29" s="8">
        <f xml:space="preserve"> SUMIFS(Tabla18[divisa],Tabla18[fecha],TablaPinal[[#This Row],[fecha]],Tabla18[punto],L1)</f>
        <v>0</v>
      </c>
      <c r="T29" s="8">
        <f>(TablaPinal[[#This Row],[pm]] + TablaPinal[[#This Row],[efectivo]] + (TablaPinal[[#This Row],[divisa]]*DATOS!F2) + (SUMIFS(Tabla1816[pm],Tabla1816[fecha],TablaPinal[[#This Row],[fecha]],Tabla1816[punto],L1)))</f>
        <v>0</v>
      </c>
      <c r="U29" s="9">
        <f xml:space="preserve"> ((TablaPinal[[#This Row],[10kg]]*3.5) + (TablaPinal[[#This Row],[18kg]]*8)  + (TablaPinal[[#This Row],[27kg]]*11) + (TablaPinal[[#This Row],[43kg]]*17)) * DATOS!F2</f>
        <v>0</v>
      </c>
      <c r="W29" s="10" t="s">
        <v>36</v>
      </c>
      <c r="X29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29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29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29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29" s="8">
        <f xml:space="preserve"> SUMIFS(Tabla18[pm],Tabla18[fecha],TablaCandelaria[[#This Row],[fecha]],Tabla18[punto],W1)</f>
        <v>0</v>
      </c>
      <c r="AC29" s="27">
        <f xml:space="preserve"> SUMIFS(Tabla18[efectivo],Tabla18[fecha],TablaCandelaria[[#This Row],[fecha]],Tabla18[punto],W1)</f>
        <v>0</v>
      </c>
      <c r="AD29" s="8">
        <f xml:space="preserve"> SUMIFS(Tabla18[divisa],Tabla18[fecha],TablaCandelaria[[#This Row],[fecha]],Tabla18[punto],W1)</f>
        <v>0</v>
      </c>
      <c r="AE29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29" s="9">
        <f xml:space="preserve"> ((TablaCandelaria[[#This Row],[10kg]]*3.5) + (TablaCandelaria[[#This Row],[18kg]]*7)  + (TablaCandelaria[[#This Row],[27kg]]*11) + (TablaCandelaria[[#This Row],[43kg]]*17)) * DATOS!F2</f>
        <v>0</v>
      </c>
      <c r="AH29" s="10" t="s">
        <v>36</v>
      </c>
      <c r="AI29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29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29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29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29" s="8">
        <f xml:space="preserve"> SUMIFS(Tabla18[pm],Tabla18[fecha],TablaCoromoto[[#This Row],[fecha]],Tabla18[punto],AH1)</f>
        <v>0</v>
      </c>
      <c r="AN29" s="27">
        <f xml:space="preserve"> SUMIFS(Tabla18[efectivo],Tabla18[fecha],TablaCoromoto[[#This Row],[fecha]],Tabla18[punto],AH1)</f>
        <v>0</v>
      </c>
      <c r="AO29" s="8">
        <f xml:space="preserve"> SUMIFS(Tabla18[divisa],Tabla18[fecha],TablaCoromoto[[#This Row],[fecha]],Tabla18[punto],AH1)</f>
        <v>0</v>
      </c>
      <c r="AP29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29" s="9">
        <f xml:space="preserve"> ((TablaCoromoto[[#This Row],[10kg]]*3.5) + (TablaCoromoto[[#This Row],[18kg]]*7)  + (TablaCoromoto[[#This Row],[27kg]]*11) + (TablaCoromoto[[#This Row],[43kg]]*17)) * DATOS!F2</f>
        <v>0</v>
      </c>
      <c r="AS29" s="10" t="s">
        <v>36</v>
      </c>
      <c r="AT29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29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29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29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29" s="8">
        <f xml:space="preserve"> SUMIFS(Tabla18[pm],Tabla18[fecha],TablaBarrioBolivar[[#This Row],[fecha]],Tabla18[punto],AS1)</f>
        <v>0</v>
      </c>
      <c r="AY29" s="27">
        <f xml:space="preserve"> SUMIFS(Tabla18[efectivo],Tabla18[fecha],TablaBarrioBolivar[[#This Row],[fecha]],Tabla18[punto],AS1)</f>
        <v>0</v>
      </c>
      <c r="AZ29" s="8">
        <f xml:space="preserve"> SUMIFS(Tabla18[divisa],Tabla18[fecha],TablaBarrioBolivar[[#This Row],[fecha]],Tabla18[punto],AS1)</f>
        <v>0</v>
      </c>
      <c r="BA29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29" s="9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30" spans="1:54" x14ac:dyDescent="0.25">
      <c r="A30" s="12" t="str">
        <f xml:space="preserve"> DATOS!A29</f>
        <v>27 10 2024</v>
      </c>
      <c r="B30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30" s="13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30" s="13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30" s="13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30" s="8">
        <f xml:space="preserve"> SUMIFS(Tabla18[pm],Tabla18[fecha],TablaMataSeca[[#This Row],[fecha]],Tabla18[punto],DATOS!C2)</f>
        <v>0</v>
      </c>
      <c r="G30" s="27">
        <f xml:space="preserve"> SUMIFS(Tabla18[efectivo],Tabla18[fecha],TablaMataSeca[[#This Row],[fecha]],Tabla18[punto],DATOS!C2)</f>
        <v>0</v>
      </c>
      <c r="H30" s="8">
        <f xml:space="preserve"> SUMIFS(Tabla18[divisa],Tabla18[fecha],TablaMataSeca[[#This Row],[fecha]],Tabla18[punto],DATOS!C2)</f>
        <v>0</v>
      </c>
      <c r="I30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30" s="14">
        <f xml:space="preserve"> ((TablaMataSeca[[#This Row],[10kg]]*3.5) + (TablaMataSeca[[#This Row],[18kg]]*8)  + (TablaMataSeca[[#This Row],[27kg]]*11) + (TablaMataSeca[[#This Row],[43kg]]*17)) * DATOS!F2</f>
        <v>0</v>
      </c>
      <c r="L30" s="12" t="str">
        <f xml:space="preserve"> DATOS!A29</f>
        <v>27 10 2024</v>
      </c>
      <c r="M30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30" s="13">
        <f xml:space="preserve"> SUMIFS(Tabla1821[18kg],Tabla1821[fecha],TablaPinal[[#This Row],[fecha]],Tabla1821[punto],L1) -  SUMIFS(Tabla182115[18kg],Tabla182115[fecha],TablaPinal[[#This Row],[fecha]],Tabla182115[punto],L1)</f>
        <v>0</v>
      </c>
      <c r="O30" s="13">
        <f xml:space="preserve"> SUMIFS(Tabla1821[27kg],Tabla1821[fecha],TablaPinal[[#This Row],[fecha]],Tabla1821[punto],L1)</f>
        <v>0</v>
      </c>
      <c r="P30" s="13">
        <f xml:space="preserve"> SUMIFS(Tabla1821[43kg],Tabla1821[fecha],TablaPinal[[#This Row],[fecha]],Tabla1821[punto],L1) -  SUMIFS(Tabla182115[43kg],Tabla182115[fecha],TablaPinal[[#This Row],[fecha]],Tabla182115[punto],L1)</f>
        <v>0</v>
      </c>
      <c r="Q30" s="8">
        <f xml:space="preserve"> SUMIFS(Tabla18[pm],Tabla18[fecha],TablaPinal[[#This Row],[fecha]],Tabla18[punto],L1)</f>
        <v>0</v>
      </c>
      <c r="R30" s="27">
        <f xml:space="preserve"> SUMIFS(Tabla18[efectivo],Tabla18[fecha],TablaPinal[[#This Row],[fecha]],Tabla18[punto],L1)</f>
        <v>0</v>
      </c>
      <c r="S30" s="8">
        <f xml:space="preserve"> SUMIFS(Tabla18[divisa],Tabla18[fecha],TablaPinal[[#This Row],[fecha]],Tabla18[punto],L1)</f>
        <v>0</v>
      </c>
      <c r="T30" s="8">
        <f>(TablaPinal[[#This Row],[pm]] + TablaPinal[[#This Row],[efectivo]] + (TablaPinal[[#This Row],[divisa]]*DATOS!F2) + (SUMIFS(Tabla1816[pm],Tabla1816[fecha],TablaPinal[[#This Row],[fecha]],Tabla1816[punto],L1)))</f>
        <v>0</v>
      </c>
      <c r="U30" s="14">
        <f xml:space="preserve"> ((TablaPinal[[#This Row],[10kg]]*3.5) + (TablaPinal[[#This Row],[18kg]]*8)  + (TablaPinal[[#This Row],[27kg]]*11) + (TablaPinal[[#This Row],[43kg]]*17)) * DATOS!F2</f>
        <v>0</v>
      </c>
      <c r="W30" s="10" t="s">
        <v>37</v>
      </c>
      <c r="X30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30" s="13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30" s="13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30" s="13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30" s="8">
        <f xml:space="preserve"> SUMIFS(Tabla18[pm],Tabla18[fecha],TablaCandelaria[[#This Row],[fecha]],Tabla18[punto],W1)</f>
        <v>0</v>
      </c>
      <c r="AC30" s="27">
        <f xml:space="preserve"> SUMIFS(Tabla18[efectivo],Tabla18[fecha],TablaCandelaria[[#This Row],[fecha]],Tabla18[punto],W1)</f>
        <v>0</v>
      </c>
      <c r="AD30" s="8">
        <f xml:space="preserve"> SUMIFS(Tabla18[divisa],Tabla18[fecha],TablaCandelaria[[#This Row],[fecha]],Tabla18[punto],W1)</f>
        <v>0</v>
      </c>
      <c r="AE30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30" s="14">
        <f xml:space="preserve"> ((TablaCandelaria[[#This Row],[10kg]]*3.5) + (TablaCandelaria[[#This Row],[18kg]]*7)  + (TablaCandelaria[[#This Row],[27kg]]*11) + (TablaCandelaria[[#This Row],[43kg]]*17)) * DATOS!F2</f>
        <v>0</v>
      </c>
      <c r="AH30" s="10" t="s">
        <v>37</v>
      </c>
      <c r="AI30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30" s="13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30" s="13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30" s="13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30" s="8">
        <f xml:space="preserve"> SUMIFS(Tabla18[pm],Tabla18[fecha],TablaCoromoto[[#This Row],[fecha]],Tabla18[punto],AH1)</f>
        <v>0</v>
      </c>
      <c r="AN30" s="27">
        <f xml:space="preserve"> SUMIFS(Tabla18[efectivo],Tabla18[fecha],TablaCoromoto[[#This Row],[fecha]],Tabla18[punto],AH1)</f>
        <v>0</v>
      </c>
      <c r="AO30" s="8">
        <f xml:space="preserve"> SUMIFS(Tabla18[divisa],Tabla18[fecha],TablaCoromoto[[#This Row],[fecha]],Tabla18[punto],AH1)</f>
        <v>0</v>
      </c>
      <c r="AP30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30" s="14">
        <f xml:space="preserve"> ((TablaCoromoto[[#This Row],[10kg]]*3.5) + (TablaCoromoto[[#This Row],[18kg]]*7)  + (TablaCoromoto[[#This Row],[27kg]]*11) + (TablaCoromoto[[#This Row],[43kg]]*17)) * DATOS!F2</f>
        <v>0</v>
      </c>
      <c r="AS30" s="10" t="s">
        <v>37</v>
      </c>
      <c r="AT30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30" s="13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30" s="13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30" s="13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30" s="8">
        <f xml:space="preserve"> SUMIFS(Tabla18[pm],Tabla18[fecha],TablaBarrioBolivar[[#This Row],[fecha]],Tabla18[punto],AS1)</f>
        <v>0</v>
      </c>
      <c r="AY30" s="27">
        <f xml:space="preserve"> SUMIFS(Tabla18[efectivo],Tabla18[fecha],TablaBarrioBolivar[[#This Row],[fecha]],Tabla18[punto],AS1)</f>
        <v>0</v>
      </c>
      <c r="AZ30" s="8">
        <f xml:space="preserve"> SUMIFS(Tabla18[divisa],Tabla18[fecha],TablaBarrioBolivar[[#This Row],[fecha]],Tabla18[punto],AS1)</f>
        <v>0</v>
      </c>
      <c r="BA30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30" s="14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31" spans="1:54" x14ac:dyDescent="0.25">
      <c r="A31" s="12" t="str">
        <f xml:space="preserve"> DATOS!A30</f>
        <v>28 10 2024</v>
      </c>
      <c r="B31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31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31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31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31" s="8">
        <f xml:space="preserve"> SUMIFS(Tabla18[pm],Tabla18[fecha],TablaMataSeca[[#This Row],[fecha]],Tabla18[punto],DATOS!C2)</f>
        <v>0</v>
      </c>
      <c r="G31" s="28">
        <f xml:space="preserve"> SUMIFS(Tabla18[efectivo],Tabla18[fecha],TablaMataSeca[[#This Row],[fecha]],Tabla18[punto],DATOS!C2)</f>
        <v>0</v>
      </c>
      <c r="H31" s="8">
        <f xml:space="preserve"> SUMIFS(Tabla18[divisa],Tabla18[fecha],TablaMataSeca[[#This Row],[fecha]],Tabla18[punto],DATOS!C2)</f>
        <v>0</v>
      </c>
      <c r="I31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31" s="15">
        <f xml:space="preserve"> ((TablaMataSeca[[#This Row],[10kg]]*3.5) + (TablaMataSeca[[#This Row],[18kg]]*8)  + (TablaMataSeca[[#This Row],[27kg]]*11) + (TablaMataSeca[[#This Row],[43kg]]*17)) * DATOS!F2</f>
        <v>0</v>
      </c>
      <c r="L31" s="12" t="str">
        <f xml:space="preserve"> DATOS!A30</f>
        <v>28 10 2024</v>
      </c>
      <c r="M31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31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31" s="7">
        <f xml:space="preserve"> SUMIFS(Tabla1821[27kg],Tabla1821[fecha],TablaPinal[[#This Row],[fecha]],Tabla1821[punto],L1)</f>
        <v>0</v>
      </c>
      <c r="P31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31" s="8">
        <f xml:space="preserve"> SUMIFS(Tabla18[pm],Tabla18[fecha],TablaPinal[[#This Row],[fecha]],Tabla18[punto],L1)</f>
        <v>0</v>
      </c>
      <c r="R31" s="28">
        <f xml:space="preserve"> SUMIFS(Tabla18[efectivo],Tabla18[fecha],TablaPinal[[#This Row],[fecha]],Tabla18[punto],L1)</f>
        <v>0</v>
      </c>
      <c r="S31" s="8">
        <f xml:space="preserve"> SUMIFS(Tabla18[divisa],Tabla18[fecha],TablaPinal[[#This Row],[fecha]],Tabla18[punto],L1)</f>
        <v>0</v>
      </c>
      <c r="T31" s="8">
        <f>(TablaPinal[[#This Row],[pm]] + TablaPinal[[#This Row],[efectivo]] + (TablaPinal[[#This Row],[divisa]]*DATOS!F2) + (SUMIFS(Tabla1816[pm],Tabla1816[fecha],TablaPinal[[#This Row],[fecha]],Tabla1816[punto],L1)))</f>
        <v>0</v>
      </c>
      <c r="U31" s="15">
        <f xml:space="preserve"> ((TablaPinal[[#This Row],[10kg]]*3.5) + (TablaPinal[[#This Row],[18kg]]*8)  + (TablaPinal[[#This Row],[27kg]]*11) + (TablaPinal[[#This Row],[43kg]]*17)) * DATOS!F2</f>
        <v>0</v>
      </c>
      <c r="W31" s="10" t="s">
        <v>38</v>
      </c>
      <c r="X31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31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31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31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31" s="8">
        <f xml:space="preserve"> SUMIFS(Tabla18[pm],Tabla18[fecha],TablaCandelaria[[#This Row],[fecha]],Tabla18[punto],W1)</f>
        <v>0</v>
      </c>
      <c r="AC31" s="28">
        <f xml:space="preserve"> SUMIFS(Tabla18[efectivo],Tabla18[fecha],TablaCandelaria[[#This Row],[fecha]],Tabla18[punto],W1)</f>
        <v>0</v>
      </c>
      <c r="AD31" s="8">
        <f xml:space="preserve"> SUMIFS(Tabla18[divisa],Tabla18[fecha],TablaCandelaria[[#This Row],[fecha]],Tabla18[punto],W1)</f>
        <v>0</v>
      </c>
      <c r="AE31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31" s="15">
        <f xml:space="preserve"> ((TablaCandelaria[[#This Row],[10kg]]*3.5) + (TablaCandelaria[[#This Row],[18kg]]*7)  + (TablaCandelaria[[#This Row],[27kg]]*11) + (TablaCandelaria[[#This Row],[43kg]]*17)) * DATOS!F2</f>
        <v>0</v>
      </c>
      <c r="AH31" s="10" t="s">
        <v>38</v>
      </c>
      <c r="AI31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31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31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31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31" s="8">
        <f xml:space="preserve"> SUMIFS(Tabla18[pm],Tabla18[fecha],TablaCoromoto[[#This Row],[fecha]],Tabla18[punto],AH1)</f>
        <v>0</v>
      </c>
      <c r="AN31" s="28">
        <f xml:space="preserve"> SUMIFS(Tabla18[efectivo],Tabla18[fecha],TablaCoromoto[[#This Row],[fecha]],Tabla18[punto],AH1)</f>
        <v>0</v>
      </c>
      <c r="AO31" s="8">
        <f xml:space="preserve"> SUMIFS(Tabla18[divisa],Tabla18[fecha],TablaCoromoto[[#This Row],[fecha]],Tabla18[punto],AH1)</f>
        <v>0</v>
      </c>
      <c r="AP31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31" s="15">
        <f xml:space="preserve"> ((TablaCoromoto[[#This Row],[10kg]]*3.5) + (TablaCoromoto[[#This Row],[18kg]]*7)  + (TablaCoromoto[[#This Row],[27kg]]*11) + (TablaCoromoto[[#This Row],[43kg]]*17)) * DATOS!F2</f>
        <v>0</v>
      </c>
      <c r="AS31" s="10" t="s">
        <v>38</v>
      </c>
      <c r="AT31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31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31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31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31" s="8">
        <f xml:space="preserve"> SUMIFS(Tabla18[pm],Tabla18[fecha],TablaBarrioBolivar[[#This Row],[fecha]],Tabla18[punto],AS1)</f>
        <v>0</v>
      </c>
      <c r="AY31" s="28">
        <f xml:space="preserve"> SUMIFS(Tabla18[efectivo],Tabla18[fecha],TablaBarrioBolivar[[#This Row],[fecha]],Tabla18[punto],AS1)</f>
        <v>0</v>
      </c>
      <c r="AZ31" s="8">
        <f xml:space="preserve"> SUMIFS(Tabla18[divisa],Tabla18[fecha],TablaBarrioBolivar[[#This Row],[fecha]],Tabla18[punto],AS1)</f>
        <v>0</v>
      </c>
      <c r="BA31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31" s="15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32" spans="1:54" x14ac:dyDescent="0.25">
      <c r="A32" s="12" t="str">
        <f xml:space="preserve"> DATOS!A31</f>
        <v>29 10 2024</v>
      </c>
      <c r="B32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32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32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32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32" s="8">
        <f xml:space="preserve"> SUMIFS(Tabla18[pm],Tabla18[fecha],TablaMataSeca[[#This Row],[fecha]],Tabla18[punto],DATOS!C2)</f>
        <v>0</v>
      </c>
      <c r="G32" s="28">
        <f xml:space="preserve"> SUMIFS(Tabla18[efectivo],Tabla18[fecha],TablaMataSeca[[#This Row],[fecha]],Tabla18[punto],DATOS!C2)</f>
        <v>0</v>
      </c>
      <c r="H32" s="8">
        <f xml:space="preserve"> SUMIFS(Tabla18[divisa],Tabla18[fecha],TablaMataSeca[[#This Row],[fecha]],Tabla18[punto],DATOS!C2)</f>
        <v>0</v>
      </c>
      <c r="I32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32" s="15">
        <f xml:space="preserve"> ((TablaMataSeca[[#This Row],[10kg]]*3.5) + (TablaMataSeca[[#This Row],[18kg]]*8)  + (TablaMataSeca[[#This Row],[27kg]]*11) + (TablaMataSeca[[#This Row],[43kg]]*17)) * DATOS!F2</f>
        <v>0</v>
      </c>
      <c r="L32" s="12" t="str">
        <f xml:space="preserve"> DATOS!A31</f>
        <v>29 10 2024</v>
      </c>
      <c r="M32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32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32" s="7">
        <f xml:space="preserve"> SUMIFS(Tabla1821[27kg],Tabla1821[fecha],TablaPinal[[#This Row],[fecha]],Tabla1821[punto],L1)</f>
        <v>0</v>
      </c>
      <c r="P32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32" s="8">
        <f xml:space="preserve"> SUMIFS(Tabla18[pm],Tabla18[fecha],TablaPinal[[#This Row],[fecha]],Tabla18[punto],L1)</f>
        <v>0</v>
      </c>
      <c r="R32" s="28">
        <f xml:space="preserve"> SUMIFS(Tabla18[efectivo],Tabla18[fecha],TablaPinal[[#This Row],[fecha]],Tabla18[punto],L1)</f>
        <v>0</v>
      </c>
      <c r="S32" s="8">
        <f xml:space="preserve"> SUMIFS(Tabla18[divisa],Tabla18[fecha],TablaPinal[[#This Row],[fecha]],Tabla18[punto],L1)</f>
        <v>0</v>
      </c>
      <c r="T32" s="8">
        <f>(TablaPinal[[#This Row],[pm]] + TablaPinal[[#This Row],[efectivo]] + (TablaPinal[[#This Row],[divisa]]*DATOS!F2) + (SUMIFS(Tabla1816[pm],Tabla1816[fecha],TablaPinal[[#This Row],[fecha]],Tabla1816[punto],L1)))</f>
        <v>0</v>
      </c>
      <c r="U32" s="15">
        <f xml:space="preserve"> ((TablaPinal[[#This Row],[10kg]]*3.5) + (TablaPinal[[#This Row],[18kg]]*8)  + (TablaPinal[[#This Row],[27kg]]*11) + (TablaPinal[[#This Row],[43kg]]*17)) * DATOS!F2</f>
        <v>0</v>
      </c>
      <c r="W32" s="10" t="s">
        <v>39</v>
      </c>
      <c r="X32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32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32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32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32" s="8">
        <f xml:space="preserve"> SUMIFS(Tabla18[pm],Tabla18[fecha],TablaCandelaria[[#This Row],[fecha]],Tabla18[punto],W1)</f>
        <v>0</v>
      </c>
      <c r="AC32" s="28">
        <f xml:space="preserve"> SUMIFS(Tabla18[efectivo],Tabla18[fecha],TablaCandelaria[[#This Row],[fecha]],Tabla18[punto],W1)</f>
        <v>0</v>
      </c>
      <c r="AD32" s="8">
        <f xml:space="preserve"> SUMIFS(Tabla18[divisa],Tabla18[fecha],TablaCandelaria[[#This Row],[fecha]],Tabla18[punto],W1)</f>
        <v>0</v>
      </c>
      <c r="AE32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32" s="15">
        <f xml:space="preserve"> ((TablaCandelaria[[#This Row],[10kg]]*3.5) + (TablaCandelaria[[#This Row],[18kg]]*7)  + (TablaCandelaria[[#This Row],[27kg]]*11) + (TablaCandelaria[[#This Row],[43kg]]*17)) * DATOS!F2</f>
        <v>0</v>
      </c>
      <c r="AH32" s="10" t="s">
        <v>39</v>
      </c>
      <c r="AI32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32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32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32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32" s="8">
        <f xml:space="preserve"> SUMIFS(Tabla18[pm],Tabla18[fecha],TablaCoromoto[[#This Row],[fecha]],Tabla18[punto],AH1)</f>
        <v>0</v>
      </c>
      <c r="AN32" s="28">
        <f xml:space="preserve"> SUMIFS(Tabla18[efectivo],Tabla18[fecha],TablaCoromoto[[#This Row],[fecha]],Tabla18[punto],AH1)</f>
        <v>0</v>
      </c>
      <c r="AO32" s="8">
        <f xml:space="preserve"> SUMIFS(Tabla18[divisa],Tabla18[fecha],TablaCoromoto[[#This Row],[fecha]],Tabla18[punto],AH1)</f>
        <v>0</v>
      </c>
      <c r="AP32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32" s="15">
        <f xml:space="preserve"> ((TablaCoromoto[[#This Row],[10kg]]*3.5) + (TablaCoromoto[[#This Row],[18kg]]*7)  + (TablaCoromoto[[#This Row],[27kg]]*11) + (TablaCoromoto[[#This Row],[43kg]]*17)) * DATOS!F2</f>
        <v>0</v>
      </c>
      <c r="AS32" s="10" t="s">
        <v>39</v>
      </c>
      <c r="AT32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32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32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32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32" s="8">
        <f xml:space="preserve"> SUMIFS(Tabla18[pm],Tabla18[fecha],TablaBarrioBolivar[[#This Row],[fecha]],Tabla18[punto],AS1)</f>
        <v>0</v>
      </c>
      <c r="AY32" s="28">
        <f xml:space="preserve"> SUMIFS(Tabla18[efectivo],Tabla18[fecha],TablaBarrioBolivar[[#This Row],[fecha]],Tabla18[punto],AS1)</f>
        <v>0</v>
      </c>
      <c r="AZ32" s="8">
        <f xml:space="preserve"> SUMIFS(Tabla18[divisa],Tabla18[fecha],TablaBarrioBolivar[[#This Row],[fecha]],Tabla18[punto],AS1)</f>
        <v>0</v>
      </c>
      <c r="BA32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32" s="15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33" spans="1:55" x14ac:dyDescent="0.25">
      <c r="A33" s="12" t="str">
        <f xml:space="preserve"> DATOS!A32</f>
        <v>30 10 2024</v>
      </c>
      <c r="B33" s="7">
        <f xml:space="preserve"> SUMIFS(Tabla1821[10kg],Tabla1821[fecha],TablaMataSeca[[#This Row],[fecha]],Tabla1821[punto],A1) -  SUMIFS(Tabla182115[10kg],Tabla182115[fecha],TablaMataSeca[[#This Row],[fecha]],Tabla182115[punto],A1)</f>
        <v>0</v>
      </c>
      <c r="C33" s="7">
        <f xml:space="preserve"> SUMIFS(Tabla1821[18kg],Tabla1821[fecha],TablaMataSeca[[#This Row],[fecha]],Tabla1821[punto],A1) -  SUMIFS(Tabla182115[18kg],Tabla182115[fecha],TablaMataSeca[[#This Row],[fecha]],Tabla182115[punto],A1)</f>
        <v>0</v>
      </c>
      <c r="D33" s="7">
        <f xml:space="preserve"> SUMIFS(Tabla1821[27kg],Tabla1821[fecha],TablaMataSeca[[#This Row],[fecha]],Tabla1821[punto],A1) -  SUMIFS(Tabla182115[27kg],Tabla182115[fecha],TablaMataSeca[[#This Row],[fecha]],Tabla182115[punto],A1)</f>
        <v>0</v>
      </c>
      <c r="E33" s="7">
        <f xml:space="preserve"> SUMIFS(Tabla1821[43kg],Tabla1821[fecha],TablaMataSeca[[#This Row],[fecha]],Tabla1821[punto],A1) -  SUMIFS(Tabla182115[43kg],Tabla182115[fecha],TablaMataSeca[[#This Row],[fecha]],Tabla182115[punto],A1)</f>
        <v>0</v>
      </c>
      <c r="F33" s="8">
        <f xml:space="preserve"> SUMIFS(Tabla18[pm],Tabla18[fecha],TablaMataSeca[[#This Row],[fecha]],Tabla18[punto],DATOS!C2)</f>
        <v>0</v>
      </c>
      <c r="G33" s="28">
        <f xml:space="preserve"> SUMIFS(Tabla18[efectivo],Tabla18[fecha],TablaMataSeca[[#This Row],[fecha]],Tabla18[punto],DATOS!C2)</f>
        <v>0</v>
      </c>
      <c r="H33" s="8">
        <f xml:space="preserve"> SUMIFS(Tabla18[divisa],Tabla18[fecha],TablaMataSeca[[#This Row],[fecha]],Tabla18[punto],DATOS!C2)</f>
        <v>0</v>
      </c>
      <c r="I33" s="8">
        <f>(TablaMataSeca[[#This Row],[pm]] + TablaMataSeca[[#This Row],[efectivo]] + (TablaMataSeca[[#This Row],[divisa]]*DATOS!F2) + (SUMIFS(Tabla1816[pm],Tabla1816[fecha],TablaMataSeca[[#This Row],[fecha]],Tabla1816[punto],A1)))</f>
        <v>0</v>
      </c>
      <c r="J33" s="15">
        <f xml:space="preserve"> ((TablaMataSeca[[#This Row],[10kg]]*3.5) + (TablaMataSeca[[#This Row],[18kg]]*8)  + (TablaMataSeca[[#This Row],[27kg]]*11) + (TablaMataSeca[[#This Row],[43kg]]*17)) * DATOS!F2</f>
        <v>0</v>
      </c>
      <c r="L33" s="12" t="str">
        <f xml:space="preserve"> DATOS!A32</f>
        <v>30 10 2024</v>
      </c>
      <c r="M33" s="7">
        <f xml:space="preserve"> SUMIFS(Tabla1821[10kg],Tabla1821[fecha],TablaPinal[[#This Row],[fecha]],Tabla1821[punto],L1) -  SUMIFS(Tabla182115[10kg],Tabla182115[fecha],TablaPinal[[#This Row],[fecha]],Tabla182115[punto],L1)</f>
        <v>0</v>
      </c>
      <c r="N33" s="7">
        <f xml:space="preserve"> SUMIFS(Tabla1821[18kg],Tabla1821[fecha],TablaPinal[[#This Row],[fecha]],Tabla1821[punto],L1) -  SUMIFS(Tabla182115[18kg],Tabla182115[fecha],TablaPinal[[#This Row],[fecha]],Tabla182115[punto],L1)</f>
        <v>0</v>
      </c>
      <c r="O33" s="7">
        <f xml:space="preserve"> SUMIFS(Tabla1821[27kg],Tabla1821[fecha],TablaPinal[[#This Row],[fecha]],Tabla1821[punto],L1)</f>
        <v>0</v>
      </c>
      <c r="P33" s="7">
        <f xml:space="preserve"> SUMIFS(Tabla1821[43kg],Tabla1821[fecha],TablaPinal[[#This Row],[fecha]],Tabla1821[punto],L1) -  SUMIFS(Tabla182115[43kg],Tabla182115[fecha],TablaPinal[[#This Row],[fecha]],Tabla182115[punto],L1)</f>
        <v>0</v>
      </c>
      <c r="Q33" s="8">
        <f xml:space="preserve"> SUMIFS(Tabla18[pm],Tabla18[fecha],TablaPinal[[#This Row],[fecha]],Tabla18[punto],L1)</f>
        <v>0</v>
      </c>
      <c r="R33" s="28">
        <f xml:space="preserve"> SUMIFS(Tabla18[efectivo],Tabla18[fecha],TablaPinal[[#This Row],[fecha]],Tabla18[punto],L1)</f>
        <v>0</v>
      </c>
      <c r="S33" s="8">
        <f xml:space="preserve"> SUMIFS(Tabla18[divisa],Tabla18[fecha],TablaPinal[[#This Row],[fecha]],Tabla18[punto],L1)</f>
        <v>0</v>
      </c>
      <c r="T33" s="8">
        <f>(TablaPinal[[#This Row],[pm]] + TablaPinal[[#This Row],[efectivo]] + (TablaPinal[[#This Row],[divisa]]*DATOS!F2) + (SUMIFS(Tabla1816[pm],Tabla1816[fecha],TablaPinal[[#This Row],[fecha]],Tabla1816[punto],L1)))</f>
        <v>0</v>
      </c>
      <c r="U33" s="15">
        <f xml:space="preserve"> ((TablaPinal[[#This Row],[10kg]]*3.5) + (TablaPinal[[#This Row],[18kg]]*8)  + (TablaPinal[[#This Row],[27kg]]*11) + (TablaPinal[[#This Row],[43kg]]*17)) * DATOS!F2</f>
        <v>0</v>
      </c>
      <c r="W33" s="10" t="s">
        <v>40</v>
      </c>
      <c r="X33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33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33" s="7">
        <f xml:space="preserve"> SUMIFS(Tabla1821[27kg],Tabla1821[fecha],TablaCandelaria[[#This Row],[fecha]],Tabla1821[punto],W1) -  SUMIFS(Tabla182115[27kg],Tabla182115[fecha],TablaCandelaria[[#This Row],[fecha]],Tabla182115[punto],W1)</f>
        <v>0</v>
      </c>
      <c r="AA33" s="7">
        <f xml:space="preserve"> SUMIFS(Tabla1821[43kg],Tabla1821[fecha],TablaCandelaria[[#This Row],[fecha]],Tabla1821[punto],W1) -  SUMIFS(Tabla182115[43kg],Tabla182115[fecha],TablaCandelaria[[#This Row],[fecha]],Tabla182115[punto],W1)</f>
        <v>0</v>
      </c>
      <c r="AB33" s="8">
        <f xml:space="preserve"> SUMIFS(Tabla18[pm],Tabla18[fecha],TablaCandelaria[[#This Row],[fecha]],Tabla18[punto],W1)</f>
        <v>0</v>
      </c>
      <c r="AC33" s="28">
        <f xml:space="preserve"> SUMIFS(Tabla18[efectivo],Tabla18[fecha],TablaCandelaria[[#This Row],[fecha]],Tabla18[punto],W1)</f>
        <v>0</v>
      </c>
      <c r="AD33" s="8">
        <f xml:space="preserve"> SUMIFS(Tabla18[divisa],Tabla18[fecha],TablaCandelaria[[#This Row],[fecha]],Tabla18[punto],W1)</f>
        <v>0</v>
      </c>
      <c r="AE33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33" s="15">
        <f xml:space="preserve"> ((TablaCandelaria[[#This Row],[10kg]]*3.5) + (TablaCandelaria[[#This Row],[18kg]]*7)  + (TablaCandelaria[[#This Row],[27kg]]*11) + (TablaCandelaria[[#This Row],[43kg]]*17)) * DATOS!F2</f>
        <v>0</v>
      </c>
      <c r="AH33" s="10" t="s">
        <v>40</v>
      </c>
      <c r="AI33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33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33" s="7">
        <f xml:space="preserve"> SUMIFS(Tabla1821[27kg],Tabla1821[fecha],TablaCoromoto[[#This Row],[fecha]],Tabla1821[punto],AH1) -  SUMIFS(Tabla182115[27kg],Tabla182115[fecha],TablaCoromoto[[#This Row],[fecha]],Tabla182115[punto],AH1)</f>
        <v>0</v>
      </c>
      <c r="AL33" s="7">
        <f xml:space="preserve"> SUMIFS(Tabla1821[43kg],Tabla1821[fecha],TablaCoromoto[[#This Row],[fecha]],Tabla1821[punto],AH1) -  SUMIFS(Tabla182115[43kg],Tabla182115[fecha],TablaCoromoto[[#This Row],[fecha]],Tabla182115[punto],AH1)</f>
        <v>0</v>
      </c>
      <c r="AM33" s="8">
        <f xml:space="preserve"> SUMIFS(Tabla18[pm],Tabla18[fecha],TablaCoromoto[[#This Row],[fecha]],Tabla18[punto],AH1)</f>
        <v>0</v>
      </c>
      <c r="AN33" s="28">
        <f xml:space="preserve"> SUMIFS(Tabla18[efectivo],Tabla18[fecha],TablaCoromoto[[#This Row],[fecha]],Tabla18[punto],AH1)</f>
        <v>0</v>
      </c>
      <c r="AO33" s="8">
        <f xml:space="preserve"> SUMIFS(Tabla18[divisa],Tabla18[fecha],TablaCoromoto[[#This Row],[fecha]],Tabla18[punto],AH1)</f>
        <v>0</v>
      </c>
      <c r="AP33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33" s="15">
        <f xml:space="preserve"> ((TablaCoromoto[[#This Row],[10kg]]*3.5) + (TablaCoromoto[[#This Row],[18kg]]*7)  + (TablaCoromoto[[#This Row],[27kg]]*11) + (TablaCoromoto[[#This Row],[43kg]]*17)) * DATOS!F2</f>
        <v>0</v>
      </c>
      <c r="AS33" s="10" t="s">
        <v>40</v>
      </c>
      <c r="AT33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33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33" s="7">
        <f xml:space="preserve"> SUMIFS(Tabla1821[27kg],Tabla1821[fecha],TablaBarrioBolivar[[#This Row],[fecha]],Tabla1821[punto],AS1) -  SUMIFS(Tabla182115[27kg],Tabla182115[fecha],TablaBarrioBolivar[[#This Row],[fecha]],Tabla182115[punto],AS1)</f>
        <v>0</v>
      </c>
      <c r="AW33" s="7">
        <f xml:space="preserve"> SUMIFS(Tabla1821[43kg],Tabla1821[fecha],TablaBarrioBolivar[[#This Row],[fecha]],Tabla1821[punto],AS1) -  SUMIFS(Tabla182115[43kg],Tabla182115[fecha],TablaBarrioBolivar[[#This Row],[fecha]],Tabla182115[punto],AS1)</f>
        <v>0</v>
      </c>
      <c r="AX33" s="8">
        <f xml:space="preserve"> SUMIFS(Tabla18[pm],Tabla18[fecha],TablaBarrioBolivar[[#This Row],[fecha]],Tabla18[punto],AS1)</f>
        <v>0</v>
      </c>
      <c r="AY33" s="28">
        <f xml:space="preserve"> SUMIFS(Tabla18[efectivo],Tabla18[fecha],TablaBarrioBolivar[[#This Row],[fecha]],Tabla18[punto],AS1)</f>
        <v>0</v>
      </c>
      <c r="AZ33" s="8">
        <f xml:space="preserve"> SUMIFS(Tabla18[divisa],Tabla18[fecha],TablaBarrioBolivar[[#This Row],[fecha]],Tabla18[punto],AS1)</f>
        <v>0</v>
      </c>
      <c r="BA33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33" s="15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34" spans="1:55" x14ac:dyDescent="0.25">
      <c r="W34" s="10" t="s">
        <v>41</v>
      </c>
      <c r="X34" s="7">
        <f xml:space="preserve"> SUMIFS(Tabla1821[10kg],Tabla1821[fecha],TablaCandelaria[[#This Row],[fecha]],Tabla1821[punto],W1) -  SUMIFS(Tabla182115[10kg],Tabla182115[fecha],TablaCandelaria[[#This Row],[fecha]],Tabla182115[punto],W1)</f>
        <v>0</v>
      </c>
      <c r="Y34" s="7">
        <f xml:space="preserve"> SUMIFS(Tabla1821[18kg],Tabla1821[fecha],TablaCandelaria[[#This Row],[fecha]],Tabla1821[punto],W1) -  SUMIFS(Tabla182115[18kg],Tabla182115[fecha],TablaCandelaria[[#This Row],[fecha]],Tabla182115[punto],W1)</f>
        <v>0</v>
      </c>
      <c r="Z34" s="7">
        <f xml:space="preserve"> SUMIFS(Tabla1821[27kg],Tabla1821[fecha],TablaCandelaria[[#This Row],[fecha]],Tabla1821[punto],W2)</f>
        <v>0</v>
      </c>
      <c r="AA34" s="7">
        <f xml:space="preserve"> SUMIFS(Tabla1821[43kg],Tabla1821[fecha],TablaCandelaria[[#This Row],[fecha]],Tabla1821[punto],W2)</f>
        <v>0</v>
      </c>
      <c r="AB34" s="8">
        <f xml:space="preserve"> SUMIFS(Tabla18[pm],Tabla18[fecha],TablaCandelaria[[#This Row],[fecha]],Tabla18[punto],W2)</f>
        <v>0</v>
      </c>
      <c r="AC34" s="28">
        <f xml:space="preserve"> SUMIFS(Tabla18[efectivo],Tabla18[fecha],TablaCandelaria[[#This Row],[fecha]],Tabla18[punto],W1)</f>
        <v>0</v>
      </c>
      <c r="AD34" s="8">
        <f xml:space="preserve"> SUMIFS(Tabla18[divisa],Tabla18[fecha],TablaCandelaria[[#This Row],[fecha]],Tabla18[punto],W1)</f>
        <v>0</v>
      </c>
      <c r="AE34" s="8">
        <f>(TablaCandelaria[[#This Row],[pm]] + TablaCandelaria[[#This Row],[efectivo]] + (TablaCandelaria[[#This Row],[divisa]]*DATOS!F2) + (SUMIFS(Tabla1816[pm],Tabla1816[fecha],TablaCandelaria[[#This Row],[fecha]],Tabla1816[punto],W1)))</f>
        <v>0</v>
      </c>
      <c r="AF34" s="31">
        <f xml:space="preserve"> ((TablaCandelaria[[#This Row],[10kg]]*3.5) + (TablaCandelaria[[#This Row],[18kg]]*7)  + (TablaCandelaria[[#This Row],[27kg]]*11) + (TablaCandelaria[[#This Row],[43kg]]*17)) * DATOS!F2</f>
        <v>0</v>
      </c>
      <c r="AH34" s="10" t="s">
        <v>41</v>
      </c>
      <c r="AI34" s="7">
        <f xml:space="preserve"> SUMIFS(Tabla1821[10kg],Tabla1821[fecha],TablaCoromoto[[#This Row],[fecha]],Tabla1821[punto],AH1) -  SUMIFS(Tabla182115[10kg],Tabla182115[fecha],TablaCoromoto[[#This Row],[fecha]],Tabla182115[punto],AH1)</f>
        <v>0</v>
      </c>
      <c r="AJ34" s="7">
        <f xml:space="preserve"> SUMIFS(Tabla1821[18kg],Tabla1821[fecha],TablaCoromoto[[#This Row],[fecha]],Tabla1821[punto],AH1) -  SUMIFS(Tabla182115[18kg],Tabla182115[fecha],TablaCoromoto[[#This Row],[fecha]],Tabla182115[punto],AH1)</f>
        <v>0</v>
      </c>
      <c r="AK34" s="7">
        <f xml:space="preserve"> SUMIFS(Tabla1821[27kg],Tabla1821[fecha],TablaCoromoto[[#This Row],[fecha]],Tabla1821[punto],AH2)</f>
        <v>0</v>
      </c>
      <c r="AL34" s="7">
        <f xml:space="preserve"> SUMIFS(Tabla1821[43kg],Tabla1821[fecha],TablaCoromoto[[#This Row],[fecha]],Tabla1821[punto],AH2)</f>
        <v>0</v>
      </c>
      <c r="AM34" s="8">
        <f xml:space="preserve"> SUMIFS(Tabla18[pm],Tabla18[fecha],TablaCoromoto[[#This Row],[fecha]],Tabla18[punto],AH2)</f>
        <v>0</v>
      </c>
      <c r="AN34" s="28">
        <f xml:space="preserve"> SUMIFS(Tabla18[efectivo],Tabla18[fecha],TablaCoromoto[[#This Row],[fecha]],Tabla18[punto],AH1)</f>
        <v>0</v>
      </c>
      <c r="AO34" s="8">
        <f xml:space="preserve"> SUMIFS(Tabla18[divisa],Tabla18[fecha],TablaCoromoto[[#This Row],[fecha]],Tabla18[punto],AH1)</f>
        <v>0</v>
      </c>
      <c r="AP34" s="8">
        <f>(TablaCoromoto[[#This Row],[pm]] + TablaCoromoto[[#This Row],[efectivo]] + (TablaCoromoto[[#This Row],[divisa]]*DATOS!F2) + (SUMIFS(Tabla1816[pm],Tabla1816[fecha],TablaCoromoto[[#This Row],[fecha]],Tabla1816[punto],AH1)))</f>
        <v>0</v>
      </c>
      <c r="AQ34" s="31">
        <f xml:space="preserve"> ((TablaCoromoto[[#This Row],[10kg]]*3.5) + (TablaCoromoto[[#This Row],[18kg]]*7)  + (TablaCoromoto[[#This Row],[27kg]]*11) + (TablaCoromoto[[#This Row],[43kg]]*17)) * DATOS!F2</f>
        <v>0</v>
      </c>
      <c r="AS34" s="10" t="s">
        <v>41</v>
      </c>
      <c r="AT34" s="7">
        <f xml:space="preserve"> SUMIFS(Tabla1821[10kg],Tabla1821[fecha],TablaBarrioBolivar[[#This Row],[fecha]],Tabla1821[punto],AS1) -  SUMIFS(Tabla182115[10kg],Tabla182115[fecha],TablaBarrioBolivar[[#This Row],[fecha]],Tabla182115[punto],AS1)</f>
        <v>0</v>
      </c>
      <c r="AU34" s="7">
        <f xml:space="preserve"> SUMIFS(Tabla1821[18kg],Tabla1821[fecha],TablaBarrioBolivar[[#This Row],[fecha]],Tabla1821[punto],AS1) -  SUMIFS(Tabla182115[18kg],Tabla182115[fecha],TablaBarrioBolivar[[#This Row],[fecha]],Tabla182115[punto],AS1)</f>
        <v>0</v>
      </c>
      <c r="AV34" s="7">
        <f xml:space="preserve"> SUMIFS(Tabla1821[27kg],Tabla1821[fecha],TablaBarrioBolivar[[#This Row],[fecha]],Tabla1821[punto],AS2)</f>
        <v>0</v>
      </c>
      <c r="AW34" s="7">
        <f xml:space="preserve"> SUMIFS(Tabla1821[43kg],Tabla1821[fecha],TablaBarrioBolivar[[#This Row],[fecha]],Tabla1821[punto],AS2)</f>
        <v>0</v>
      </c>
      <c r="AX34" s="8">
        <f xml:space="preserve"> SUMIFS(Tabla18[pm],Tabla18[fecha],TablaBarrioBolivar[[#This Row],[fecha]],Tabla18[punto],AS2)</f>
        <v>0</v>
      </c>
      <c r="AY34" s="28">
        <f xml:space="preserve"> SUMIFS(Tabla18[efectivo],Tabla18[fecha],TablaBarrioBolivar[[#This Row],[fecha]],Tabla18[punto],AS1)</f>
        <v>0</v>
      </c>
      <c r="AZ34" s="8">
        <f xml:space="preserve"> SUMIFS(Tabla18[divisa],Tabla18[fecha],TablaBarrioBolivar[[#This Row],[fecha]],Tabla18[punto],AS1)</f>
        <v>0</v>
      </c>
      <c r="BA34" s="8">
        <f>(TablaBarrioBolivar[[#This Row],[pm]] + TablaBarrioBolivar[[#This Row],[efectivo]] + (TablaBarrioBolivar[[#This Row],[divisa]]*DATOS!F2) + (SUMIFS(Tabla1816[pm],Tabla1816[fecha],TablaBarrioBolivar[[#This Row],[fecha]],Tabla1816[punto],AS1)))</f>
        <v>0</v>
      </c>
      <c r="BB34" s="31">
        <f xml:space="preserve"> ((TablaBarrioBolivar[[#This Row],[10kg]]*3.5) + (TablaBarrioBolivar[[#This Row],[18kg]]*7)  + (TablaBarrioBolivar[[#This Row],[27kg]]*11) + (TablaBarrioBolivar[[#This Row],[43kg]]*17)) * DATOS!F2</f>
        <v>0</v>
      </c>
    </row>
    <row r="36" spans="1:55" ht="27" x14ac:dyDescent="0.25">
      <c r="A36" s="30" t="s">
        <v>51</v>
      </c>
      <c r="B36" s="30"/>
      <c r="C36" s="30"/>
      <c r="D36" s="30"/>
      <c r="E36" s="30"/>
      <c r="F36" s="30"/>
      <c r="G36" s="30"/>
      <c r="H36" s="30"/>
      <c r="I36" s="30"/>
      <c r="J36" s="30"/>
      <c r="L36" s="30" t="s">
        <v>52</v>
      </c>
      <c r="M36" s="30"/>
      <c r="N36" s="30"/>
      <c r="O36" s="30"/>
      <c r="P36" s="30"/>
      <c r="Q36" s="30"/>
      <c r="R36" s="30"/>
      <c r="S36" s="30"/>
      <c r="T36" s="30"/>
      <c r="U36" s="30"/>
      <c r="W36" s="30" t="s">
        <v>57</v>
      </c>
      <c r="X36" s="30"/>
      <c r="Y36" s="30"/>
      <c r="Z36" s="30"/>
      <c r="AA36" s="30"/>
      <c r="AB36" s="30"/>
      <c r="AC36" s="30"/>
      <c r="AD36" s="30"/>
      <c r="AE36" s="30"/>
      <c r="AF36" s="30"/>
      <c r="AH36" s="30" t="s">
        <v>49</v>
      </c>
      <c r="AI36" s="30"/>
      <c r="AJ36" s="30"/>
      <c r="AK36" s="30"/>
      <c r="AL36" s="30"/>
      <c r="AM36" s="30"/>
      <c r="AN36" s="30"/>
      <c r="AO36" s="30"/>
      <c r="AP36" s="30"/>
      <c r="AQ36" s="30"/>
      <c r="AS36" s="30" t="s">
        <v>58</v>
      </c>
      <c r="AT36" s="30"/>
      <c r="AU36" s="30"/>
      <c r="AV36" s="30"/>
      <c r="AW36" s="30"/>
      <c r="AX36" s="30"/>
      <c r="AY36" s="30"/>
      <c r="AZ36" s="30"/>
      <c r="BA36" s="30"/>
      <c r="BB36" s="30"/>
    </row>
    <row r="37" spans="1:55" x14ac:dyDescent="0.25">
      <c r="A37" s="1" t="s">
        <v>0</v>
      </c>
      <c r="B37" s="2" t="s">
        <v>1</v>
      </c>
      <c r="C37" s="2" t="s">
        <v>2</v>
      </c>
      <c r="D37" s="2" t="s">
        <v>3</v>
      </c>
      <c r="E37" s="2" t="s">
        <v>45</v>
      </c>
      <c r="F37" s="3" t="s">
        <v>4</v>
      </c>
      <c r="G37" s="4" t="s">
        <v>5</v>
      </c>
      <c r="H37" s="3" t="s">
        <v>6</v>
      </c>
      <c r="I37" s="3" t="s">
        <v>54</v>
      </c>
      <c r="J37" s="5" t="s">
        <v>7</v>
      </c>
      <c r="L37" s="1" t="s">
        <v>0</v>
      </c>
      <c r="M37" s="2" t="s">
        <v>1</v>
      </c>
      <c r="N37" s="2" t="s">
        <v>2</v>
      </c>
      <c r="O37" s="2" t="s">
        <v>3</v>
      </c>
      <c r="P37" s="2" t="s">
        <v>45</v>
      </c>
      <c r="Q37" s="3" t="s">
        <v>4</v>
      </c>
      <c r="R37" s="4" t="s">
        <v>5</v>
      </c>
      <c r="S37" s="3" t="s">
        <v>6</v>
      </c>
      <c r="T37" s="3" t="s">
        <v>54</v>
      </c>
      <c r="U37" s="5" t="s">
        <v>7</v>
      </c>
      <c r="W37" s="1" t="s">
        <v>0</v>
      </c>
      <c r="X37" s="2" t="s">
        <v>1</v>
      </c>
      <c r="Y37" s="2" t="s">
        <v>2</v>
      </c>
      <c r="Z37" s="2" t="s">
        <v>3</v>
      </c>
      <c r="AA37" s="2" t="s">
        <v>45</v>
      </c>
      <c r="AB37" s="3" t="s">
        <v>4</v>
      </c>
      <c r="AC37" s="4" t="s">
        <v>5</v>
      </c>
      <c r="AD37" s="3" t="s">
        <v>6</v>
      </c>
      <c r="AE37" s="3" t="s">
        <v>54</v>
      </c>
      <c r="AF37" s="5" t="s">
        <v>7</v>
      </c>
      <c r="AH37" s="1" t="s">
        <v>0</v>
      </c>
      <c r="AI37" s="2" t="s">
        <v>1</v>
      </c>
      <c r="AJ37" s="2" t="s">
        <v>2</v>
      </c>
      <c r="AK37" s="2" t="s">
        <v>3</v>
      </c>
      <c r="AL37" s="2" t="s">
        <v>45</v>
      </c>
      <c r="AM37" s="3" t="s">
        <v>4</v>
      </c>
      <c r="AN37" s="4" t="s">
        <v>5</v>
      </c>
      <c r="AO37" s="3" t="s">
        <v>6</v>
      </c>
      <c r="AP37" s="3" t="s">
        <v>54</v>
      </c>
      <c r="AQ37" s="5" t="s">
        <v>7</v>
      </c>
      <c r="AS37" s="1" t="s">
        <v>0</v>
      </c>
      <c r="AT37" s="2" t="s">
        <v>1</v>
      </c>
      <c r="AU37" s="2" t="s">
        <v>2</v>
      </c>
      <c r="AV37" s="2" t="s">
        <v>3</v>
      </c>
      <c r="AW37" s="2" t="s">
        <v>45</v>
      </c>
      <c r="AX37" s="3" t="s">
        <v>4</v>
      </c>
      <c r="AY37" s="4" t="s">
        <v>5</v>
      </c>
      <c r="AZ37" s="3" t="s">
        <v>6</v>
      </c>
      <c r="BA37" s="3" t="s">
        <v>54</v>
      </c>
      <c r="BB37" s="5" t="s">
        <v>7</v>
      </c>
      <c r="BC37" s="34" t="s">
        <v>44</v>
      </c>
    </row>
    <row r="38" spans="1:55" x14ac:dyDescent="0.25">
      <c r="A38" s="10" t="s">
        <v>10</v>
      </c>
      <c r="B38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38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38" s="8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38" s="8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38" s="8">
        <f xml:space="preserve"> SUMIFS(Tabla18[pm],Tabla18[fecha],TablaSector3[[#This Row],[fecha]],Tabla18[punto],A36)</f>
        <v>0</v>
      </c>
      <c r="G38" s="28">
        <f xml:space="preserve"> SUMIFS(Tabla18[efectivo],Tabla18[fecha],TablaSector3[[#This Row],[fecha]],Tabla18[punto],A36)</f>
        <v>0</v>
      </c>
      <c r="H38" s="8">
        <f xml:space="preserve"> SUMIFS(Tabla18[divisa],Tabla18[fecha],TablaSector3[[#This Row],[fecha]],Tabla18[punto],A36)</f>
        <v>0</v>
      </c>
      <c r="I38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38" s="9">
        <f xml:space="preserve"> ((TablaSector3[[#This Row],[10kg]]*3.5) + (TablaSector3[[#This Row],[18kg]]*7)  + (TablaSector3[[#This Row],[27kg]]*11) + (TablaSector3[[#This Row],[43kg]]*17)) * DATOS!F2</f>
        <v>0</v>
      </c>
      <c r="L38" s="10" t="s">
        <v>10</v>
      </c>
      <c r="M38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38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38" s="8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38" s="8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38" s="8">
        <f xml:space="preserve"> SUMIFS(Tabla18[pm],Tabla18[fecha],TablaSector9[[#This Row],[fecha]],Tabla18[punto],L36)</f>
        <v>0</v>
      </c>
      <c r="R38" s="28">
        <f xml:space="preserve"> SUMIFS(Tabla18[efectivo],Tabla18[fecha],TablaSector9[[#This Row],[fecha]],Tabla18[punto],L36)</f>
        <v>0</v>
      </c>
      <c r="S38" s="8">
        <f xml:space="preserve"> SUMIFS(Tabla18[divisa],Tabla18[fecha],TablaSector9[[#This Row],[fecha]],Tabla18[punto],L36)</f>
        <v>0</v>
      </c>
      <c r="T38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38" s="9">
        <f xml:space="preserve"> ((TablaSector9[[#This Row],[10kg]]*3.5) + (TablaSector9[[#This Row],[18kg]]*7)  + (TablaSector9[[#This Row],[27kg]]*11) + (TablaSector9[[#This Row],[43kg]]*17)) * DATOS!F2</f>
        <v>0</v>
      </c>
      <c r="W38" s="10" t="s">
        <v>10</v>
      </c>
      <c r="X38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38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38" s="8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38" s="8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38" s="8">
        <f xml:space="preserve"> SUMIFS(Tabla18[pm],Tabla18[fecha],TablaProgreso[[#This Row],[fecha]],Tabla18[punto],W36)</f>
        <v>0</v>
      </c>
      <c r="AC38" s="28">
        <f xml:space="preserve"> SUMIFS(Tabla18[efectivo],Tabla18[fecha],TablaProgreso[[#This Row],[fecha]],Tabla18[punto],W36)</f>
        <v>0</v>
      </c>
      <c r="AD38" s="8">
        <f xml:space="preserve"> SUMIFS(Tabla18[divisa],Tabla18[fecha],TablaProgreso[[#This Row],[fecha]],Tabla18[punto],W36)</f>
        <v>0</v>
      </c>
      <c r="AE38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38" s="9">
        <f xml:space="preserve"> ((TablaProgreso[[#This Row],[10kg]]*3.5) + (TablaProgreso[[#This Row],[18kg]]*7)  + (TablaProgreso[[#This Row],[27kg]]*11) + (TablaProgreso[[#This Row],[43kg]]*17)) * DATOS!F2</f>
        <v>0</v>
      </c>
      <c r="AH38" s="10" t="s">
        <v>10</v>
      </c>
      <c r="AI38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38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38" s="8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38" s="8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38" s="8">
        <f xml:space="preserve"> SUMIFS(Tabla18[pm],Tabla18[fecha],TablaCamion[[#This Row],[fecha]],Tabla18[punto],AH36)</f>
        <v>0</v>
      </c>
      <c r="AN38" s="28">
        <f xml:space="preserve"> SUMIFS(Tabla18[efectivo],Tabla18[fecha],TablaCamion[[#This Row],[fecha]],Tabla18[punto],AH36)</f>
        <v>0</v>
      </c>
      <c r="AO38" s="8">
        <f xml:space="preserve"> SUMIFS(Tabla18[divisa],Tabla18[fecha],TablaCamion[[#This Row],[fecha]],Tabla18[punto],AH36)</f>
        <v>0</v>
      </c>
      <c r="AP38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38" s="9">
        <f xml:space="preserve"> ((TablaCamion[[#This Row],[10kg]]*3.5) + (TablaCamion[[#This Row],[18kg]]*7)  + (TablaCamion[[#This Row],[27kg]]*11) + (TablaCamion[[#This Row],[43kg]]*17)) * DATOS!F2</f>
        <v>0</v>
      </c>
      <c r="AS38" s="10" t="s">
        <v>10</v>
      </c>
      <c r="AT38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38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38" s="8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38" s="8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38" s="8">
        <f xml:space="preserve"> SUMIFS(Tabla18[pm],Tabla18[fecha],TablaOtrosPuntos[[#This Row],[fecha]],Tabla18[punto],AS36)</f>
        <v>0</v>
      </c>
      <c r="AY38" s="28">
        <f xml:space="preserve"> SUMIFS(Tabla18[efectivo],Tabla18[fecha],TablaOtrosPuntos[[#This Row],[fecha]],Tabla18[punto],AS36)</f>
        <v>0</v>
      </c>
      <c r="AZ38" s="8">
        <f xml:space="preserve"> SUMIFS(Tabla18[divisa],Tabla18[fecha],TablaOtrosPuntos[[#This Row],[fecha]],Tabla18[punto],AS36)</f>
        <v>0</v>
      </c>
      <c r="BA38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38" s="9">
        <f xml:space="preserve"> ((TablaOtrosPuntos[[#This Row],[10kg]]*3.5) + (TablaOtrosPuntos[[#This Row],[18kg]]*7)  + (TablaOtrosPuntos[[#This Row],[27kg]]*11) + (TablaOtrosPuntos[[#This Row],[43kg]]*17)) * DATOS!F2</f>
        <v>0</v>
      </c>
      <c r="BC38" s="33"/>
    </row>
    <row r="39" spans="1:55" x14ac:dyDescent="0.25">
      <c r="A39" s="10" t="s">
        <v>11</v>
      </c>
      <c r="B39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39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39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39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39" s="7">
        <f xml:space="preserve"> SUMIFS(Tabla18[pm],Tabla18[fecha],TablaSector3[[#This Row],[fecha]],Tabla18[punto],A36)</f>
        <v>0</v>
      </c>
      <c r="G39" s="27">
        <f xml:space="preserve"> SUMIFS(Tabla18[efectivo],Tabla18[fecha],TablaSector3[[#This Row],[fecha]],Tabla18[punto],A36)</f>
        <v>0</v>
      </c>
      <c r="H39" s="8">
        <f xml:space="preserve"> SUMIFS(Tabla18[divisa],Tabla18[fecha],TablaSector3[[#This Row],[fecha]],Tabla18[punto],A36)</f>
        <v>0</v>
      </c>
      <c r="I39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39" s="9">
        <f xml:space="preserve"> ((TablaSector3[[#This Row],[10kg]]*3.5) + (TablaSector3[[#This Row],[18kg]]*7)  + (TablaSector3[[#This Row],[27kg]]*11) + (TablaSector3[[#This Row],[43kg]]*17)) * DATOS!F2</f>
        <v>0</v>
      </c>
      <c r="L39" s="10" t="s">
        <v>11</v>
      </c>
      <c r="M39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39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39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39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39" s="7">
        <f xml:space="preserve"> SUMIFS(Tabla18[pm],Tabla18[fecha],TablaSector9[[#This Row],[fecha]],Tabla18[punto],L36)</f>
        <v>0</v>
      </c>
      <c r="R39" s="27">
        <f xml:space="preserve"> SUMIFS(Tabla18[efectivo],Tabla18[fecha],TablaSector9[[#This Row],[fecha]],Tabla18[punto],L36)</f>
        <v>0</v>
      </c>
      <c r="S39" s="8">
        <f xml:space="preserve"> SUMIFS(Tabla18[divisa],Tabla18[fecha],TablaSector9[[#This Row],[fecha]],Tabla18[punto],L36)</f>
        <v>0</v>
      </c>
      <c r="T39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39" s="9">
        <f xml:space="preserve"> ((TablaSector9[[#This Row],[10kg]]*3.5) + (TablaSector9[[#This Row],[18kg]]*7)  + (TablaSector9[[#This Row],[27kg]]*11) + (TablaSector9[[#This Row],[43kg]]*17)) * DATOS!F2</f>
        <v>0</v>
      </c>
      <c r="W39" s="10" t="s">
        <v>11</v>
      </c>
      <c r="X39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39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39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39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39" s="7">
        <f xml:space="preserve"> SUMIFS(Tabla18[pm],Tabla18[fecha],TablaProgreso[[#This Row],[fecha]],Tabla18[punto],W36)</f>
        <v>0</v>
      </c>
      <c r="AC39" s="27">
        <f xml:space="preserve"> SUMIFS(Tabla18[efectivo],Tabla18[fecha],TablaProgreso[[#This Row],[fecha]],Tabla18[punto],W36)</f>
        <v>0</v>
      </c>
      <c r="AD39" s="8">
        <f xml:space="preserve"> SUMIFS(Tabla18[divisa],Tabla18[fecha],TablaProgreso[[#This Row],[fecha]],Tabla18[punto],W36)</f>
        <v>0</v>
      </c>
      <c r="AE39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39" s="9">
        <f xml:space="preserve"> ((TablaProgreso[[#This Row],[10kg]]*3.5) + (TablaProgreso[[#This Row],[18kg]]*7)  + (TablaProgreso[[#This Row],[27kg]]*11) + (TablaProgreso[[#This Row],[43kg]]*17)) * DATOS!F2</f>
        <v>0</v>
      </c>
      <c r="AH39" s="10" t="s">
        <v>11</v>
      </c>
      <c r="AI39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39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39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39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39" s="7">
        <f xml:space="preserve"> SUMIFS(Tabla18[pm],Tabla18[fecha],TablaCamion[[#This Row],[fecha]],Tabla18[punto],AH36)</f>
        <v>0</v>
      </c>
      <c r="AN39" s="27">
        <f xml:space="preserve"> SUMIFS(Tabla18[efectivo],Tabla18[fecha],TablaCamion[[#This Row],[fecha]],Tabla18[punto],AH36)</f>
        <v>0</v>
      </c>
      <c r="AO39" s="8">
        <f xml:space="preserve"> SUMIFS(Tabla18[divisa],Tabla18[fecha],TablaCamion[[#This Row],[fecha]],Tabla18[punto],AH36)</f>
        <v>0</v>
      </c>
      <c r="AP39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39" s="9">
        <f xml:space="preserve"> ((TablaCamion[[#This Row],[10kg]]*3.5) + (TablaCamion[[#This Row],[18kg]]*7)  + (TablaCamion[[#This Row],[27kg]]*11) + (TablaCamion[[#This Row],[43kg]]*17)) * DATOS!F2</f>
        <v>0</v>
      </c>
      <c r="AS39" s="10" t="s">
        <v>11</v>
      </c>
      <c r="AT39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39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39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39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39" s="7">
        <f xml:space="preserve"> SUMIFS(Tabla18[pm],Tabla18[fecha],TablaOtrosPuntos[[#This Row],[fecha]],Tabla18[punto],AS36)</f>
        <v>0</v>
      </c>
      <c r="AY39" s="27">
        <f xml:space="preserve"> SUMIFS(Tabla18[efectivo],Tabla18[fecha],TablaOtrosPuntos[[#This Row],[fecha]],Tabla18[punto],AS36)</f>
        <v>0</v>
      </c>
      <c r="AZ39" s="8">
        <f xml:space="preserve"> SUMIFS(Tabla18[divisa],Tabla18[fecha],TablaOtrosPuntos[[#This Row],[fecha]],Tabla18[punto],AS36)</f>
        <v>0</v>
      </c>
      <c r="BA39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39" s="9">
        <f xml:space="preserve"> ((TablaOtrosPuntos[[#This Row],[10kg]]*3.5) + (TablaOtrosPuntos[[#This Row],[18kg]]*7)  + (TablaOtrosPuntos[[#This Row],[27kg]]*11) + (TablaOtrosPuntos[[#This Row],[43kg]]*17)) * DATOS!F2</f>
        <v>0</v>
      </c>
      <c r="BC39" s="33"/>
    </row>
    <row r="40" spans="1:55" x14ac:dyDescent="0.25">
      <c r="A40" s="10" t="s">
        <v>12</v>
      </c>
      <c r="B40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40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40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0" s="8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0" s="8">
        <f xml:space="preserve"> SUMIFS(Tabla18[pm],Tabla18[fecha],TablaSector3[[#This Row],[fecha]],Tabla18[punto],A36)</f>
        <v>0</v>
      </c>
      <c r="G40" s="27">
        <f xml:space="preserve"> SUMIFS(Tabla18[efectivo],Tabla18[fecha],TablaSector3[[#This Row],[fecha]],Tabla18[punto],A36)</f>
        <v>0</v>
      </c>
      <c r="H40" s="8">
        <f xml:space="preserve"> SUMIFS(Tabla18[divisa],Tabla18[fecha],TablaSector3[[#This Row],[fecha]],Tabla18[punto],A36)</f>
        <v>0</v>
      </c>
      <c r="I40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0" s="9">
        <f xml:space="preserve"> ((TablaSector3[[#This Row],[10kg]]*3.5) + (TablaSector3[[#This Row],[18kg]]*7)  + (TablaSector3[[#This Row],[27kg]]*11) + (TablaSector3[[#This Row],[43kg]]*17)) * DATOS!F2</f>
        <v>0</v>
      </c>
      <c r="L40" s="10" t="s">
        <v>12</v>
      </c>
      <c r="M40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0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0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0" s="8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0" s="8">
        <f xml:space="preserve"> SUMIFS(Tabla18[pm],Tabla18[fecha],TablaSector9[[#This Row],[fecha]],Tabla18[punto],L36)</f>
        <v>0</v>
      </c>
      <c r="R40" s="27">
        <f xml:space="preserve"> SUMIFS(Tabla18[efectivo],Tabla18[fecha],TablaSector9[[#This Row],[fecha]],Tabla18[punto],L36)</f>
        <v>0</v>
      </c>
      <c r="S40" s="8">
        <f xml:space="preserve"> SUMIFS(Tabla18[divisa],Tabla18[fecha],TablaSector9[[#This Row],[fecha]],Tabla18[punto],L36)</f>
        <v>0</v>
      </c>
      <c r="T40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0" s="9">
        <f xml:space="preserve"> ((TablaSector9[[#This Row],[10kg]]*3.5) + (TablaSector9[[#This Row],[18kg]]*7)  + (TablaSector9[[#This Row],[27kg]]*11) + (TablaSector9[[#This Row],[43kg]]*17)) * DATOS!F2</f>
        <v>0</v>
      </c>
      <c r="W40" s="10" t="s">
        <v>12</v>
      </c>
      <c r="X40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40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40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0" s="8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40" s="8">
        <f xml:space="preserve"> SUMIFS(Tabla18[pm],Tabla18[fecha],TablaProgreso[[#This Row],[fecha]],Tabla18[punto],W36)</f>
        <v>0</v>
      </c>
      <c r="AC40" s="27">
        <f xml:space="preserve"> SUMIFS(Tabla18[efectivo],Tabla18[fecha],TablaProgreso[[#This Row],[fecha]],Tabla18[punto],W36)</f>
        <v>0</v>
      </c>
      <c r="AD40" s="8">
        <f xml:space="preserve"> SUMIFS(Tabla18[divisa],Tabla18[fecha],TablaProgreso[[#This Row],[fecha]],Tabla18[punto],W36)</f>
        <v>0</v>
      </c>
      <c r="AE40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0" s="9">
        <f xml:space="preserve"> ((TablaProgreso[[#This Row],[10kg]]*3.5) + (TablaProgreso[[#This Row],[18kg]]*7)  + (TablaProgreso[[#This Row],[27kg]]*11) + (TablaProgreso[[#This Row],[43kg]]*17)) * DATOS!F2</f>
        <v>0</v>
      </c>
      <c r="AH40" s="10" t="s">
        <v>12</v>
      </c>
      <c r="AI40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40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0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0" s="8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40" s="8">
        <f xml:space="preserve"> SUMIFS(Tabla18[pm],Tabla18[fecha],TablaCamion[[#This Row],[fecha]],Tabla18[punto],AH36)</f>
        <v>0</v>
      </c>
      <c r="AN40" s="27">
        <f xml:space="preserve"> SUMIFS(Tabla18[efectivo],Tabla18[fecha],TablaCamion[[#This Row],[fecha]],Tabla18[punto],AH36)</f>
        <v>0</v>
      </c>
      <c r="AO40" s="8">
        <f xml:space="preserve"> SUMIFS(Tabla18[divisa],Tabla18[fecha],TablaCamion[[#This Row],[fecha]],Tabla18[punto],AH36)</f>
        <v>0</v>
      </c>
      <c r="AP40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0" s="9">
        <f xml:space="preserve"> ((TablaCamion[[#This Row],[10kg]]*3.5) + (TablaCamion[[#This Row],[18kg]]*7)  + (TablaCamion[[#This Row],[27kg]]*11) + (TablaCamion[[#This Row],[43kg]]*17)) * DATOS!F2</f>
        <v>0</v>
      </c>
      <c r="AS40" s="10" t="s">
        <v>12</v>
      </c>
      <c r="AT40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0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0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0" s="8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0" s="8">
        <f xml:space="preserve"> SUMIFS(Tabla18[pm],Tabla18[fecha],TablaOtrosPuntos[[#This Row],[fecha]],Tabla18[punto],AS36)</f>
        <v>0</v>
      </c>
      <c r="AY40" s="27">
        <f xml:space="preserve"> SUMIFS(Tabla18[efectivo],Tabla18[fecha],TablaOtrosPuntos[[#This Row],[fecha]],Tabla18[punto],AS36)</f>
        <v>0</v>
      </c>
      <c r="AZ40" s="8">
        <f xml:space="preserve"> SUMIFS(Tabla18[divisa],Tabla18[fecha],TablaOtrosPuntos[[#This Row],[fecha]],Tabla18[punto],AS36)</f>
        <v>0</v>
      </c>
      <c r="BA40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0" s="9">
        <f xml:space="preserve"> ((TablaOtrosPuntos[[#This Row],[10kg]]*3.5) + (TablaOtrosPuntos[[#This Row],[18kg]]*7)  + (TablaOtrosPuntos[[#This Row],[27kg]]*11) + (TablaOtrosPuntos[[#This Row],[43kg]]*17)) * DATOS!F2</f>
        <v>0</v>
      </c>
      <c r="BC40" s="33"/>
    </row>
    <row r="41" spans="1:55" x14ac:dyDescent="0.25">
      <c r="A41" s="10" t="s">
        <v>13</v>
      </c>
      <c r="B41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41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41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1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1" s="8">
        <f xml:space="preserve"> SUMIFS(Tabla18[pm],Tabla18[fecha],TablaSector3[[#This Row],[fecha]],Tabla18[punto],A36)</f>
        <v>0</v>
      </c>
      <c r="G41" s="27">
        <f xml:space="preserve"> SUMIFS(Tabla18[efectivo],Tabla18[fecha],TablaSector3[[#This Row],[fecha]],Tabla18[punto],A36)</f>
        <v>0</v>
      </c>
      <c r="H41" s="8">
        <f xml:space="preserve"> SUMIFS(Tabla18[divisa],Tabla18[fecha],TablaSector3[[#This Row],[fecha]],Tabla18[punto],A36)</f>
        <v>0</v>
      </c>
      <c r="I41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1" s="9">
        <f xml:space="preserve"> ((TablaSector3[[#This Row],[10kg]]*3.5) + (TablaSector3[[#This Row],[18kg]]*7)  + (TablaSector3[[#This Row],[27kg]]*11) + (TablaSector3[[#This Row],[43kg]]*17)) * DATOS!F2</f>
        <v>0</v>
      </c>
      <c r="L41" s="10" t="s">
        <v>13</v>
      </c>
      <c r="M41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1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1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1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1" s="8">
        <f xml:space="preserve"> SUMIFS(Tabla18[pm],Tabla18[fecha],TablaSector9[[#This Row],[fecha]],Tabla18[punto],L36)</f>
        <v>0</v>
      </c>
      <c r="R41" s="27">
        <f xml:space="preserve"> SUMIFS(Tabla18[efectivo],Tabla18[fecha],TablaSector9[[#This Row],[fecha]],Tabla18[punto],L36)</f>
        <v>0</v>
      </c>
      <c r="S41" s="8">
        <f xml:space="preserve"> SUMIFS(Tabla18[divisa],Tabla18[fecha],TablaSector9[[#This Row],[fecha]],Tabla18[punto],L36)</f>
        <v>0</v>
      </c>
      <c r="T41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1" s="9">
        <f xml:space="preserve"> ((TablaSector9[[#This Row],[10kg]]*3.5) + (TablaSector9[[#This Row],[18kg]]*7)  + (TablaSector9[[#This Row],[27kg]]*11) + (TablaSector9[[#This Row],[43kg]]*17)) * DATOS!F2</f>
        <v>0</v>
      </c>
      <c r="W41" s="10" t="s">
        <v>13</v>
      </c>
      <c r="X41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41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41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1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41" s="8">
        <f xml:space="preserve"> SUMIFS(Tabla18[pm],Tabla18[fecha],TablaProgreso[[#This Row],[fecha]],Tabla18[punto],W36)</f>
        <v>0</v>
      </c>
      <c r="AC41" s="27">
        <f xml:space="preserve"> SUMIFS(Tabla18[efectivo],Tabla18[fecha],TablaProgreso[[#This Row],[fecha]],Tabla18[punto],W36)</f>
        <v>0</v>
      </c>
      <c r="AD41" s="8">
        <f xml:space="preserve"> SUMIFS(Tabla18[divisa],Tabla18[fecha],TablaProgreso[[#This Row],[fecha]],Tabla18[punto],W36)</f>
        <v>0</v>
      </c>
      <c r="AE41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1" s="9">
        <f xml:space="preserve"> ((TablaProgreso[[#This Row],[10kg]]*3.5) + (TablaProgreso[[#This Row],[18kg]]*7)  + (TablaProgreso[[#This Row],[27kg]]*11) + (TablaProgreso[[#This Row],[43kg]]*17)) * DATOS!F2</f>
        <v>0</v>
      </c>
      <c r="AH41" s="10" t="s">
        <v>13</v>
      </c>
      <c r="AI41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41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1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1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41" s="8">
        <f xml:space="preserve"> SUMIFS(Tabla18[pm],Tabla18[fecha],TablaCamion[[#This Row],[fecha]],Tabla18[punto],AH36)</f>
        <v>0</v>
      </c>
      <c r="AN41" s="27">
        <f xml:space="preserve"> SUMIFS(Tabla18[efectivo],Tabla18[fecha],TablaCamion[[#This Row],[fecha]],Tabla18[punto],AH36)</f>
        <v>0</v>
      </c>
      <c r="AO41" s="8">
        <f xml:space="preserve"> SUMIFS(Tabla18[divisa],Tabla18[fecha],TablaCamion[[#This Row],[fecha]],Tabla18[punto],AH36)</f>
        <v>0</v>
      </c>
      <c r="AP41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1" s="9">
        <f xml:space="preserve"> ((TablaCamion[[#This Row],[10kg]]*3.5) + (TablaCamion[[#This Row],[18kg]]*7)  + (TablaCamion[[#This Row],[27kg]]*11) + (TablaCamion[[#This Row],[43kg]]*17)) * DATOS!F2</f>
        <v>0</v>
      </c>
      <c r="AS41" s="10" t="s">
        <v>13</v>
      </c>
      <c r="AT41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1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1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1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1" s="8">
        <f xml:space="preserve"> SUMIFS(Tabla18[pm],Tabla18[fecha],TablaOtrosPuntos[[#This Row],[fecha]],Tabla18[punto],AS36)</f>
        <v>0</v>
      </c>
      <c r="AY41" s="27">
        <f xml:space="preserve"> SUMIFS(Tabla18[efectivo],Tabla18[fecha],TablaOtrosPuntos[[#This Row],[fecha]],Tabla18[punto],AS36)</f>
        <v>0</v>
      </c>
      <c r="AZ41" s="8">
        <f xml:space="preserve"> SUMIFS(Tabla18[divisa],Tabla18[fecha],TablaOtrosPuntos[[#This Row],[fecha]],Tabla18[punto],AS36)</f>
        <v>0</v>
      </c>
      <c r="BA41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1" s="9">
        <f xml:space="preserve"> ((TablaOtrosPuntos[[#This Row],[10kg]]*3.5) + (TablaOtrosPuntos[[#This Row],[18kg]]*7)  + (TablaOtrosPuntos[[#This Row],[27kg]]*11) + (TablaOtrosPuntos[[#This Row],[43kg]]*17)) * DATOS!F2</f>
        <v>0</v>
      </c>
      <c r="BC41" s="33"/>
    </row>
    <row r="42" spans="1:55" x14ac:dyDescent="0.25">
      <c r="A42" s="10" t="s">
        <v>14</v>
      </c>
      <c r="B42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42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42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2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2" s="8">
        <f xml:space="preserve"> SUMIFS(Tabla18[pm],Tabla18[fecha],TablaSector3[[#This Row],[fecha]],Tabla18[punto],A36)</f>
        <v>0</v>
      </c>
      <c r="G42" s="27">
        <f xml:space="preserve"> SUMIFS(Tabla18[efectivo],Tabla18[fecha],TablaSector3[[#This Row],[fecha]],Tabla18[punto],A36)</f>
        <v>0</v>
      </c>
      <c r="H42" s="8">
        <f xml:space="preserve"> SUMIFS(Tabla18[divisa],Tabla18[fecha],TablaSector3[[#This Row],[fecha]],Tabla18[punto],A36)</f>
        <v>0</v>
      </c>
      <c r="I42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2" s="9">
        <f xml:space="preserve"> ((TablaSector3[[#This Row],[10kg]]*3.5) + (TablaSector3[[#This Row],[18kg]]*7)  + (TablaSector3[[#This Row],[27kg]]*11) + (TablaSector3[[#This Row],[43kg]]*17)) * DATOS!F2</f>
        <v>0</v>
      </c>
      <c r="L42" s="10" t="s">
        <v>14</v>
      </c>
      <c r="M42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2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2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2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2" s="8">
        <f xml:space="preserve"> SUMIFS(Tabla18[pm],Tabla18[fecha],TablaSector9[[#This Row],[fecha]],Tabla18[punto],L36)</f>
        <v>0</v>
      </c>
      <c r="R42" s="27">
        <f xml:space="preserve"> SUMIFS(Tabla18[efectivo],Tabla18[fecha],TablaSector9[[#This Row],[fecha]],Tabla18[punto],L36)</f>
        <v>0</v>
      </c>
      <c r="S42" s="8">
        <f xml:space="preserve"> SUMIFS(Tabla18[divisa],Tabla18[fecha],TablaSector9[[#This Row],[fecha]],Tabla18[punto],L36)</f>
        <v>0</v>
      </c>
      <c r="T42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2" s="9">
        <f xml:space="preserve"> ((TablaSector9[[#This Row],[10kg]]*3.5) + (TablaSector9[[#This Row],[18kg]]*7)  + (TablaSector9[[#This Row],[27kg]]*11) + (TablaSector9[[#This Row],[43kg]]*17)) * DATOS!F2</f>
        <v>0</v>
      </c>
      <c r="W42" s="10" t="s">
        <v>14</v>
      </c>
      <c r="X42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42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42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2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42" s="8">
        <f xml:space="preserve"> SUMIFS(Tabla18[pm],Tabla18[fecha],TablaProgreso[[#This Row],[fecha]],Tabla18[punto],W36)</f>
        <v>0</v>
      </c>
      <c r="AC42" s="27">
        <f xml:space="preserve"> SUMIFS(Tabla18[efectivo],Tabla18[fecha],TablaProgreso[[#This Row],[fecha]],Tabla18[punto],W36)</f>
        <v>0</v>
      </c>
      <c r="AD42" s="8">
        <f xml:space="preserve"> SUMIFS(Tabla18[divisa],Tabla18[fecha],TablaProgreso[[#This Row],[fecha]],Tabla18[punto],W36)</f>
        <v>0</v>
      </c>
      <c r="AE42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2" s="9">
        <f xml:space="preserve"> ((TablaProgreso[[#This Row],[10kg]]*3.5) + (TablaProgreso[[#This Row],[18kg]]*7)  + (TablaProgreso[[#This Row],[27kg]]*11) + (TablaProgreso[[#This Row],[43kg]]*17)) * DATOS!F2</f>
        <v>0</v>
      </c>
      <c r="AH42" s="10" t="s">
        <v>14</v>
      </c>
      <c r="AI42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42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2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2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42" s="8">
        <f xml:space="preserve"> SUMIFS(Tabla18[pm],Tabla18[fecha],TablaCamion[[#This Row],[fecha]],Tabla18[punto],AH36)</f>
        <v>0</v>
      </c>
      <c r="AN42" s="27">
        <f xml:space="preserve"> SUMIFS(Tabla18[efectivo],Tabla18[fecha],TablaCamion[[#This Row],[fecha]],Tabla18[punto],AH36)</f>
        <v>0</v>
      </c>
      <c r="AO42" s="8">
        <f xml:space="preserve"> SUMIFS(Tabla18[divisa],Tabla18[fecha],TablaCamion[[#This Row],[fecha]],Tabla18[punto],AH36)</f>
        <v>0</v>
      </c>
      <c r="AP42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2" s="9">
        <f xml:space="preserve"> ((TablaCamion[[#This Row],[10kg]]*3.5) + (TablaCamion[[#This Row],[18kg]]*7)  + (TablaCamion[[#This Row],[27kg]]*11) + (TablaCamion[[#This Row],[43kg]]*17)) * DATOS!F2</f>
        <v>0</v>
      </c>
      <c r="AS42" s="10" t="s">
        <v>14</v>
      </c>
      <c r="AT42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2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2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2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2" s="8">
        <f xml:space="preserve"> SUMIFS(Tabla18[pm],Tabla18[fecha],TablaOtrosPuntos[[#This Row],[fecha]],Tabla18[punto],AS36)</f>
        <v>0</v>
      </c>
      <c r="AY42" s="27">
        <f xml:space="preserve"> SUMIFS(Tabla18[efectivo],Tabla18[fecha],TablaOtrosPuntos[[#This Row],[fecha]],Tabla18[punto],AS36)</f>
        <v>0</v>
      </c>
      <c r="AZ42" s="8">
        <f xml:space="preserve"> SUMIFS(Tabla18[divisa],Tabla18[fecha],TablaOtrosPuntos[[#This Row],[fecha]],Tabla18[punto],AS36)</f>
        <v>0</v>
      </c>
      <c r="BA42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2" s="9">
        <f xml:space="preserve"> ((TablaOtrosPuntos[[#This Row],[10kg]]*3.5) + (TablaOtrosPuntos[[#This Row],[18kg]]*7)  + (TablaOtrosPuntos[[#This Row],[27kg]]*11) + (TablaOtrosPuntos[[#This Row],[43kg]]*17)) * DATOS!F2</f>
        <v>0</v>
      </c>
      <c r="BC42" s="33"/>
    </row>
    <row r="43" spans="1:55" x14ac:dyDescent="0.25">
      <c r="A43" s="10" t="s">
        <v>15</v>
      </c>
      <c r="B43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43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43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3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3" s="8">
        <f xml:space="preserve"> SUMIFS(Tabla18[pm],Tabla18[fecha],TablaSector3[[#This Row],[fecha]],Tabla18[punto],A36)</f>
        <v>0</v>
      </c>
      <c r="G43" s="27">
        <f xml:space="preserve"> SUMIFS(Tabla18[efectivo],Tabla18[fecha],TablaSector3[[#This Row],[fecha]],Tabla18[punto],A36)</f>
        <v>0</v>
      </c>
      <c r="H43" s="8">
        <f xml:space="preserve"> SUMIFS(Tabla18[divisa],Tabla18[fecha],TablaSector3[[#This Row],[fecha]],Tabla18[punto],A36)</f>
        <v>0</v>
      </c>
      <c r="I43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3" s="9">
        <f xml:space="preserve"> ((TablaSector3[[#This Row],[10kg]]*3.5) + (TablaSector3[[#This Row],[18kg]]*7)  + (TablaSector3[[#This Row],[27kg]]*11) + (TablaSector3[[#This Row],[43kg]]*17)) * DATOS!F2</f>
        <v>0</v>
      </c>
      <c r="L43" s="10" t="s">
        <v>15</v>
      </c>
      <c r="M43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3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3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3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3" s="8">
        <f xml:space="preserve"> SUMIFS(Tabla18[pm],Tabla18[fecha],TablaSector9[[#This Row],[fecha]],Tabla18[punto],L36)</f>
        <v>0</v>
      </c>
      <c r="R43" s="27">
        <f xml:space="preserve"> SUMIFS(Tabla18[efectivo],Tabla18[fecha],TablaSector9[[#This Row],[fecha]],Tabla18[punto],L36)</f>
        <v>0</v>
      </c>
      <c r="S43" s="8">
        <f xml:space="preserve"> SUMIFS(Tabla18[divisa],Tabla18[fecha],TablaSector9[[#This Row],[fecha]],Tabla18[punto],L36)</f>
        <v>0</v>
      </c>
      <c r="T43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3" s="9">
        <f xml:space="preserve"> ((TablaSector9[[#This Row],[10kg]]*3.5) + (TablaSector9[[#This Row],[18kg]]*7)  + (TablaSector9[[#This Row],[27kg]]*11) + (TablaSector9[[#This Row],[43kg]]*17)) * DATOS!F2</f>
        <v>0</v>
      </c>
      <c r="W43" s="10" t="s">
        <v>15</v>
      </c>
      <c r="X43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43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43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3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43" s="8">
        <f xml:space="preserve"> SUMIFS(Tabla18[pm],Tabla18[fecha],TablaProgreso[[#This Row],[fecha]],Tabla18[punto],W36)</f>
        <v>0</v>
      </c>
      <c r="AC43" s="27">
        <f xml:space="preserve"> SUMIFS(Tabla18[efectivo],Tabla18[fecha],TablaProgreso[[#This Row],[fecha]],Tabla18[punto],W36)</f>
        <v>0</v>
      </c>
      <c r="AD43" s="8">
        <f xml:space="preserve"> SUMIFS(Tabla18[divisa],Tabla18[fecha],TablaProgreso[[#This Row],[fecha]],Tabla18[punto],W36)</f>
        <v>0</v>
      </c>
      <c r="AE43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3" s="9">
        <f xml:space="preserve"> ((TablaProgreso[[#This Row],[10kg]]*3.5) + (TablaProgreso[[#This Row],[18kg]]*7)  + (TablaProgreso[[#This Row],[27kg]]*11) + (TablaProgreso[[#This Row],[43kg]]*17)) * DATOS!F2</f>
        <v>0</v>
      </c>
      <c r="AH43" s="10" t="s">
        <v>15</v>
      </c>
      <c r="AI43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43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3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3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43" s="8">
        <f xml:space="preserve"> SUMIFS(Tabla18[pm],Tabla18[fecha],TablaCamion[[#This Row],[fecha]],Tabla18[punto],AH36)</f>
        <v>0</v>
      </c>
      <c r="AN43" s="27">
        <f xml:space="preserve"> SUMIFS(Tabla18[efectivo],Tabla18[fecha],TablaCamion[[#This Row],[fecha]],Tabla18[punto],AH36)</f>
        <v>0</v>
      </c>
      <c r="AO43" s="8">
        <f xml:space="preserve"> SUMIFS(Tabla18[divisa],Tabla18[fecha],TablaCamion[[#This Row],[fecha]],Tabla18[punto],AH36)</f>
        <v>0</v>
      </c>
      <c r="AP43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3" s="9">
        <f xml:space="preserve"> ((TablaCamion[[#This Row],[10kg]]*3.5) + (TablaCamion[[#This Row],[18kg]]*7)  + (TablaCamion[[#This Row],[27kg]]*11) + (TablaCamion[[#This Row],[43kg]]*17)) * DATOS!F2</f>
        <v>0</v>
      </c>
      <c r="AS43" s="10" t="s">
        <v>15</v>
      </c>
      <c r="AT43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3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3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3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3" s="8">
        <f xml:space="preserve"> SUMIFS(Tabla18[pm],Tabla18[fecha],TablaOtrosPuntos[[#This Row],[fecha]],Tabla18[punto],AS36)</f>
        <v>0</v>
      </c>
      <c r="AY43" s="27">
        <f xml:space="preserve"> SUMIFS(Tabla18[efectivo],Tabla18[fecha],TablaOtrosPuntos[[#This Row],[fecha]],Tabla18[punto],AS36)</f>
        <v>0</v>
      </c>
      <c r="AZ43" s="8">
        <f xml:space="preserve"> SUMIFS(Tabla18[divisa],Tabla18[fecha],TablaOtrosPuntos[[#This Row],[fecha]],Tabla18[punto],AS36)</f>
        <v>0</v>
      </c>
      <c r="BA43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3" s="9">
        <f xml:space="preserve"> ((TablaOtrosPuntos[[#This Row],[10kg]]*3.5) + (TablaOtrosPuntos[[#This Row],[18kg]]*7)  + (TablaOtrosPuntos[[#This Row],[27kg]]*11) + (TablaOtrosPuntos[[#This Row],[43kg]]*17)) * DATOS!F2</f>
        <v>0</v>
      </c>
      <c r="BC43" s="33"/>
    </row>
    <row r="44" spans="1:55" x14ac:dyDescent="0.25">
      <c r="A44" s="10" t="s">
        <v>16</v>
      </c>
      <c r="B44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44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44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4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4" s="8">
        <f xml:space="preserve"> SUMIFS(Tabla18[pm],Tabla18[fecha],TablaSector3[[#This Row],[fecha]],Tabla18[punto],A36)</f>
        <v>0</v>
      </c>
      <c r="G44" s="28">
        <f xml:space="preserve"> SUMIFS(Tabla18[efectivo],Tabla18[fecha],TablaSector3[[#This Row],[fecha]],Tabla18[punto],A36)</f>
        <v>0</v>
      </c>
      <c r="H44" s="8">
        <f xml:space="preserve"> SUMIFS(Tabla18[divisa],Tabla18[fecha],TablaSector3[[#This Row],[fecha]],Tabla18[punto],A36)</f>
        <v>0</v>
      </c>
      <c r="I44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4" s="9">
        <f xml:space="preserve"> ((TablaSector3[[#This Row],[10kg]]*3.5) + (TablaSector3[[#This Row],[18kg]]*7)  + (TablaSector3[[#This Row],[27kg]]*11) + (TablaSector3[[#This Row],[43kg]]*17)) * DATOS!F2</f>
        <v>0</v>
      </c>
      <c r="L44" s="10" t="s">
        <v>16</v>
      </c>
      <c r="M44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4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4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4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4" s="8">
        <f xml:space="preserve"> SUMIFS(Tabla18[pm],Tabla18[fecha],TablaSector9[[#This Row],[fecha]],Tabla18[punto],L36)</f>
        <v>0</v>
      </c>
      <c r="R44" s="28">
        <f xml:space="preserve"> SUMIFS(Tabla18[efectivo],Tabla18[fecha],TablaSector9[[#This Row],[fecha]],Tabla18[punto],L36)</f>
        <v>0</v>
      </c>
      <c r="S44" s="8">
        <f xml:space="preserve"> SUMIFS(Tabla18[divisa],Tabla18[fecha],TablaSector9[[#This Row],[fecha]],Tabla18[punto],L36)</f>
        <v>0</v>
      </c>
      <c r="T44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4" s="9">
        <f xml:space="preserve"> ((TablaSector9[[#This Row],[10kg]]*3.5) + (TablaSector9[[#This Row],[18kg]]*7)  + (TablaSector9[[#This Row],[27kg]]*11) + (TablaSector9[[#This Row],[43kg]]*17)) * DATOS!F2</f>
        <v>0</v>
      </c>
      <c r="W44" s="10" t="s">
        <v>16</v>
      </c>
      <c r="X44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44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44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4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44" s="8">
        <f xml:space="preserve"> SUMIFS(Tabla18[pm],Tabla18[fecha],TablaProgreso[[#This Row],[fecha]],Tabla18[punto],W36)</f>
        <v>0</v>
      </c>
      <c r="AC44" s="28">
        <f xml:space="preserve"> SUMIFS(Tabla18[efectivo],Tabla18[fecha],TablaProgreso[[#This Row],[fecha]],Tabla18[punto],W36)</f>
        <v>0</v>
      </c>
      <c r="AD44" s="8">
        <f xml:space="preserve"> SUMIFS(Tabla18[divisa],Tabla18[fecha],TablaProgreso[[#This Row],[fecha]],Tabla18[punto],W36)</f>
        <v>0</v>
      </c>
      <c r="AE44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4" s="9">
        <f xml:space="preserve"> ((TablaProgreso[[#This Row],[10kg]]*3.5) + (TablaProgreso[[#This Row],[18kg]]*7)  + (TablaProgreso[[#This Row],[27kg]]*11) + (TablaProgreso[[#This Row],[43kg]]*17)) * DATOS!F2</f>
        <v>0</v>
      </c>
      <c r="AH44" s="10" t="s">
        <v>16</v>
      </c>
      <c r="AI44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44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4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4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44" s="8">
        <f xml:space="preserve"> SUMIFS(Tabla18[pm],Tabla18[fecha],TablaCamion[[#This Row],[fecha]],Tabla18[punto],AH36)</f>
        <v>0</v>
      </c>
      <c r="AN44" s="28">
        <f xml:space="preserve"> SUMIFS(Tabla18[efectivo],Tabla18[fecha],TablaCamion[[#This Row],[fecha]],Tabla18[punto],AH36)</f>
        <v>0</v>
      </c>
      <c r="AO44" s="8">
        <f xml:space="preserve"> SUMIFS(Tabla18[divisa],Tabla18[fecha],TablaCamion[[#This Row],[fecha]],Tabla18[punto],AH36)</f>
        <v>0</v>
      </c>
      <c r="AP44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4" s="9">
        <f xml:space="preserve"> ((TablaCamion[[#This Row],[10kg]]*3.5) + (TablaCamion[[#This Row],[18kg]]*7)  + (TablaCamion[[#This Row],[27kg]]*11) + (TablaCamion[[#This Row],[43kg]]*17)) * DATOS!F2</f>
        <v>0</v>
      </c>
      <c r="AS44" s="10" t="s">
        <v>16</v>
      </c>
      <c r="AT44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4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4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4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4" s="8">
        <f xml:space="preserve"> SUMIFS(Tabla18[pm],Tabla18[fecha],TablaOtrosPuntos[[#This Row],[fecha]],Tabla18[punto],AS36)</f>
        <v>0</v>
      </c>
      <c r="AY44" s="28">
        <f xml:space="preserve"> SUMIFS(Tabla18[efectivo],Tabla18[fecha],TablaOtrosPuntos[[#This Row],[fecha]],Tabla18[punto],AS36)</f>
        <v>0</v>
      </c>
      <c r="AZ44" s="8">
        <f xml:space="preserve"> SUMIFS(Tabla18[divisa],Tabla18[fecha],TablaOtrosPuntos[[#This Row],[fecha]],Tabla18[punto],AS36)</f>
        <v>0</v>
      </c>
      <c r="BA44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4" s="9">
        <f xml:space="preserve"> ((TablaOtrosPuntos[[#This Row],[10kg]]*3.5) + (TablaOtrosPuntos[[#This Row],[18kg]]*7)  + (TablaOtrosPuntos[[#This Row],[27kg]]*11) + (TablaOtrosPuntos[[#This Row],[43kg]]*17)) * DATOS!F2</f>
        <v>0</v>
      </c>
      <c r="BC44" s="33"/>
    </row>
    <row r="45" spans="1:55" x14ac:dyDescent="0.25">
      <c r="A45" s="10" t="s">
        <v>17</v>
      </c>
      <c r="B45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45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45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5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5" s="8">
        <f xml:space="preserve"> SUMIFS(Tabla18[pm],Tabla18[fecha],TablaSector3[[#This Row],[fecha]],Tabla18[punto],A36)</f>
        <v>0</v>
      </c>
      <c r="G45" s="28">
        <f xml:space="preserve"> SUMIFS(Tabla18[efectivo],Tabla18[fecha],TablaSector3[[#This Row],[fecha]],Tabla18[punto],A36)</f>
        <v>0</v>
      </c>
      <c r="H45" s="8">
        <f xml:space="preserve"> SUMIFS(Tabla18[divisa],Tabla18[fecha],TablaSector3[[#This Row],[fecha]],Tabla18[punto],A36)</f>
        <v>0</v>
      </c>
      <c r="I45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5" s="21">
        <f xml:space="preserve"> ((TablaSector3[[#This Row],[10kg]]*3.5) + (TablaSector3[[#This Row],[18kg]]*7)  + (TablaSector3[[#This Row],[27kg]]*11) + (TablaSector3[[#This Row],[43kg]]*17)) * DATOS!F2</f>
        <v>0</v>
      </c>
      <c r="L45" s="10" t="s">
        <v>17</v>
      </c>
      <c r="M45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5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5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5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5" s="8">
        <f xml:space="preserve"> SUMIFS(Tabla18[pm],Tabla18[fecha],TablaSector9[[#This Row],[fecha]],Tabla18[punto],L36)</f>
        <v>0</v>
      </c>
      <c r="R45" s="28">
        <f xml:space="preserve"> SUMIFS(Tabla18[efectivo],Tabla18[fecha],TablaSector9[[#This Row],[fecha]],Tabla18[punto],L36)</f>
        <v>0</v>
      </c>
      <c r="S45" s="8">
        <f xml:space="preserve"> SUMIFS(Tabla18[divisa],Tabla18[fecha],TablaSector9[[#This Row],[fecha]],Tabla18[punto],L36)</f>
        <v>0</v>
      </c>
      <c r="T45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5" s="21">
        <f xml:space="preserve"> ((TablaSector9[[#This Row],[10kg]]*3.5) + (TablaSector9[[#This Row],[18kg]]*7)  + (TablaSector9[[#This Row],[27kg]]*11) + (TablaSector9[[#This Row],[43kg]]*17)) * DATOS!F2</f>
        <v>0</v>
      </c>
      <c r="W45" s="10" t="s">
        <v>17</v>
      </c>
      <c r="X45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45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45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5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45" s="8">
        <f xml:space="preserve"> SUMIFS(Tabla18[pm],Tabla18[fecha],TablaProgreso[[#This Row],[fecha]],Tabla18[punto],W36)</f>
        <v>0</v>
      </c>
      <c r="AC45" s="28">
        <f xml:space="preserve"> SUMIFS(Tabla18[efectivo],Tabla18[fecha],TablaProgreso[[#This Row],[fecha]],Tabla18[punto],W36)</f>
        <v>0</v>
      </c>
      <c r="AD45" s="8">
        <f xml:space="preserve"> SUMIFS(Tabla18[divisa],Tabla18[fecha],TablaProgreso[[#This Row],[fecha]],Tabla18[punto],W36)</f>
        <v>0</v>
      </c>
      <c r="AE45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5" s="21">
        <f xml:space="preserve"> ((TablaProgreso[[#This Row],[10kg]]*3.5) + (TablaProgreso[[#This Row],[18kg]]*7)  + (TablaProgreso[[#This Row],[27kg]]*11) + (TablaProgreso[[#This Row],[43kg]]*17)) * DATOS!F2</f>
        <v>0</v>
      </c>
      <c r="AH45" s="10" t="s">
        <v>17</v>
      </c>
      <c r="AI45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45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5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5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45" s="8">
        <f xml:space="preserve"> SUMIFS(Tabla18[pm],Tabla18[fecha],TablaCamion[[#This Row],[fecha]],Tabla18[punto],AH36)</f>
        <v>0</v>
      </c>
      <c r="AN45" s="28">
        <f xml:space="preserve"> SUMIFS(Tabla18[efectivo],Tabla18[fecha],TablaCamion[[#This Row],[fecha]],Tabla18[punto],AH36)</f>
        <v>0</v>
      </c>
      <c r="AO45" s="8">
        <f xml:space="preserve"> SUMIFS(Tabla18[divisa],Tabla18[fecha],TablaCamion[[#This Row],[fecha]],Tabla18[punto],AH36)</f>
        <v>0</v>
      </c>
      <c r="AP45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5" s="21">
        <f xml:space="preserve"> ((TablaCamion[[#This Row],[10kg]]*3.5) + (TablaCamion[[#This Row],[18kg]]*7)  + (TablaCamion[[#This Row],[27kg]]*11) + (TablaCamion[[#This Row],[43kg]]*17)) * DATOS!F2</f>
        <v>0</v>
      </c>
      <c r="AS45" s="10" t="s">
        <v>17</v>
      </c>
      <c r="AT45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5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5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5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5" s="8">
        <f xml:space="preserve"> SUMIFS(Tabla18[pm],Tabla18[fecha],TablaOtrosPuntos[[#This Row],[fecha]],Tabla18[punto],AS36)</f>
        <v>0</v>
      </c>
      <c r="AY45" s="28">
        <f xml:space="preserve"> SUMIFS(Tabla18[efectivo],Tabla18[fecha],TablaOtrosPuntos[[#This Row],[fecha]],Tabla18[punto],AS36)</f>
        <v>0</v>
      </c>
      <c r="AZ45" s="8">
        <f xml:space="preserve"> SUMIFS(Tabla18[divisa],Tabla18[fecha],TablaOtrosPuntos[[#This Row],[fecha]],Tabla18[punto],AS36)</f>
        <v>0</v>
      </c>
      <c r="BA45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5" s="21">
        <f xml:space="preserve"> ((TablaOtrosPuntos[[#This Row],[10kg]]*3.5) + (TablaOtrosPuntos[[#This Row],[18kg]]*7)  + (TablaOtrosPuntos[[#This Row],[27kg]]*11) + (TablaOtrosPuntos[[#This Row],[43kg]]*17)) * DATOS!F2</f>
        <v>0</v>
      </c>
      <c r="BC45" s="33"/>
    </row>
    <row r="46" spans="1:55" x14ac:dyDescent="0.25">
      <c r="A46" s="10" t="s">
        <v>18</v>
      </c>
      <c r="B46" s="7">
        <f xml:space="preserve"> SUMIFS(Tabla1821[10kg],Tabla1821[fecha],TablaSector3[[#This Row],[fecha]],Tabla1821[punto],A36) -  SUMIFS(Tabla182115[10kg],Tabla182115[fecha],TablaSector3[[#This Row],[fecha]],Tabla182115[punto],A36)</f>
        <v>9</v>
      </c>
      <c r="C46" s="7">
        <f xml:space="preserve"> SUMIFS(Tabla1821[18kg],Tabla1821[fecha],TablaSector3[[#This Row],[fecha]],Tabla1821[punto],A36) -  SUMIFS(Tabla182115[18kg],Tabla182115[fecha],TablaSector3[[#This Row],[fecha]],Tabla182115[punto],A36)</f>
        <v>1</v>
      </c>
      <c r="D46" s="8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6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6" s="8">
        <f xml:space="preserve"> SUMIFS(Tabla18[pm],Tabla18[fecha],TablaSector3[[#This Row],[fecha]],Tabla18[punto],A36)</f>
        <v>0</v>
      </c>
      <c r="G46" s="28">
        <f xml:space="preserve"> SUMIFS(Tabla18[efectivo],Tabla18[fecha],TablaSector3[[#This Row],[fecha]],Tabla18[punto],A36)</f>
        <v>0</v>
      </c>
      <c r="H46" s="8">
        <f xml:space="preserve"> SUMIFS(Tabla18[divisa],Tabla18[fecha],TablaSector3[[#This Row],[fecha]],Tabla18[punto],A36)</f>
        <v>0</v>
      </c>
      <c r="I46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6" s="9">
        <f xml:space="preserve"> ((TablaSector3[[#This Row],[10kg]]*3.5) + (TablaSector3[[#This Row],[18kg]]*7)  + (TablaSector3[[#This Row],[27kg]]*11) + (TablaSector3[[#This Row],[43kg]]*17)) * DATOS!F2</f>
        <v>1426.04</v>
      </c>
      <c r="L46" s="10" t="s">
        <v>18</v>
      </c>
      <c r="M46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6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6" s="8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6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6" s="8">
        <f xml:space="preserve"> SUMIFS(Tabla18[pm],Tabla18[fecha],TablaSector9[[#This Row],[fecha]],Tabla18[punto],L36)</f>
        <v>0</v>
      </c>
      <c r="R46" s="28">
        <f xml:space="preserve"> SUMIFS(Tabla18[efectivo],Tabla18[fecha],TablaSector9[[#This Row],[fecha]],Tabla18[punto],L36)</f>
        <v>0</v>
      </c>
      <c r="S46" s="8">
        <f xml:space="preserve"> SUMIFS(Tabla18[divisa],Tabla18[fecha],TablaSector9[[#This Row],[fecha]],Tabla18[punto],L36)</f>
        <v>0</v>
      </c>
      <c r="T46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6" s="9">
        <f xml:space="preserve"> ((TablaSector9[[#This Row],[10kg]]*3.5) + (TablaSector9[[#This Row],[18kg]]*7)  + (TablaSector9[[#This Row],[27kg]]*11) + (TablaSector9[[#This Row],[43kg]]*17)) * DATOS!F2</f>
        <v>0</v>
      </c>
      <c r="W46" s="10" t="s">
        <v>18</v>
      </c>
      <c r="X46" s="7">
        <f xml:space="preserve"> SUMIFS(Tabla1821[10kg],Tabla1821[fecha],TablaProgreso[[#This Row],[fecha]],Tabla1821[punto],W36) -  SUMIFS(Tabla182115[10kg],Tabla182115[fecha],TablaProgreso[[#This Row],[fecha]],Tabla182115[punto],W36)</f>
        <v>49</v>
      </c>
      <c r="Y46" s="7">
        <f xml:space="preserve"> SUMIFS(Tabla1821[18kg],Tabla1821[fecha],TablaProgreso[[#This Row],[fecha]],Tabla1821[punto],W36) -  SUMIFS(Tabla182115[18kg],Tabla182115[fecha],TablaProgreso[[#This Row],[fecha]],Tabla182115[punto],W36)</f>
        <v>10</v>
      </c>
      <c r="Z46" s="8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6" s="7">
        <f xml:space="preserve"> SUMIFS(Tabla1821[43kg],Tabla1821[fecha],TablaProgreso[[#This Row],[fecha]],Tabla1821[punto],W36) -  SUMIFS(Tabla182115[43kg],Tabla182115[fecha],TablaProgreso[[#This Row],[fecha]],Tabla182115[punto],W36)</f>
        <v>3</v>
      </c>
      <c r="AB46" s="8">
        <f xml:space="preserve"> SUMIFS(Tabla18[pm],Tabla18[fecha],TablaProgreso[[#This Row],[fecha]],Tabla18[punto],W36)</f>
        <v>0</v>
      </c>
      <c r="AC46" s="28">
        <f xml:space="preserve"> SUMIFS(Tabla18[efectivo],Tabla18[fecha],TablaProgreso[[#This Row],[fecha]],Tabla18[punto],W36)</f>
        <v>0</v>
      </c>
      <c r="AD46" s="8">
        <f xml:space="preserve"> SUMIFS(Tabla18[divisa],Tabla18[fecha],TablaProgreso[[#This Row],[fecha]],Tabla18[punto],W36)</f>
        <v>0</v>
      </c>
      <c r="AE46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6" s="9">
        <f xml:space="preserve"> ((TablaProgreso[[#This Row],[10kg]]*3.5) + (TablaProgreso[[#This Row],[18kg]]*7)  + (TablaProgreso[[#This Row],[27kg]]*11) + (TablaProgreso[[#This Row],[43kg]]*17)) * DATOS!F2</f>
        <v>10834.199999999999</v>
      </c>
      <c r="AH46" s="10" t="s">
        <v>18</v>
      </c>
      <c r="AI46" s="7">
        <f xml:space="preserve"> SUMIFS(Tabla1821[10kg],Tabla1821[fecha],TablaCamion[[#This Row],[fecha]],Tabla1821[punto],AH36) -  SUMIFS(Tabla182115[10kg],Tabla182115[fecha],TablaCamion[[#This Row],[fecha]],Tabla182115[punto],AH36)</f>
        <v>1</v>
      </c>
      <c r="AJ46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6" s="8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6" s="7">
        <f xml:space="preserve"> SUMIFS(Tabla1821[43kg],Tabla1821[fecha],TablaCamion[[#This Row],[fecha]],Tabla1821[punto],AH36) -  SUMIFS(Tabla182115[43kg],Tabla182115[fecha],TablaCamion[[#This Row],[fecha]],Tabla182115[punto],AH36)</f>
        <v>1</v>
      </c>
      <c r="AM46" s="8">
        <f xml:space="preserve"> SUMIFS(Tabla18[pm],Tabla18[fecha],TablaCamion[[#This Row],[fecha]],Tabla18[punto],AH36)</f>
        <v>0</v>
      </c>
      <c r="AN46" s="28">
        <f xml:space="preserve"> SUMIFS(Tabla18[efectivo],Tabla18[fecha],TablaCamion[[#This Row],[fecha]],Tabla18[punto],AH36)</f>
        <v>0</v>
      </c>
      <c r="AO46" s="8">
        <f xml:space="preserve"> SUMIFS(Tabla18[divisa],Tabla18[fecha],TablaCamion[[#This Row],[fecha]],Tabla18[punto],AH36)</f>
        <v>0</v>
      </c>
      <c r="AP46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6" s="9">
        <f xml:space="preserve"> ((TablaCamion[[#This Row],[10kg]]*3.5) + (TablaCamion[[#This Row],[18kg]]*7)  + (TablaCamion[[#This Row],[27kg]]*11) + (TablaCamion[[#This Row],[43kg]]*17)) * DATOS!F2</f>
        <v>759.31999999999994</v>
      </c>
      <c r="AS46" s="10" t="s">
        <v>18</v>
      </c>
      <c r="AT46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6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6" s="8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6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6" s="8">
        <f xml:space="preserve"> SUMIFS(Tabla18[pm],Tabla18[fecha],TablaOtrosPuntos[[#This Row],[fecha]],Tabla18[punto],AS36)</f>
        <v>0</v>
      </c>
      <c r="AY46" s="28">
        <f xml:space="preserve"> SUMIFS(Tabla18[efectivo],Tabla18[fecha],TablaOtrosPuntos[[#This Row],[fecha]],Tabla18[punto],AS36)</f>
        <v>0</v>
      </c>
      <c r="AZ46" s="8">
        <f xml:space="preserve"> SUMIFS(Tabla18[divisa],Tabla18[fecha],TablaOtrosPuntos[[#This Row],[fecha]],Tabla18[punto],AS36)</f>
        <v>0</v>
      </c>
      <c r="BA46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6" s="9">
        <f xml:space="preserve"> ((TablaOtrosPuntos[[#This Row],[10kg]]*3.5) + (TablaOtrosPuntos[[#This Row],[18kg]]*7)  + (TablaOtrosPuntos[[#This Row],[27kg]]*11) + (TablaOtrosPuntos[[#This Row],[43kg]]*17)) * DATOS!F2</f>
        <v>0</v>
      </c>
      <c r="BC46" s="33"/>
    </row>
    <row r="47" spans="1:55" x14ac:dyDescent="0.25">
      <c r="A47" s="10" t="s">
        <v>19</v>
      </c>
      <c r="B47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47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47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7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7" s="7">
        <f xml:space="preserve"> SUMIFS(Tabla18[pm],Tabla18[fecha],TablaSector3[[#This Row],[fecha]],Tabla18[punto],A36)</f>
        <v>0</v>
      </c>
      <c r="G47" s="27">
        <f xml:space="preserve"> SUMIFS(Tabla18[efectivo],Tabla18[fecha],TablaSector3[[#This Row],[fecha]],Tabla18[punto],A36)</f>
        <v>0</v>
      </c>
      <c r="H47" s="10">
        <f xml:space="preserve"> SUMIFS(Tabla18[divisa],Tabla18[fecha],TablaSector3[[#This Row],[fecha]],Tabla18[punto],A36)</f>
        <v>0</v>
      </c>
      <c r="I47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7" s="9">
        <f xml:space="preserve"> ((TablaSector3[[#This Row],[10kg]]*3.5) + (TablaSector3[[#This Row],[18kg]]*7)  + (TablaSector3[[#This Row],[27kg]]*11) + (TablaSector3[[#This Row],[43kg]]*17)) * DATOS!F2</f>
        <v>0</v>
      </c>
      <c r="L47" s="10" t="s">
        <v>19</v>
      </c>
      <c r="M47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7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7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7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7" s="7">
        <f xml:space="preserve"> SUMIFS(Tabla18[pm],Tabla18[fecha],TablaSector9[[#This Row],[fecha]],Tabla18[punto],L36)</f>
        <v>0</v>
      </c>
      <c r="R47" s="27">
        <f xml:space="preserve"> SUMIFS(Tabla18[efectivo],Tabla18[fecha],TablaSector9[[#This Row],[fecha]],Tabla18[punto],L36)</f>
        <v>0</v>
      </c>
      <c r="S47" s="10">
        <f xml:space="preserve"> SUMIFS(Tabla18[divisa],Tabla18[fecha],TablaSector9[[#This Row],[fecha]],Tabla18[punto],L36)</f>
        <v>0</v>
      </c>
      <c r="T47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7" s="9">
        <f xml:space="preserve"> ((TablaSector9[[#This Row],[10kg]]*3.5) + (TablaSector9[[#This Row],[18kg]]*7)  + (TablaSector9[[#This Row],[27kg]]*11) + (TablaSector9[[#This Row],[43kg]]*17)) * DATOS!F2</f>
        <v>0</v>
      </c>
      <c r="W47" s="10" t="s">
        <v>19</v>
      </c>
      <c r="X47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47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47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7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47" s="7">
        <f xml:space="preserve"> SUMIFS(Tabla18[pm],Tabla18[fecha],TablaProgreso[[#This Row],[fecha]],Tabla18[punto],W36)</f>
        <v>0</v>
      </c>
      <c r="AC47" s="27">
        <f xml:space="preserve"> SUMIFS(Tabla18[efectivo],Tabla18[fecha],TablaProgreso[[#This Row],[fecha]],Tabla18[punto],W36)</f>
        <v>0</v>
      </c>
      <c r="AD47" s="10">
        <f xml:space="preserve"> SUMIFS(Tabla18[divisa],Tabla18[fecha],TablaProgreso[[#This Row],[fecha]],Tabla18[punto],W36)</f>
        <v>0</v>
      </c>
      <c r="AE47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7" s="9">
        <f xml:space="preserve"> ((TablaProgreso[[#This Row],[10kg]]*3.5) + (TablaProgreso[[#This Row],[18kg]]*7)  + (TablaProgreso[[#This Row],[27kg]]*11) + (TablaProgreso[[#This Row],[43kg]]*17)) * DATOS!F2</f>
        <v>0</v>
      </c>
      <c r="AH47" s="10" t="s">
        <v>19</v>
      </c>
      <c r="AI47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47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7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7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47" s="7">
        <f xml:space="preserve"> SUMIFS(Tabla18[pm],Tabla18[fecha],TablaCamion[[#This Row],[fecha]],Tabla18[punto],AH36)</f>
        <v>0</v>
      </c>
      <c r="AN47" s="27">
        <f xml:space="preserve"> SUMIFS(Tabla18[efectivo],Tabla18[fecha],TablaCamion[[#This Row],[fecha]],Tabla18[punto],AH36)</f>
        <v>0</v>
      </c>
      <c r="AO47" s="10">
        <f xml:space="preserve"> SUMIFS(Tabla18[divisa],Tabla18[fecha],TablaCamion[[#This Row],[fecha]],Tabla18[punto],AH36)</f>
        <v>0</v>
      </c>
      <c r="AP47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7" s="9">
        <f xml:space="preserve"> ((TablaCamion[[#This Row],[10kg]]*3.5) + (TablaCamion[[#This Row],[18kg]]*7)  + (TablaCamion[[#This Row],[27kg]]*11) + (TablaCamion[[#This Row],[43kg]]*17)) * DATOS!F2</f>
        <v>0</v>
      </c>
      <c r="AS47" s="10" t="s">
        <v>19</v>
      </c>
      <c r="AT47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7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7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7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7" s="7">
        <f xml:space="preserve"> SUMIFS(Tabla18[pm],Tabla18[fecha],TablaOtrosPuntos[[#This Row],[fecha]],Tabla18[punto],AS36)</f>
        <v>0</v>
      </c>
      <c r="AY47" s="27">
        <f xml:space="preserve"> SUMIFS(Tabla18[efectivo],Tabla18[fecha],TablaOtrosPuntos[[#This Row],[fecha]],Tabla18[punto],AS36)</f>
        <v>0</v>
      </c>
      <c r="AZ47" s="10">
        <f xml:space="preserve"> SUMIFS(Tabla18[divisa],Tabla18[fecha],TablaOtrosPuntos[[#This Row],[fecha]],Tabla18[punto],AS36)</f>
        <v>0</v>
      </c>
      <c r="BA47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7" s="9">
        <f xml:space="preserve"> ((TablaOtrosPuntos[[#This Row],[10kg]]*3.5) + (TablaOtrosPuntos[[#This Row],[18kg]]*7)  + (TablaOtrosPuntos[[#This Row],[27kg]]*11) + (TablaOtrosPuntos[[#This Row],[43kg]]*17)) * DATOS!F2</f>
        <v>0</v>
      </c>
      <c r="BC47" s="33"/>
    </row>
    <row r="48" spans="1:55" x14ac:dyDescent="0.25">
      <c r="A48" s="10" t="s">
        <v>20</v>
      </c>
      <c r="B48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48" s="8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48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8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8" s="8">
        <f xml:space="preserve"> SUMIFS(Tabla18[pm],Tabla18[fecha],TablaSector3[[#This Row],[fecha]],Tabla18[punto],A36)</f>
        <v>0</v>
      </c>
      <c r="G48" s="27">
        <f xml:space="preserve"> SUMIFS(Tabla18[efectivo],Tabla18[fecha],TablaSector3[[#This Row],[fecha]],Tabla18[punto],A36)</f>
        <v>0</v>
      </c>
      <c r="H48" s="7">
        <f xml:space="preserve"> SUMIFS(Tabla18[divisa],Tabla18[fecha],TablaSector3[[#This Row],[fecha]],Tabla18[punto],A36)</f>
        <v>0</v>
      </c>
      <c r="I48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8" s="9">
        <f xml:space="preserve"> ((TablaSector3[[#This Row],[10kg]]*3.5) + (TablaSector3[[#This Row],[18kg]]*7)  + (TablaSector3[[#This Row],[27kg]]*11) + (TablaSector3[[#This Row],[43kg]]*17)) * DATOS!F2</f>
        <v>0</v>
      </c>
      <c r="L48" s="10" t="s">
        <v>20</v>
      </c>
      <c r="M48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8" s="8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8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8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8" s="8">
        <f xml:space="preserve"> SUMIFS(Tabla18[pm],Tabla18[fecha],TablaSector9[[#This Row],[fecha]],Tabla18[punto],L36)</f>
        <v>0</v>
      </c>
      <c r="R48" s="27">
        <f xml:space="preserve"> SUMIFS(Tabla18[efectivo],Tabla18[fecha],TablaSector9[[#This Row],[fecha]],Tabla18[punto],L36)</f>
        <v>0</v>
      </c>
      <c r="S48" s="7">
        <f xml:space="preserve"> SUMIFS(Tabla18[divisa],Tabla18[fecha],TablaSector9[[#This Row],[fecha]],Tabla18[punto],L36)</f>
        <v>0</v>
      </c>
      <c r="T48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8" s="9">
        <f xml:space="preserve"> ((TablaSector9[[#This Row],[10kg]]*3.5) + (TablaSector9[[#This Row],[18kg]]*7)  + (TablaSector9[[#This Row],[27kg]]*11) + (TablaSector9[[#This Row],[43kg]]*17)) * DATOS!F2</f>
        <v>0</v>
      </c>
      <c r="W48" s="10" t="s">
        <v>20</v>
      </c>
      <c r="X48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48" s="8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48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8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48" s="8">
        <f xml:space="preserve"> SUMIFS(Tabla18[pm],Tabla18[fecha],TablaProgreso[[#This Row],[fecha]],Tabla18[punto],W36)</f>
        <v>0</v>
      </c>
      <c r="AC48" s="27">
        <f xml:space="preserve"> SUMIFS(Tabla18[efectivo],Tabla18[fecha],TablaProgreso[[#This Row],[fecha]],Tabla18[punto],W36)</f>
        <v>0</v>
      </c>
      <c r="AD48" s="7">
        <f xml:space="preserve"> SUMIFS(Tabla18[divisa],Tabla18[fecha],TablaProgreso[[#This Row],[fecha]],Tabla18[punto],W36)</f>
        <v>0</v>
      </c>
      <c r="AE48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8" s="9">
        <f xml:space="preserve"> ((TablaProgreso[[#This Row],[10kg]]*3.5) + (TablaProgreso[[#This Row],[18kg]]*7)  + (TablaProgreso[[#This Row],[27kg]]*11) + (TablaProgreso[[#This Row],[43kg]]*17)) * DATOS!F2</f>
        <v>0</v>
      </c>
      <c r="AH48" s="10" t="s">
        <v>20</v>
      </c>
      <c r="AI48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48" s="8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8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8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48" s="8">
        <f xml:space="preserve"> SUMIFS(Tabla18[pm],Tabla18[fecha],TablaCamion[[#This Row],[fecha]],Tabla18[punto],AH36)</f>
        <v>0</v>
      </c>
      <c r="AN48" s="27">
        <f xml:space="preserve"> SUMIFS(Tabla18[efectivo],Tabla18[fecha],TablaCamion[[#This Row],[fecha]],Tabla18[punto],AH36)</f>
        <v>0</v>
      </c>
      <c r="AO48" s="7">
        <f xml:space="preserve"> SUMIFS(Tabla18[divisa],Tabla18[fecha],TablaCamion[[#This Row],[fecha]],Tabla18[punto],AH36)</f>
        <v>0</v>
      </c>
      <c r="AP48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8" s="9">
        <f xml:space="preserve"> ((TablaCamion[[#This Row],[10kg]]*3.5) + (TablaCamion[[#This Row],[18kg]]*7)  + (TablaCamion[[#This Row],[27kg]]*11) + (TablaCamion[[#This Row],[43kg]]*17)) * DATOS!F2</f>
        <v>0</v>
      </c>
      <c r="AS48" s="10" t="s">
        <v>20</v>
      </c>
      <c r="AT48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8" s="8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8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8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8" s="8">
        <f xml:space="preserve"> SUMIFS(Tabla18[pm],Tabla18[fecha],TablaOtrosPuntos[[#This Row],[fecha]],Tabla18[punto],AS36)</f>
        <v>0</v>
      </c>
      <c r="AY48" s="27">
        <f xml:space="preserve"> SUMIFS(Tabla18[efectivo],Tabla18[fecha],TablaOtrosPuntos[[#This Row],[fecha]],Tabla18[punto],AS36)</f>
        <v>0</v>
      </c>
      <c r="AZ48" s="7">
        <f xml:space="preserve"> SUMIFS(Tabla18[divisa],Tabla18[fecha],TablaOtrosPuntos[[#This Row],[fecha]],Tabla18[punto],AS36)</f>
        <v>0</v>
      </c>
      <c r="BA48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8" s="9">
        <f xml:space="preserve"> ((TablaOtrosPuntos[[#This Row],[10kg]]*3.5) + (TablaOtrosPuntos[[#This Row],[18kg]]*7)  + (TablaOtrosPuntos[[#This Row],[27kg]]*11) + (TablaOtrosPuntos[[#This Row],[43kg]]*17)) * DATOS!F2</f>
        <v>0</v>
      </c>
      <c r="BC48" s="33"/>
    </row>
    <row r="49" spans="1:55" x14ac:dyDescent="0.25">
      <c r="A49" s="10" t="s">
        <v>21</v>
      </c>
      <c r="B49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49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49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49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49" s="8">
        <f xml:space="preserve"> SUMIFS(Tabla18[pm],Tabla18[fecha],TablaSector3[[#This Row],[fecha]],Tabla18[punto],A36)</f>
        <v>0</v>
      </c>
      <c r="G49" s="27">
        <f xml:space="preserve"> SUMIFS(Tabla18[efectivo],Tabla18[fecha],TablaSector3[[#This Row],[fecha]],Tabla18[punto],A36)</f>
        <v>0</v>
      </c>
      <c r="H49" s="8">
        <f xml:space="preserve"> SUMIFS(Tabla18[divisa],Tabla18[fecha],TablaSector3[[#This Row],[fecha]],Tabla18[punto],A36)</f>
        <v>0</v>
      </c>
      <c r="I49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49" s="9">
        <f xml:space="preserve"> ((TablaSector3[[#This Row],[10kg]]*3.5) + (TablaSector3[[#This Row],[18kg]]*7)  + (TablaSector3[[#This Row],[27kg]]*11) + (TablaSector3[[#This Row],[43kg]]*17)) * DATOS!F2</f>
        <v>0</v>
      </c>
      <c r="L49" s="10" t="s">
        <v>21</v>
      </c>
      <c r="M49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49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49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49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49" s="8">
        <f xml:space="preserve"> SUMIFS(Tabla18[pm],Tabla18[fecha],TablaSector9[[#This Row],[fecha]],Tabla18[punto],L36)</f>
        <v>0</v>
      </c>
      <c r="R49" s="27">
        <f xml:space="preserve"> SUMIFS(Tabla18[efectivo],Tabla18[fecha],TablaSector9[[#This Row],[fecha]],Tabla18[punto],L36)</f>
        <v>0</v>
      </c>
      <c r="S49" s="8">
        <f xml:space="preserve"> SUMIFS(Tabla18[divisa],Tabla18[fecha],TablaSector9[[#This Row],[fecha]],Tabla18[punto],L36)</f>
        <v>0</v>
      </c>
      <c r="T49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49" s="9">
        <f xml:space="preserve"> ((TablaSector9[[#This Row],[10kg]]*3.5) + (TablaSector9[[#This Row],[18kg]]*7)  + (TablaSector9[[#This Row],[27kg]]*11) + (TablaSector9[[#This Row],[43kg]]*17)) * DATOS!F2</f>
        <v>0</v>
      </c>
      <c r="W49" s="10" t="s">
        <v>21</v>
      </c>
      <c r="X49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49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49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49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49" s="8">
        <f xml:space="preserve"> SUMIFS(Tabla18[pm],Tabla18[fecha],TablaProgreso[[#This Row],[fecha]],Tabla18[punto],W36)</f>
        <v>0</v>
      </c>
      <c r="AC49" s="27">
        <f xml:space="preserve"> SUMIFS(Tabla18[efectivo],Tabla18[fecha],TablaProgreso[[#This Row],[fecha]],Tabla18[punto],W36)</f>
        <v>0</v>
      </c>
      <c r="AD49" s="8">
        <f xml:space="preserve"> SUMIFS(Tabla18[divisa],Tabla18[fecha],TablaProgreso[[#This Row],[fecha]],Tabla18[punto],W36)</f>
        <v>0</v>
      </c>
      <c r="AE49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49" s="9">
        <f xml:space="preserve"> ((TablaProgreso[[#This Row],[10kg]]*3.5) + (TablaProgreso[[#This Row],[18kg]]*7)  + (TablaProgreso[[#This Row],[27kg]]*11) + (TablaProgreso[[#This Row],[43kg]]*17)) * DATOS!F2</f>
        <v>0</v>
      </c>
      <c r="AH49" s="10" t="s">
        <v>21</v>
      </c>
      <c r="AI49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49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49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49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49" s="8">
        <f xml:space="preserve"> SUMIFS(Tabla18[pm],Tabla18[fecha],TablaCamion[[#This Row],[fecha]],Tabla18[punto],AH36)</f>
        <v>0</v>
      </c>
      <c r="AN49" s="27">
        <f xml:space="preserve"> SUMIFS(Tabla18[efectivo],Tabla18[fecha],TablaCamion[[#This Row],[fecha]],Tabla18[punto],AH36)</f>
        <v>0</v>
      </c>
      <c r="AO49" s="8">
        <f xml:space="preserve"> SUMIFS(Tabla18[divisa],Tabla18[fecha],TablaCamion[[#This Row],[fecha]],Tabla18[punto],AH36)</f>
        <v>0</v>
      </c>
      <c r="AP49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49" s="9">
        <f xml:space="preserve"> ((TablaCamion[[#This Row],[10kg]]*3.5) + (TablaCamion[[#This Row],[18kg]]*7)  + (TablaCamion[[#This Row],[27kg]]*11) + (TablaCamion[[#This Row],[43kg]]*17)) * DATOS!F2</f>
        <v>0</v>
      </c>
      <c r="AS49" s="10" t="s">
        <v>21</v>
      </c>
      <c r="AT49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49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49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49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49" s="8">
        <f xml:space="preserve"> SUMIFS(Tabla18[pm],Tabla18[fecha],TablaOtrosPuntos[[#This Row],[fecha]],Tabla18[punto],AS36)</f>
        <v>0</v>
      </c>
      <c r="AY49" s="27">
        <f xml:space="preserve"> SUMIFS(Tabla18[efectivo],Tabla18[fecha],TablaOtrosPuntos[[#This Row],[fecha]],Tabla18[punto],AS36)</f>
        <v>0</v>
      </c>
      <c r="AZ49" s="8">
        <f xml:space="preserve"> SUMIFS(Tabla18[divisa],Tabla18[fecha],TablaOtrosPuntos[[#This Row],[fecha]],Tabla18[punto],AS36)</f>
        <v>0</v>
      </c>
      <c r="BA49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49" s="9">
        <f xml:space="preserve"> ((TablaOtrosPuntos[[#This Row],[10kg]]*3.5) + (TablaOtrosPuntos[[#This Row],[18kg]]*7)  + (TablaOtrosPuntos[[#This Row],[27kg]]*11) + (TablaOtrosPuntos[[#This Row],[43kg]]*17)) * DATOS!F2</f>
        <v>0</v>
      </c>
      <c r="BC49" s="33"/>
    </row>
    <row r="50" spans="1:55" x14ac:dyDescent="0.25">
      <c r="A50" s="10" t="s">
        <v>22</v>
      </c>
      <c r="B50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0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0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0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0" s="8">
        <f xml:space="preserve"> SUMIFS(Tabla18[pm],Tabla18[fecha],TablaSector3[[#This Row],[fecha]],Tabla18[punto],A36)</f>
        <v>0</v>
      </c>
      <c r="G50" s="27">
        <f xml:space="preserve"> SUMIFS(Tabla18[efectivo],Tabla18[fecha],TablaSector3[[#This Row],[fecha]],Tabla18[punto],A36)</f>
        <v>0</v>
      </c>
      <c r="H50" s="8">
        <f xml:space="preserve"> SUMIFS(Tabla18[divisa],Tabla18[fecha],TablaSector3[[#This Row],[fecha]],Tabla18[punto],A36)</f>
        <v>0</v>
      </c>
      <c r="I50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0" s="9">
        <f xml:space="preserve"> ((TablaSector3[[#This Row],[10kg]]*3.5) + (TablaSector3[[#This Row],[18kg]]*7)  + (TablaSector3[[#This Row],[27kg]]*11) + (TablaSector3[[#This Row],[43kg]]*17)) * DATOS!F2</f>
        <v>0</v>
      </c>
      <c r="L50" s="10" t="s">
        <v>22</v>
      </c>
      <c r="M50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0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0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0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0" s="8">
        <f xml:space="preserve"> SUMIFS(Tabla18[pm],Tabla18[fecha],TablaSector9[[#This Row],[fecha]],Tabla18[punto],L36)</f>
        <v>0</v>
      </c>
      <c r="R50" s="27">
        <f xml:space="preserve"> SUMIFS(Tabla18[efectivo],Tabla18[fecha],TablaSector9[[#This Row],[fecha]],Tabla18[punto],L36)</f>
        <v>0</v>
      </c>
      <c r="S50" s="8">
        <f xml:space="preserve"> SUMIFS(Tabla18[divisa],Tabla18[fecha],TablaSector9[[#This Row],[fecha]],Tabla18[punto],L36)</f>
        <v>0</v>
      </c>
      <c r="T50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0" s="9">
        <f xml:space="preserve"> ((TablaSector9[[#This Row],[10kg]]*3.5) + (TablaSector9[[#This Row],[18kg]]*7)  + (TablaSector9[[#This Row],[27kg]]*11) + (TablaSector9[[#This Row],[43kg]]*17)) * DATOS!F2</f>
        <v>0</v>
      </c>
      <c r="W50" s="10" t="s">
        <v>22</v>
      </c>
      <c r="X50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0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0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0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0" s="8">
        <f xml:space="preserve"> SUMIFS(Tabla18[pm],Tabla18[fecha],TablaProgreso[[#This Row],[fecha]],Tabla18[punto],W36)</f>
        <v>0</v>
      </c>
      <c r="AC50" s="27">
        <f xml:space="preserve"> SUMIFS(Tabla18[efectivo],Tabla18[fecha],TablaProgreso[[#This Row],[fecha]],Tabla18[punto],W36)</f>
        <v>0</v>
      </c>
      <c r="AD50" s="8">
        <f xml:space="preserve"> SUMIFS(Tabla18[divisa],Tabla18[fecha],TablaProgreso[[#This Row],[fecha]],Tabla18[punto],W36)</f>
        <v>0</v>
      </c>
      <c r="AE50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0" s="9">
        <f xml:space="preserve"> ((TablaProgreso[[#This Row],[10kg]]*3.5) + (TablaProgreso[[#This Row],[18kg]]*7)  + (TablaProgreso[[#This Row],[27kg]]*11) + (TablaProgreso[[#This Row],[43kg]]*17)) * DATOS!F2</f>
        <v>0</v>
      </c>
      <c r="AH50" s="10" t="s">
        <v>22</v>
      </c>
      <c r="AI50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0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0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0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0" s="8">
        <f xml:space="preserve"> SUMIFS(Tabla18[pm],Tabla18[fecha],TablaCamion[[#This Row],[fecha]],Tabla18[punto],AH36)</f>
        <v>0</v>
      </c>
      <c r="AN50" s="27">
        <f xml:space="preserve"> SUMIFS(Tabla18[efectivo],Tabla18[fecha],TablaCamion[[#This Row],[fecha]],Tabla18[punto],AH36)</f>
        <v>0</v>
      </c>
      <c r="AO50" s="8">
        <f xml:space="preserve"> SUMIFS(Tabla18[divisa],Tabla18[fecha],TablaCamion[[#This Row],[fecha]],Tabla18[punto],AH36)</f>
        <v>0</v>
      </c>
      <c r="AP50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0" s="9">
        <f xml:space="preserve"> ((TablaCamion[[#This Row],[10kg]]*3.5) + (TablaCamion[[#This Row],[18kg]]*7)  + (TablaCamion[[#This Row],[27kg]]*11) + (TablaCamion[[#This Row],[43kg]]*17)) * DATOS!F2</f>
        <v>0</v>
      </c>
      <c r="AS50" s="10" t="s">
        <v>22</v>
      </c>
      <c r="AT50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0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0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0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0" s="8">
        <f xml:space="preserve"> SUMIFS(Tabla18[pm],Tabla18[fecha],TablaOtrosPuntos[[#This Row],[fecha]],Tabla18[punto],AS36)</f>
        <v>0</v>
      </c>
      <c r="AY50" s="27">
        <f xml:space="preserve"> SUMIFS(Tabla18[efectivo],Tabla18[fecha],TablaOtrosPuntos[[#This Row],[fecha]],Tabla18[punto],AS36)</f>
        <v>0</v>
      </c>
      <c r="AZ50" s="8">
        <f xml:space="preserve"> SUMIFS(Tabla18[divisa],Tabla18[fecha],TablaOtrosPuntos[[#This Row],[fecha]],Tabla18[punto],AS36)</f>
        <v>0</v>
      </c>
      <c r="BA50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0" s="9">
        <f xml:space="preserve"> ((TablaOtrosPuntos[[#This Row],[10kg]]*3.5) + (TablaOtrosPuntos[[#This Row],[18kg]]*7)  + (TablaOtrosPuntos[[#This Row],[27kg]]*11) + (TablaOtrosPuntos[[#This Row],[43kg]]*17)) * DATOS!F2</f>
        <v>0</v>
      </c>
      <c r="BC50" s="33"/>
    </row>
    <row r="51" spans="1:55" x14ac:dyDescent="0.25">
      <c r="A51" s="10" t="s">
        <v>23</v>
      </c>
      <c r="B51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1" s="8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1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1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1" s="8">
        <f xml:space="preserve"> SUMIFS(Tabla18[pm],Tabla18[fecha],TablaSector3[[#This Row],[fecha]],Tabla18[punto],A36)</f>
        <v>0</v>
      </c>
      <c r="G51" s="27">
        <f xml:space="preserve"> SUMIFS(Tabla18[efectivo],Tabla18[fecha],TablaSector3[[#This Row],[fecha]],Tabla18[punto],A36)</f>
        <v>0</v>
      </c>
      <c r="H51" s="8">
        <f xml:space="preserve"> SUMIFS(Tabla18[divisa],Tabla18[fecha],TablaSector3[[#This Row],[fecha]],Tabla18[punto],A36)</f>
        <v>0</v>
      </c>
      <c r="I51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1" s="9">
        <f xml:space="preserve"> ((TablaSector3[[#This Row],[10kg]]*3.5) + (TablaSector3[[#This Row],[18kg]]*7)  + (TablaSector3[[#This Row],[27kg]]*11) + (TablaSector3[[#This Row],[43kg]]*17)) * DATOS!F2</f>
        <v>0</v>
      </c>
      <c r="L51" s="10" t="s">
        <v>23</v>
      </c>
      <c r="M51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1" s="8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1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1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1" s="8">
        <f xml:space="preserve"> SUMIFS(Tabla18[pm],Tabla18[fecha],TablaSector9[[#This Row],[fecha]],Tabla18[punto],L36)</f>
        <v>0</v>
      </c>
      <c r="R51" s="27">
        <f xml:space="preserve"> SUMIFS(Tabla18[efectivo],Tabla18[fecha],TablaSector9[[#This Row],[fecha]],Tabla18[punto],L36)</f>
        <v>0</v>
      </c>
      <c r="S51" s="8">
        <f xml:space="preserve"> SUMIFS(Tabla18[divisa],Tabla18[fecha],TablaSector9[[#This Row],[fecha]],Tabla18[punto],L36)</f>
        <v>0</v>
      </c>
      <c r="T51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1" s="9">
        <f xml:space="preserve"> ((TablaSector9[[#This Row],[10kg]]*3.5) + (TablaSector9[[#This Row],[18kg]]*7)  + (TablaSector9[[#This Row],[27kg]]*11) + (TablaSector9[[#This Row],[43kg]]*17)) * DATOS!F2</f>
        <v>0</v>
      </c>
      <c r="W51" s="10" t="s">
        <v>23</v>
      </c>
      <c r="X51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1" s="8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1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1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1" s="8">
        <f xml:space="preserve"> SUMIFS(Tabla18[pm],Tabla18[fecha],TablaProgreso[[#This Row],[fecha]],Tabla18[punto],W36)</f>
        <v>0</v>
      </c>
      <c r="AC51" s="27">
        <f xml:space="preserve"> SUMIFS(Tabla18[efectivo],Tabla18[fecha],TablaProgreso[[#This Row],[fecha]],Tabla18[punto],W36)</f>
        <v>0</v>
      </c>
      <c r="AD51" s="8">
        <f xml:space="preserve"> SUMIFS(Tabla18[divisa],Tabla18[fecha],TablaProgreso[[#This Row],[fecha]],Tabla18[punto],W36)</f>
        <v>0</v>
      </c>
      <c r="AE51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1" s="9">
        <f xml:space="preserve"> ((TablaProgreso[[#This Row],[10kg]]*3.5) + (TablaProgreso[[#This Row],[18kg]]*7)  + (TablaProgreso[[#This Row],[27kg]]*11) + (TablaProgreso[[#This Row],[43kg]]*17)) * DATOS!F2</f>
        <v>0</v>
      </c>
      <c r="AH51" s="10" t="s">
        <v>23</v>
      </c>
      <c r="AI51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1" s="8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1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1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1" s="8">
        <f xml:space="preserve"> SUMIFS(Tabla18[pm],Tabla18[fecha],TablaCamion[[#This Row],[fecha]],Tabla18[punto],AH36)</f>
        <v>0</v>
      </c>
      <c r="AN51" s="27">
        <f xml:space="preserve"> SUMIFS(Tabla18[efectivo],Tabla18[fecha],TablaCamion[[#This Row],[fecha]],Tabla18[punto],AH36)</f>
        <v>0</v>
      </c>
      <c r="AO51" s="8">
        <f xml:space="preserve"> SUMIFS(Tabla18[divisa],Tabla18[fecha],TablaCamion[[#This Row],[fecha]],Tabla18[punto],AH36)</f>
        <v>0</v>
      </c>
      <c r="AP51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1" s="9">
        <f xml:space="preserve"> ((TablaCamion[[#This Row],[10kg]]*3.5) + (TablaCamion[[#This Row],[18kg]]*7)  + (TablaCamion[[#This Row],[27kg]]*11) + (TablaCamion[[#This Row],[43kg]]*17)) * DATOS!F2</f>
        <v>0</v>
      </c>
      <c r="AS51" s="10" t="s">
        <v>23</v>
      </c>
      <c r="AT51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1" s="8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1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1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1" s="8">
        <f xml:space="preserve"> SUMIFS(Tabla18[pm],Tabla18[fecha],TablaOtrosPuntos[[#This Row],[fecha]],Tabla18[punto],AS36)</f>
        <v>0</v>
      </c>
      <c r="AY51" s="27">
        <f xml:space="preserve"> SUMIFS(Tabla18[efectivo],Tabla18[fecha],TablaOtrosPuntos[[#This Row],[fecha]],Tabla18[punto],AS36)</f>
        <v>0</v>
      </c>
      <c r="AZ51" s="8">
        <f xml:space="preserve"> SUMIFS(Tabla18[divisa],Tabla18[fecha],TablaOtrosPuntos[[#This Row],[fecha]],Tabla18[punto],AS36)</f>
        <v>0</v>
      </c>
      <c r="BA51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1" s="9">
        <f xml:space="preserve"> ((TablaOtrosPuntos[[#This Row],[10kg]]*3.5) + (TablaOtrosPuntos[[#This Row],[18kg]]*7)  + (TablaOtrosPuntos[[#This Row],[27kg]]*11) + (TablaOtrosPuntos[[#This Row],[43kg]]*17)) * DATOS!F2</f>
        <v>0</v>
      </c>
      <c r="BC51" s="33"/>
    </row>
    <row r="52" spans="1:55" x14ac:dyDescent="0.25">
      <c r="A52" s="10" t="s">
        <v>24</v>
      </c>
      <c r="B52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2" s="10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2" s="10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2" s="10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2" s="8">
        <f xml:space="preserve"> SUMIFS(Tabla18[pm],Tabla18[fecha],TablaSector3[[#This Row],[fecha]],Tabla18[punto],A36)</f>
        <v>0</v>
      </c>
      <c r="G52" s="28">
        <f xml:space="preserve"> SUMIFS(Tabla18[efectivo],Tabla18[fecha],TablaSector3[[#This Row],[fecha]],Tabla18[punto],A36)</f>
        <v>0</v>
      </c>
      <c r="H52" s="8">
        <f xml:space="preserve"> SUMIFS(Tabla18[divisa],Tabla18[fecha],TablaSector3[[#This Row],[fecha]],Tabla18[punto],A36)</f>
        <v>0</v>
      </c>
      <c r="I52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2" s="9">
        <f xml:space="preserve"> ((TablaSector3[[#This Row],[10kg]]*3.5) + (TablaSector3[[#This Row],[18kg]]*7)  + (TablaSector3[[#This Row],[27kg]]*11) + (TablaSector3[[#This Row],[43kg]]*17)) * DATOS!F2</f>
        <v>0</v>
      </c>
      <c r="L52" s="10" t="s">
        <v>24</v>
      </c>
      <c r="M52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2" s="10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2" s="10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2" s="10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2" s="8">
        <f xml:space="preserve"> SUMIFS(Tabla18[pm],Tabla18[fecha],TablaSector9[[#This Row],[fecha]],Tabla18[punto],L36)</f>
        <v>0</v>
      </c>
      <c r="R52" s="28">
        <f xml:space="preserve"> SUMIFS(Tabla18[efectivo],Tabla18[fecha],TablaSector9[[#This Row],[fecha]],Tabla18[punto],L36)</f>
        <v>0</v>
      </c>
      <c r="S52" s="8">
        <f xml:space="preserve"> SUMIFS(Tabla18[divisa],Tabla18[fecha],TablaSector9[[#This Row],[fecha]],Tabla18[punto],L36)</f>
        <v>0</v>
      </c>
      <c r="T52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2" s="9">
        <f xml:space="preserve"> ((TablaSector9[[#This Row],[10kg]]*3.5) + (TablaSector9[[#This Row],[18kg]]*7)  + (TablaSector9[[#This Row],[27kg]]*11) + (TablaSector9[[#This Row],[43kg]]*17)) * DATOS!F2</f>
        <v>0</v>
      </c>
      <c r="W52" s="10" t="s">
        <v>24</v>
      </c>
      <c r="X52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2" s="10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2" s="10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2" s="10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2" s="8">
        <f xml:space="preserve"> SUMIFS(Tabla18[pm],Tabla18[fecha],TablaProgreso[[#This Row],[fecha]],Tabla18[punto],W36)</f>
        <v>0</v>
      </c>
      <c r="AC52" s="28">
        <f xml:space="preserve"> SUMIFS(Tabla18[efectivo],Tabla18[fecha],TablaProgreso[[#This Row],[fecha]],Tabla18[punto],W36)</f>
        <v>0</v>
      </c>
      <c r="AD52" s="8">
        <f xml:space="preserve"> SUMIFS(Tabla18[divisa],Tabla18[fecha],TablaProgreso[[#This Row],[fecha]],Tabla18[punto],W36)</f>
        <v>0</v>
      </c>
      <c r="AE52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2" s="9">
        <f xml:space="preserve"> ((TablaProgreso[[#This Row],[10kg]]*3.5) + (TablaProgreso[[#This Row],[18kg]]*7)  + (TablaProgreso[[#This Row],[27kg]]*11) + (TablaProgreso[[#This Row],[43kg]]*17)) * DATOS!F2</f>
        <v>0</v>
      </c>
      <c r="AH52" s="10" t="s">
        <v>24</v>
      </c>
      <c r="AI52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2" s="10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2" s="10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2" s="10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2" s="8">
        <f xml:space="preserve"> SUMIFS(Tabla18[pm],Tabla18[fecha],TablaCamion[[#This Row],[fecha]],Tabla18[punto],AH36)</f>
        <v>0</v>
      </c>
      <c r="AN52" s="28">
        <f xml:space="preserve"> SUMIFS(Tabla18[efectivo],Tabla18[fecha],TablaCamion[[#This Row],[fecha]],Tabla18[punto],AH36)</f>
        <v>0</v>
      </c>
      <c r="AO52" s="8">
        <f xml:space="preserve"> SUMIFS(Tabla18[divisa],Tabla18[fecha],TablaCamion[[#This Row],[fecha]],Tabla18[punto],AH36)</f>
        <v>0</v>
      </c>
      <c r="AP52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2" s="9">
        <f xml:space="preserve"> ((TablaCamion[[#This Row],[10kg]]*3.5) + (TablaCamion[[#This Row],[18kg]]*7)  + (TablaCamion[[#This Row],[27kg]]*11) + (TablaCamion[[#This Row],[43kg]]*17)) * DATOS!F2</f>
        <v>0</v>
      </c>
      <c r="AS52" s="10" t="s">
        <v>24</v>
      </c>
      <c r="AT52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2" s="10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2" s="10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2" s="10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2" s="8">
        <f xml:space="preserve"> SUMIFS(Tabla18[pm],Tabla18[fecha],TablaOtrosPuntos[[#This Row],[fecha]],Tabla18[punto],AS36)</f>
        <v>0</v>
      </c>
      <c r="AY52" s="28">
        <f xml:space="preserve"> SUMIFS(Tabla18[efectivo],Tabla18[fecha],TablaOtrosPuntos[[#This Row],[fecha]],Tabla18[punto],AS36)</f>
        <v>0</v>
      </c>
      <c r="AZ52" s="8">
        <f xml:space="preserve"> SUMIFS(Tabla18[divisa],Tabla18[fecha],TablaOtrosPuntos[[#This Row],[fecha]],Tabla18[punto],AS36)</f>
        <v>0</v>
      </c>
      <c r="BA52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2" s="9">
        <f xml:space="preserve"> ((TablaOtrosPuntos[[#This Row],[10kg]]*3.5) + (TablaOtrosPuntos[[#This Row],[18kg]]*7)  + (TablaOtrosPuntos[[#This Row],[27kg]]*11) + (TablaOtrosPuntos[[#This Row],[43kg]]*17)) * DATOS!F2</f>
        <v>0</v>
      </c>
      <c r="BC52" s="33"/>
    </row>
    <row r="53" spans="1:55" x14ac:dyDescent="0.25">
      <c r="A53" s="10" t="s">
        <v>25</v>
      </c>
      <c r="B53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3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3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3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3" s="8">
        <f xml:space="preserve"> SUMIFS(Tabla18[pm],Tabla18[fecha],TablaSector3[[#This Row],[fecha]],Tabla18[punto],A36)</f>
        <v>0</v>
      </c>
      <c r="G53" s="28">
        <f xml:space="preserve"> SUMIFS(Tabla18[efectivo],Tabla18[fecha],TablaSector3[[#This Row],[fecha]],Tabla18[punto],A36)</f>
        <v>0</v>
      </c>
      <c r="H53" s="8">
        <f xml:space="preserve"> SUMIFS(Tabla18[divisa],Tabla18[fecha],TablaSector3[[#This Row],[fecha]],Tabla18[punto],A36)</f>
        <v>0</v>
      </c>
      <c r="I53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3" s="9">
        <f xml:space="preserve"> ((TablaSector3[[#This Row],[10kg]]*3.5) + (TablaSector3[[#This Row],[18kg]]*7)  + (TablaSector3[[#This Row],[27kg]]*11) + (TablaSector3[[#This Row],[43kg]]*17)) * DATOS!F2</f>
        <v>0</v>
      </c>
      <c r="L53" s="10" t="s">
        <v>25</v>
      </c>
      <c r="M53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3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3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3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3" s="8">
        <f xml:space="preserve"> SUMIFS(Tabla18[pm],Tabla18[fecha],TablaSector9[[#This Row],[fecha]],Tabla18[punto],L36)</f>
        <v>0</v>
      </c>
      <c r="R53" s="28">
        <f xml:space="preserve"> SUMIFS(Tabla18[efectivo],Tabla18[fecha],TablaSector9[[#This Row],[fecha]],Tabla18[punto],L36)</f>
        <v>0</v>
      </c>
      <c r="S53" s="8">
        <f xml:space="preserve"> SUMIFS(Tabla18[divisa],Tabla18[fecha],TablaSector9[[#This Row],[fecha]],Tabla18[punto],L36)</f>
        <v>0</v>
      </c>
      <c r="T53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3" s="9">
        <f xml:space="preserve"> ((TablaSector9[[#This Row],[10kg]]*3.5) + (TablaSector9[[#This Row],[18kg]]*7)  + (TablaSector9[[#This Row],[27kg]]*11) + (TablaSector9[[#This Row],[43kg]]*17)) * DATOS!F2</f>
        <v>0</v>
      </c>
      <c r="W53" s="10" t="s">
        <v>25</v>
      </c>
      <c r="X53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3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3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3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3" s="8">
        <f xml:space="preserve"> SUMIFS(Tabla18[pm],Tabla18[fecha],TablaProgreso[[#This Row],[fecha]],Tabla18[punto],W36)</f>
        <v>0</v>
      </c>
      <c r="AC53" s="28">
        <f xml:space="preserve"> SUMIFS(Tabla18[efectivo],Tabla18[fecha],TablaProgreso[[#This Row],[fecha]],Tabla18[punto],W36)</f>
        <v>0</v>
      </c>
      <c r="AD53" s="8">
        <f xml:space="preserve"> SUMIFS(Tabla18[divisa],Tabla18[fecha],TablaProgreso[[#This Row],[fecha]],Tabla18[punto],W36)</f>
        <v>0</v>
      </c>
      <c r="AE53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3" s="9">
        <f xml:space="preserve"> ((TablaProgreso[[#This Row],[10kg]]*3.5) + (TablaProgreso[[#This Row],[18kg]]*7)  + (TablaProgreso[[#This Row],[27kg]]*11) + (TablaProgreso[[#This Row],[43kg]]*17)) * DATOS!F2</f>
        <v>0</v>
      </c>
      <c r="AH53" s="10" t="s">
        <v>25</v>
      </c>
      <c r="AI53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3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3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3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3" s="8">
        <f xml:space="preserve"> SUMIFS(Tabla18[pm],Tabla18[fecha],TablaCamion[[#This Row],[fecha]],Tabla18[punto],AH36)</f>
        <v>0</v>
      </c>
      <c r="AN53" s="28">
        <f xml:space="preserve"> SUMIFS(Tabla18[efectivo],Tabla18[fecha],TablaCamion[[#This Row],[fecha]],Tabla18[punto],AH36)</f>
        <v>0</v>
      </c>
      <c r="AO53" s="8">
        <f xml:space="preserve"> SUMIFS(Tabla18[divisa],Tabla18[fecha],TablaCamion[[#This Row],[fecha]],Tabla18[punto],AH36)</f>
        <v>0</v>
      </c>
      <c r="AP53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3" s="9">
        <f xml:space="preserve"> ((TablaCamion[[#This Row],[10kg]]*3.5) + (TablaCamion[[#This Row],[18kg]]*7)  + (TablaCamion[[#This Row],[27kg]]*11) + (TablaCamion[[#This Row],[43kg]]*17)) * DATOS!F2</f>
        <v>0</v>
      </c>
      <c r="AS53" s="10" t="s">
        <v>25</v>
      </c>
      <c r="AT53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3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3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3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3" s="8">
        <f xml:space="preserve"> SUMIFS(Tabla18[pm],Tabla18[fecha],TablaOtrosPuntos[[#This Row],[fecha]],Tabla18[punto],AS36)</f>
        <v>0</v>
      </c>
      <c r="AY53" s="28">
        <f xml:space="preserve"> SUMIFS(Tabla18[efectivo],Tabla18[fecha],TablaOtrosPuntos[[#This Row],[fecha]],Tabla18[punto],AS36)</f>
        <v>0</v>
      </c>
      <c r="AZ53" s="8">
        <f xml:space="preserve"> SUMIFS(Tabla18[divisa],Tabla18[fecha],TablaOtrosPuntos[[#This Row],[fecha]],Tabla18[punto],AS36)</f>
        <v>0</v>
      </c>
      <c r="BA53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3" s="9">
        <f xml:space="preserve"> ((TablaOtrosPuntos[[#This Row],[10kg]]*3.5) + (TablaOtrosPuntos[[#This Row],[18kg]]*7)  + (TablaOtrosPuntos[[#This Row],[27kg]]*11) + (TablaOtrosPuntos[[#This Row],[43kg]]*17)) * DATOS!F2</f>
        <v>0</v>
      </c>
      <c r="BC53" s="33"/>
    </row>
    <row r="54" spans="1:55" x14ac:dyDescent="0.25">
      <c r="A54" s="10" t="s">
        <v>26</v>
      </c>
      <c r="B54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4" s="8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4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4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4" s="7">
        <f xml:space="preserve"> SUMIFS(Tabla18[pm],Tabla18[fecha],TablaSector3[[#This Row],[fecha]],Tabla18[punto],A36)</f>
        <v>0</v>
      </c>
      <c r="G54" s="28">
        <f xml:space="preserve"> SUMIFS(Tabla18[efectivo],Tabla18[fecha],TablaSector3[[#This Row],[fecha]],Tabla18[punto],A36)</f>
        <v>0</v>
      </c>
      <c r="H54" s="10">
        <f xml:space="preserve"> SUMIFS(Tabla18[divisa],Tabla18[fecha],TablaSector3[[#This Row],[fecha]],Tabla18[punto],A36)</f>
        <v>0</v>
      </c>
      <c r="I54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4" s="9">
        <f xml:space="preserve"> ((TablaSector3[[#This Row],[10kg]]*3.5) + (TablaSector3[[#This Row],[18kg]]*7)  + (TablaSector3[[#This Row],[27kg]]*11) + (TablaSector3[[#This Row],[43kg]]*17)) * DATOS!F2</f>
        <v>0</v>
      </c>
      <c r="L54" s="10" t="s">
        <v>26</v>
      </c>
      <c r="M54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4" s="8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4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4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4" s="7">
        <f xml:space="preserve"> SUMIFS(Tabla18[pm],Tabla18[fecha],TablaSector9[[#This Row],[fecha]],Tabla18[punto],L36)</f>
        <v>0</v>
      </c>
      <c r="R54" s="28">
        <f xml:space="preserve"> SUMIFS(Tabla18[efectivo],Tabla18[fecha],TablaSector9[[#This Row],[fecha]],Tabla18[punto],L36)</f>
        <v>0</v>
      </c>
      <c r="S54" s="10">
        <f xml:space="preserve"> SUMIFS(Tabla18[divisa],Tabla18[fecha],TablaSector9[[#This Row],[fecha]],Tabla18[punto],L36)</f>
        <v>0</v>
      </c>
      <c r="T54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4" s="9">
        <f xml:space="preserve"> ((TablaSector9[[#This Row],[10kg]]*3.5) + (TablaSector9[[#This Row],[18kg]]*7)  + (TablaSector9[[#This Row],[27kg]]*11) + (TablaSector9[[#This Row],[43kg]]*17)) * DATOS!F2</f>
        <v>0</v>
      </c>
      <c r="W54" s="10" t="s">
        <v>26</v>
      </c>
      <c r="X54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4" s="8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4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4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4" s="7">
        <f xml:space="preserve"> SUMIFS(Tabla18[pm],Tabla18[fecha],TablaProgreso[[#This Row],[fecha]],Tabla18[punto],W36)</f>
        <v>0</v>
      </c>
      <c r="AC54" s="28">
        <f xml:space="preserve"> SUMIFS(Tabla18[efectivo],Tabla18[fecha],TablaProgreso[[#This Row],[fecha]],Tabla18[punto],W36)</f>
        <v>0</v>
      </c>
      <c r="AD54" s="10">
        <f xml:space="preserve"> SUMIFS(Tabla18[divisa],Tabla18[fecha],TablaProgreso[[#This Row],[fecha]],Tabla18[punto],W36)</f>
        <v>0</v>
      </c>
      <c r="AE54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4" s="9">
        <f xml:space="preserve"> ((TablaProgreso[[#This Row],[10kg]]*3.5) + (TablaProgreso[[#This Row],[18kg]]*7)  + (TablaProgreso[[#This Row],[27kg]]*11) + (TablaProgreso[[#This Row],[43kg]]*17)) * DATOS!F2</f>
        <v>0</v>
      </c>
      <c r="AH54" s="10" t="s">
        <v>26</v>
      </c>
      <c r="AI54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4" s="8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4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4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4" s="7">
        <f xml:space="preserve"> SUMIFS(Tabla18[pm],Tabla18[fecha],TablaCamion[[#This Row],[fecha]],Tabla18[punto],AH36)</f>
        <v>0</v>
      </c>
      <c r="AN54" s="28">
        <f xml:space="preserve"> SUMIFS(Tabla18[efectivo],Tabla18[fecha],TablaCamion[[#This Row],[fecha]],Tabla18[punto],AH36)</f>
        <v>0</v>
      </c>
      <c r="AO54" s="10">
        <f xml:space="preserve"> SUMIFS(Tabla18[divisa],Tabla18[fecha],TablaCamion[[#This Row],[fecha]],Tabla18[punto],AH36)</f>
        <v>0</v>
      </c>
      <c r="AP54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4" s="9">
        <f xml:space="preserve"> ((TablaCamion[[#This Row],[10kg]]*3.5) + (TablaCamion[[#This Row],[18kg]]*7)  + (TablaCamion[[#This Row],[27kg]]*11) + (TablaCamion[[#This Row],[43kg]]*17)) * DATOS!F2</f>
        <v>0</v>
      </c>
      <c r="AS54" s="10" t="s">
        <v>26</v>
      </c>
      <c r="AT54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4" s="8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4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4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4" s="7">
        <f xml:space="preserve"> SUMIFS(Tabla18[pm],Tabla18[fecha],TablaOtrosPuntos[[#This Row],[fecha]],Tabla18[punto],AS36)</f>
        <v>0</v>
      </c>
      <c r="AY54" s="28">
        <f xml:space="preserve"> SUMIFS(Tabla18[efectivo],Tabla18[fecha],TablaOtrosPuntos[[#This Row],[fecha]],Tabla18[punto],AS36)</f>
        <v>0</v>
      </c>
      <c r="AZ54" s="10">
        <f xml:space="preserve"> SUMIFS(Tabla18[divisa],Tabla18[fecha],TablaOtrosPuntos[[#This Row],[fecha]],Tabla18[punto],AS36)</f>
        <v>0</v>
      </c>
      <c r="BA54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4" s="9">
        <f xml:space="preserve"> ((TablaOtrosPuntos[[#This Row],[10kg]]*3.5) + (TablaOtrosPuntos[[#This Row],[18kg]]*7)  + (TablaOtrosPuntos[[#This Row],[27kg]]*11) + (TablaOtrosPuntos[[#This Row],[43kg]]*17)) * DATOS!F2</f>
        <v>0</v>
      </c>
      <c r="BC54" s="33"/>
    </row>
    <row r="55" spans="1:55" x14ac:dyDescent="0.25">
      <c r="A55" s="10" t="s">
        <v>27</v>
      </c>
      <c r="B55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5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5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5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5" s="8">
        <f xml:space="preserve"> SUMIFS(Tabla18[pm],Tabla18[fecha],TablaSector3[[#This Row],[fecha]],Tabla18[punto],A36)</f>
        <v>0</v>
      </c>
      <c r="G55" s="27">
        <f xml:space="preserve"> SUMIFS(Tabla18[efectivo],Tabla18[fecha],TablaSector3[[#This Row],[fecha]],Tabla18[punto],A36)</f>
        <v>0</v>
      </c>
      <c r="H55" s="7">
        <f xml:space="preserve"> SUMIFS(Tabla18[divisa],Tabla18[fecha],TablaSector3[[#This Row],[fecha]],Tabla18[punto],A36)</f>
        <v>0</v>
      </c>
      <c r="I55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5" s="9">
        <f xml:space="preserve"> ((TablaSector3[[#This Row],[10kg]]*3.5) + (TablaSector3[[#This Row],[18kg]]*7)  + (TablaSector3[[#This Row],[27kg]]*11) + (TablaSector3[[#This Row],[43kg]]*17)) * DATOS!F2</f>
        <v>0</v>
      </c>
      <c r="L55" s="10" t="s">
        <v>27</v>
      </c>
      <c r="M55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5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5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5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5" s="8">
        <f xml:space="preserve"> SUMIFS(Tabla18[pm],Tabla18[fecha],TablaSector9[[#This Row],[fecha]],Tabla18[punto],L36)</f>
        <v>0</v>
      </c>
      <c r="R55" s="27">
        <f xml:space="preserve"> SUMIFS(Tabla18[efectivo],Tabla18[fecha],TablaSector9[[#This Row],[fecha]],Tabla18[punto],L36)</f>
        <v>0</v>
      </c>
      <c r="S55" s="7">
        <f xml:space="preserve"> SUMIFS(Tabla18[divisa],Tabla18[fecha],TablaSector9[[#This Row],[fecha]],Tabla18[punto],L36)</f>
        <v>0</v>
      </c>
      <c r="T55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5" s="9">
        <f xml:space="preserve"> ((TablaSector9[[#This Row],[10kg]]*3.5) + (TablaSector9[[#This Row],[18kg]]*7)  + (TablaSector9[[#This Row],[27kg]]*11) + (TablaSector9[[#This Row],[43kg]]*17)) * DATOS!F2</f>
        <v>0</v>
      </c>
      <c r="W55" s="10" t="s">
        <v>27</v>
      </c>
      <c r="X55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5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5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5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5" s="8">
        <f xml:space="preserve"> SUMIFS(Tabla18[pm],Tabla18[fecha],TablaProgreso[[#This Row],[fecha]],Tabla18[punto],W36)</f>
        <v>0</v>
      </c>
      <c r="AC55" s="27">
        <f xml:space="preserve"> SUMIFS(Tabla18[efectivo],Tabla18[fecha],TablaProgreso[[#This Row],[fecha]],Tabla18[punto],W36)</f>
        <v>0</v>
      </c>
      <c r="AD55" s="7">
        <f xml:space="preserve"> SUMIFS(Tabla18[divisa],Tabla18[fecha],TablaProgreso[[#This Row],[fecha]],Tabla18[punto],W36)</f>
        <v>0</v>
      </c>
      <c r="AE55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5" s="9">
        <f xml:space="preserve"> ((TablaProgreso[[#This Row],[10kg]]*3.5) + (TablaProgreso[[#This Row],[18kg]]*7)  + (TablaProgreso[[#This Row],[27kg]]*11) + (TablaProgreso[[#This Row],[43kg]]*17)) * DATOS!F2</f>
        <v>0</v>
      </c>
      <c r="AH55" s="10" t="s">
        <v>27</v>
      </c>
      <c r="AI55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5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5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5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5" s="8">
        <f xml:space="preserve"> SUMIFS(Tabla18[pm],Tabla18[fecha],TablaCamion[[#This Row],[fecha]],Tabla18[punto],AH36)</f>
        <v>0</v>
      </c>
      <c r="AN55" s="27">
        <f xml:space="preserve"> SUMIFS(Tabla18[efectivo],Tabla18[fecha],TablaCamion[[#This Row],[fecha]],Tabla18[punto],AH36)</f>
        <v>0</v>
      </c>
      <c r="AO55" s="7">
        <f xml:space="preserve"> SUMIFS(Tabla18[divisa],Tabla18[fecha],TablaCamion[[#This Row],[fecha]],Tabla18[punto],AH36)</f>
        <v>0</v>
      </c>
      <c r="AP55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5" s="9">
        <f xml:space="preserve"> ((TablaCamion[[#This Row],[10kg]]*3.5) + (TablaCamion[[#This Row],[18kg]]*7)  + (TablaCamion[[#This Row],[27kg]]*11) + (TablaCamion[[#This Row],[43kg]]*17)) * DATOS!F2</f>
        <v>0</v>
      </c>
      <c r="AS55" s="10" t="s">
        <v>27</v>
      </c>
      <c r="AT55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5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5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5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5" s="8">
        <f xml:space="preserve"> SUMIFS(Tabla18[pm],Tabla18[fecha],TablaOtrosPuntos[[#This Row],[fecha]],Tabla18[punto],AS36)</f>
        <v>0</v>
      </c>
      <c r="AY55" s="27">
        <f xml:space="preserve"> SUMIFS(Tabla18[efectivo],Tabla18[fecha],TablaOtrosPuntos[[#This Row],[fecha]],Tabla18[punto],AS36)</f>
        <v>0</v>
      </c>
      <c r="AZ55" s="7">
        <f xml:space="preserve"> SUMIFS(Tabla18[divisa],Tabla18[fecha],TablaOtrosPuntos[[#This Row],[fecha]],Tabla18[punto],AS36)</f>
        <v>0</v>
      </c>
      <c r="BA55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5" s="9">
        <f xml:space="preserve"> ((TablaOtrosPuntos[[#This Row],[10kg]]*3.5) + (TablaOtrosPuntos[[#This Row],[18kg]]*7)  + (TablaOtrosPuntos[[#This Row],[27kg]]*11) + (TablaOtrosPuntos[[#This Row],[43kg]]*17)) * DATOS!F2</f>
        <v>0</v>
      </c>
      <c r="BC55" s="33"/>
    </row>
    <row r="56" spans="1:55" x14ac:dyDescent="0.25">
      <c r="A56" s="10" t="s">
        <v>28</v>
      </c>
      <c r="B56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6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6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6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6" s="8">
        <f xml:space="preserve"> SUMIFS(Tabla18[pm],Tabla18[fecha],TablaSector3[[#This Row],[fecha]],Tabla18[punto],A36)</f>
        <v>0</v>
      </c>
      <c r="G56" s="27">
        <f xml:space="preserve"> SUMIFS(Tabla18[efectivo],Tabla18[fecha],TablaSector3[[#This Row],[fecha]],Tabla18[punto],A36)</f>
        <v>0</v>
      </c>
      <c r="H56" s="8">
        <f xml:space="preserve"> SUMIFS(Tabla18[divisa],Tabla18[fecha],TablaSector3[[#This Row],[fecha]],Tabla18[punto],A36)</f>
        <v>0</v>
      </c>
      <c r="I56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6" s="9">
        <f xml:space="preserve"> ((TablaSector3[[#This Row],[10kg]]*3.5) + (TablaSector3[[#This Row],[18kg]]*7)  + (TablaSector3[[#This Row],[27kg]]*11) + (TablaSector3[[#This Row],[43kg]]*17)) * DATOS!F2</f>
        <v>0</v>
      </c>
      <c r="L56" s="10" t="s">
        <v>28</v>
      </c>
      <c r="M56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6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6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6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6" s="8">
        <f xml:space="preserve"> SUMIFS(Tabla18[pm],Tabla18[fecha],TablaSector9[[#This Row],[fecha]],Tabla18[punto],L36)</f>
        <v>0</v>
      </c>
      <c r="R56" s="27">
        <f xml:space="preserve"> SUMIFS(Tabla18[efectivo],Tabla18[fecha],TablaSector9[[#This Row],[fecha]],Tabla18[punto],L36)</f>
        <v>0</v>
      </c>
      <c r="S56" s="8">
        <f xml:space="preserve"> SUMIFS(Tabla18[divisa],Tabla18[fecha],TablaSector9[[#This Row],[fecha]],Tabla18[punto],L36)</f>
        <v>0</v>
      </c>
      <c r="T56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6" s="9">
        <f xml:space="preserve"> ((TablaSector9[[#This Row],[10kg]]*3.5) + (TablaSector9[[#This Row],[18kg]]*7)  + (TablaSector9[[#This Row],[27kg]]*11) + (TablaSector9[[#This Row],[43kg]]*17)) * DATOS!F2</f>
        <v>0</v>
      </c>
      <c r="W56" s="10" t="s">
        <v>28</v>
      </c>
      <c r="X56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6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6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6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6" s="8">
        <f xml:space="preserve"> SUMIFS(Tabla18[pm],Tabla18[fecha],TablaProgreso[[#This Row],[fecha]],Tabla18[punto],W36)</f>
        <v>0</v>
      </c>
      <c r="AC56" s="27">
        <f xml:space="preserve"> SUMIFS(Tabla18[efectivo],Tabla18[fecha],TablaProgreso[[#This Row],[fecha]],Tabla18[punto],W36)</f>
        <v>0</v>
      </c>
      <c r="AD56" s="8">
        <f xml:space="preserve"> SUMIFS(Tabla18[divisa],Tabla18[fecha],TablaProgreso[[#This Row],[fecha]],Tabla18[punto],W36)</f>
        <v>0</v>
      </c>
      <c r="AE56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6" s="9">
        <f xml:space="preserve"> ((TablaProgreso[[#This Row],[10kg]]*3.5) + (TablaProgreso[[#This Row],[18kg]]*7)  + (TablaProgreso[[#This Row],[27kg]]*11) + (TablaProgreso[[#This Row],[43kg]]*17)) * DATOS!F2</f>
        <v>0</v>
      </c>
      <c r="AH56" s="10" t="s">
        <v>28</v>
      </c>
      <c r="AI56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6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6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6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6" s="8">
        <f xml:space="preserve"> SUMIFS(Tabla18[pm],Tabla18[fecha],TablaCamion[[#This Row],[fecha]],Tabla18[punto],AH36)</f>
        <v>0</v>
      </c>
      <c r="AN56" s="27">
        <f xml:space="preserve"> SUMIFS(Tabla18[efectivo],Tabla18[fecha],TablaCamion[[#This Row],[fecha]],Tabla18[punto],AH36)</f>
        <v>0</v>
      </c>
      <c r="AO56" s="8">
        <f xml:space="preserve"> SUMIFS(Tabla18[divisa],Tabla18[fecha],TablaCamion[[#This Row],[fecha]],Tabla18[punto],AH36)</f>
        <v>0</v>
      </c>
      <c r="AP56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6" s="9">
        <f xml:space="preserve"> ((TablaCamion[[#This Row],[10kg]]*3.5) + (TablaCamion[[#This Row],[18kg]]*7)  + (TablaCamion[[#This Row],[27kg]]*11) + (TablaCamion[[#This Row],[43kg]]*17)) * DATOS!F2</f>
        <v>0</v>
      </c>
      <c r="AS56" s="10" t="s">
        <v>28</v>
      </c>
      <c r="AT56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6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6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6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6" s="8">
        <f xml:space="preserve"> SUMIFS(Tabla18[pm],Tabla18[fecha],TablaOtrosPuntos[[#This Row],[fecha]],Tabla18[punto],AS36)</f>
        <v>0</v>
      </c>
      <c r="AY56" s="27">
        <f xml:space="preserve"> SUMIFS(Tabla18[efectivo],Tabla18[fecha],TablaOtrosPuntos[[#This Row],[fecha]],Tabla18[punto],AS36)</f>
        <v>0</v>
      </c>
      <c r="AZ56" s="8">
        <f xml:space="preserve"> SUMIFS(Tabla18[divisa],Tabla18[fecha],TablaOtrosPuntos[[#This Row],[fecha]],Tabla18[punto],AS36)</f>
        <v>0</v>
      </c>
      <c r="BA56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6" s="9">
        <f xml:space="preserve"> ((TablaOtrosPuntos[[#This Row],[10kg]]*3.5) + (TablaOtrosPuntos[[#This Row],[18kg]]*7)  + (TablaOtrosPuntos[[#This Row],[27kg]]*11) + (TablaOtrosPuntos[[#This Row],[43kg]]*17)) * DATOS!F2</f>
        <v>0</v>
      </c>
      <c r="BC56" s="33"/>
    </row>
    <row r="57" spans="1:55" x14ac:dyDescent="0.25">
      <c r="A57" s="10" t="s">
        <v>29</v>
      </c>
      <c r="B57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7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7" s="8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7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7" s="8">
        <f xml:space="preserve"> SUMIFS(Tabla18[pm],Tabla18[fecha],TablaSector3[[#This Row],[fecha]],Tabla18[punto],A36)</f>
        <v>0</v>
      </c>
      <c r="G57" s="27">
        <f xml:space="preserve"> SUMIFS(Tabla18[efectivo],Tabla18[fecha],TablaSector3[[#This Row],[fecha]],Tabla18[punto],A36)</f>
        <v>0</v>
      </c>
      <c r="H57" s="8">
        <f xml:space="preserve"> SUMIFS(Tabla18[divisa],Tabla18[fecha],TablaSector3[[#This Row],[fecha]],Tabla18[punto],A36)</f>
        <v>0</v>
      </c>
      <c r="I57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7" s="9">
        <f xml:space="preserve"> ((TablaSector3[[#This Row],[10kg]]*3.5) + (TablaSector3[[#This Row],[18kg]]*7)  + (TablaSector3[[#This Row],[27kg]]*11) + (TablaSector3[[#This Row],[43kg]]*17)) * DATOS!F2</f>
        <v>0</v>
      </c>
      <c r="L57" s="10" t="s">
        <v>29</v>
      </c>
      <c r="M57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7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7" s="8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7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7" s="8">
        <f xml:space="preserve"> SUMIFS(Tabla18[pm],Tabla18[fecha],TablaSector9[[#This Row],[fecha]],Tabla18[punto],L36)</f>
        <v>0</v>
      </c>
      <c r="R57" s="27">
        <f xml:space="preserve"> SUMIFS(Tabla18[efectivo],Tabla18[fecha],TablaSector9[[#This Row],[fecha]],Tabla18[punto],L36)</f>
        <v>0</v>
      </c>
      <c r="S57" s="8">
        <f xml:space="preserve"> SUMIFS(Tabla18[divisa],Tabla18[fecha],TablaSector9[[#This Row],[fecha]],Tabla18[punto],L36)</f>
        <v>0</v>
      </c>
      <c r="T57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7" s="9">
        <f xml:space="preserve"> ((TablaSector9[[#This Row],[10kg]]*3.5) + (TablaSector9[[#This Row],[18kg]]*7)  + (TablaSector9[[#This Row],[27kg]]*11) + (TablaSector9[[#This Row],[43kg]]*17)) * DATOS!F2</f>
        <v>0</v>
      </c>
      <c r="W57" s="10" t="s">
        <v>29</v>
      </c>
      <c r="X57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7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7" s="8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7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7" s="8">
        <f xml:space="preserve"> SUMIFS(Tabla18[pm],Tabla18[fecha],TablaProgreso[[#This Row],[fecha]],Tabla18[punto],W36)</f>
        <v>0</v>
      </c>
      <c r="AC57" s="27">
        <f xml:space="preserve"> SUMIFS(Tabla18[efectivo],Tabla18[fecha],TablaProgreso[[#This Row],[fecha]],Tabla18[punto],W36)</f>
        <v>0</v>
      </c>
      <c r="AD57" s="8">
        <f xml:space="preserve"> SUMIFS(Tabla18[divisa],Tabla18[fecha],TablaProgreso[[#This Row],[fecha]],Tabla18[punto],W36)</f>
        <v>0</v>
      </c>
      <c r="AE57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7" s="9">
        <f xml:space="preserve"> ((TablaProgreso[[#This Row],[10kg]]*3.5) + (TablaProgreso[[#This Row],[18kg]]*7)  + (TablaProgreso[[#This Row],[27kg]]*11) + (TablaProgreso[[#This Row],[43kg]]*17)) * DATOS!F2</f>
        <v>0</v>
      </c>
      <c r="AH57" s="10" t="s">
        <v>29</v>
      </c>
      <c r="AI57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7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7" s="8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7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7" s="8">
        <f xml:space="preserve"> SUMIFS(Tabla18[pm],Tabla18[fecha],TablaCamion[[#This Row],[fecha]],Tabla18[punto],AH36)</f>
        <v>0</v>
      </c>
      <c r="AN57" s="27">
        <f xml:space="preserve"> SUMIFS(Tabla18[efectivo],Tabla18[fecha],TablaCamion[[#This Row],[fecha]],Tabla18[punto],AH36)</f>
        <v>0</v>
      </c>
      <c r="AO57" s="8">
        <f xml:space="preserve"> SUMIFS(Tabla18[divisa],Tabla18[fecha],TablaCamion[[#This Row],[fecha]],Tabla18[punto],AH36)</f>
        <v>0</v>
      </c>
      <c r="AP57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7" s="9">
        <f xml:space="preserve"> ((TablaCamion[[#This Row],[10kg]]*3.5) + (TablaCamion[[#This Row],[18kg]]*7)  + (TablaCamion[[#This Row],[27kg]]*11) + (TablaCamion[[#This Row],[43kg]]*17)) * DATOS!F2</f>
        <v>0</v>
      </c>
      <c r="AS57" s="10" t="s">
        <v>29</v>
      </c>
      <c r="AT57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7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7" s="8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7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7" s="8">
        <f xml:space="preserve"> SUMIFS(Tabla18[pm],Tabla18[fecha],TablaOtrosPuntos[[#This Row],[fecha]],Tabla18[punto],AS36)</f>
        <v>0</v>
      </c>
      <c r="AY57" s="27">
        <f xml:space="preserve"> SUMIFS(Tabla18[efectivo],Tabla18[fecha],TablaOtrosPuntos[[#This Row],[fecha]],Tabla18[punto],AS36)</f>
        <v>0</v>
      </c>
      <c r="AZ57" s="8">
        <f xml:space="preserve"> SUMIFS(Tabla18[divisa],Tabla18[fecha],TablaOtrosPuntos[[#This Row],[fecha]],Tabla18[punto],AS36)</f>
        <v>0</v>
      </c>
      <c r="BA57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7" s="9">
        <f xml:space="preserve"> ((TablaOtrosPuntos[[#This Row],[10kg]]*3.5) + (TablaOtrosPuntos[[#This Row],[18kg]]*7)  + (TablaOtrosPuntos[[#This Row],[27kg]]*11) + (TablaOtrosPuntos[[#This Row],[43kg]]*17)) * DATOS!F2</f>
        <v>0</v>
      </c>
      <c r="BC57" s="33"/>
    </row>
    <row r="58" spans="1:55" x14ac:dyDescent="0.25">
      <c r="A58" s="10" t="s">
        <v>30</v>
      </c>
      <c r="B58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8" s="8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8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8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8" s="8">
        <f xml:space="preserve"> SUMIFS(Tabla18[pm],Tabla18[fecha],TablaSector3[[#This Row],[fecha]],Tabla18[punto],A36)</f>
        <v>0</v>
      </c>
      <c r="G58" s="27">
        <f xml:space="preserve"> SUMIFS(Tabla18[efectivo],Tabla18[fecha],TablaSector3[[#This Row],[fecha]],Tabla18[punto],A36)</f>
        <v>0</v>
      </c>
      <c r="H58" s="8">
        <f xml:space="preserve"> SUMIFS(Tabla18[divisa],Tabla18[fecha],TablaSector3[[#This Row],[fecha]],Tabla18[punto],A36)</f>
        <v>0</v>
      </c>
      <c r="I58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8" s="9">
        <f xml:space="preserve"> ((TablaSector3[[#This Row],[10kg]]*3.5) + (TablaSector3[[#This Row],[18kg]]*7)  + (TablaSector3[[#This Row],[27kg]]*11) + (TablaSector3[[#This Row],[43kg]]*17)) * DATOS!F2</f>
        <v>0</v>
      </c>
      <c r="L58" s="10" t="s">
        <v>30</v>
      </c>
      <c r="M58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8" s="8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8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8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8" s="8">
        <f xml:space="preserve"> SUMIFS(Tabla18[pm],Tabla18[fecha],TablaSector9[[#This Row],[fecha]],Tabla18[punto],L36)</f>
        <v>0</v>
      </c>
      <c r="R58" s="27">
        <f xml:space="preserve"> SUMIFS(Tabla18[efectivo],Tabla18[fecha],TablaSector9[[#This Row],[fecha]],Tabla18[punto],L36)</f>
        <v>0</v>
      </c>
      <c r="S58" s="8">
        <f xml:space="preserve"> SUMIFS(Tabla18[divisa],Tabla18[fecha],TablaSector9[[#This Row],[fecha]],Tabla18[punto],L36)</f>
        <v>0</v>
      </c>
      <c r="T58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8" s="9">
        <f xml:space="preserve"> ((TablaSector9[[#This Row],[10kg]]*3.5) + (TablaSector9[[#This Row],[18kg]]*7)  + (TablaSector9[[#This Row],[27kg]]*11) + (TablaSector9[[#This Row],[43kg]]*17)) * DATOS!F2</f>
        <v>0</v>
      </c>
      <c r="W58" s="10" t="s">
        <v>30</v>
      </c>
      <c r="X58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8" s="8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8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8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8" s="8">
        <f xml:space="preserve"> SUMIFS(Tabla18[pm],Tabla18[fecha],TablaProgreso[[#This Row],[fecha]],Tabla18[punto],W36)</f>
        <v>0</v>
      </c>
      <c r="AC58" s="27">
        <f xml:space="preserve"> SUMIFS(Tabla18[efectivo],Tabla18[fecha],TablaProgreso[[#This Row],[fecha]],Tabla18[punto],W36)</f>
        <v>0</v>
      </c>
      <c r="AD58" s="8">
        <f xml:space="preserve"> SUMIFS(Tabla18[divisa],Tabla18[fecha],TablaProgreso[[#This Row],[fecha]],Tabla18[punto],W36)</f>
        <v>0</v>
      </c>
      <c r="AE58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8" s="9">
        <f xml:space="preserve"> ((TablaProgreso[[#This Row],[10kg]]*3.5) + (TablaProgreso[[#This Row],[18kg]]*7)  + (TablaProgreso[[#This Row],[27kg]]*11) + (TablaProgreso[[#This Row],[43kg]]*17)) * DATOS!F2</f>
        <v>0</v>
      </c>
      <c r="AH58" s="10" t="s">
        <v>30</v>
      </c>
      <c r="AI58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8" s="8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8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8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8" s="8">
        <f xml:space="preserve"> SUMIFS(Tabla18[pm],Tabla18[fecha],TablaCamion[[#This Row],[fecha]],Tabla18[punto],AH36)</f>
        <v>0</v>
      </c>
      <c r="AN58" s="27">
        <f xml:space="preserve"> SUMIFS(Tabla18[efectivo],Tabla18[fecha],TablaCamion[[#This Row],[fecha]],Tabla18[punto],AH36)</f>
        <v>0</v>
      </c>
      <c r="AO58" s="8">
        <f xml:space="preserve"> SUMIFS(Tabla18[divisa],Tabla18[fecha],TablaCamion[[#This Row],[fecha]],Tabla18[punto],AH36)</f>
        <v>0</v>
      </c>
      <c r="AP58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8" s="9">
        <f xml:space="preserve"> ((TablaCamion[[#This Row],[10kg]]*3.5) + (TablaCamion[[#This Row],[18kg]]*7)  + (TablaCamion[[#This Row],[27kg]]*11) + (TablaCamion[[#This Row],[43kg]]*17)) * DATOS!F2</f>
        <v>0</v>
      </c>
      <c r="AS58" s="10" t="s">
        <v>30</v>
      </c>
      <c r="AT58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8" s="8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8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8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8" s="8">
        <f xml:space="preserve"> SUMIFS(Tabla18[pm],Tabla18[fecha],TablaOtrosPuntos[[#This Row],[fecha]],Tabla18[punto],AS36)</f>
        <v>0</v>
      </c>
      <c r="AY58" s="27">
        <f xml:space="preserve"> SUMIFS(Tabla18[efectivo],Tabla18[fecha],TablaOtrosPuntos[[#This Row],[fecha]],Tabla18[punto],AS36)</f>
        <v>0</v>
      </c>
      <c r="AZ58" s="8">
        <f xml:space="preserve"> SUMIFS(Tabla18[divisa],Tabla18[fecha],TablaOtrosPuntos[[#This Row],[fecha]],Tabla18[punto],AS36)</f>
        <v>0</v>
      </c>
      <c r="BA58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8" s="9">
        <f xml:space="preserve"> ((TablaOtrosPuntos[[#This Row],[10kg]]*3.5) + (TablaOtrosPuntos[[#This Row],[18kg]]*7)  + (TablaOtrosPuntos[[#This Row],[27kg]]*11) + (TablaOtrosPuntos[[#This Row],[43kg]]*17)) * DATOS!F2</f>
        <v>0</v>
      </c>
      <c r="BC58" s="33"/>
    </row>
    <row r="59" spans="1:55" x14ac:dyDescent="0.25">
      <c r="A59" s="10" t="s">
        <v>31</v>
      </c>
      <c r="B59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59" s="8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59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59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59" s="8">
        <f xml:space="preserve"> SUMIFS(Tabla18[pm],Tabla18[fecha],TablaSector3[[#This Row],[fecha]],Tabla18[punto],A36)</f>
        <v>0</v>
      </c>
      <c r="G59" s="27">
        <f xml:space="preserve"> SUMIFS(Tabla18[efectivo],Tabla18[fecha],TablaSector3[[#This Row],[fecha]],Tabla18[punto],A36)</f>
        <v>0</v>
      </c>
      <c r="H59" s="8">
        <f xml:space="preserve"> SUMIFS(Tabla18[divisa],Tabla18[fecha],TablaSector3[[#This Row],[fecha]],Tabla18[punto],A36)</f>
        <v>0</v>
      </c>
      <c r="I59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59" s="9">
        <f xml:space="preserve"> ((TablaSector3[[#This Row],[10kg]]*3.5) + (TablaSector3[[#This Row],[18kg]]*7)  + (TablaSector3[[#This Row],[27kg]]*11) + (TablaSector3[[#This Row],[43kg]]*17)) * DATOS!F2</f>
        <v>0</v>
      </c>
      <c r="L59" s="10" t="s">
        <v>31</v>
      </c>
      <c r="M59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59" s="8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59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59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59" s="8">
        <f xml:space="preserve"> SUMIFS(Tabla18[pm],Tabla18[fecha],TablaSector9[[#This Row],[fecha]],Tabla18[punto],L36)</f>
        <v>0</v>
      </c>
      <c r="R59" s="27">
        <f xml:space="preserve"> SUMIFS(Tabla18[efectivo],Tabla18[fecha],TablaSector9[[#This Row],[fecha]],Tabla18[punto],L36)</f>
        <v>0</v>
      </c>
      <c r="S59" s="8">
        <f xml:space="preserve"> SUMIFS(Tabla18[divisa],Tabla18[fecha],TablaSector9[[#This Row],[fecha]],Tabla18[punto],L36)</f>
        <v>0</v>
      </c>
      <c r="T59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59" s="9">
        <f xml:space="preserve"> ((TablaSector9[[#This Row],[10kg]]*3.5) + (TablaSector9[[#This Row],[18kg]]*7)  + (TablaSector9[[#This Row],[27kg]]*11) + (TablaSector9[[#This Row],[43kg]]*17)) * DATOS!F2</f>
        <v>0</v>
      </c>
      <c r="W59" s="10" t="s">
        <v>31</v>
      </c>
      <c r="X59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59" s="8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59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59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59" s="8">
        <f xml:space="preserve"> SUMIFS(Tabla18[pm],Tabla18[fecha],TablaProgreso[[#This Row],[fecha]],Tabla18[punto],W36)</f>
        <v>0</v>
      </c>
      <c r="AC59" s="27">
        <f xml:space="preserve"> SUMIFS(Tabla18[efectivo],Tabla18[fecha],TablaProgreso[[#This Row],[fecha]],Tabla18[punto],W36)</f>
        <v>0</v>
      </c>
      <c r="AD59" s="8">
        <f xml:space="preserve"> SUMIFS(Tabla18[divisa],Tabla18[fecha],TablaProgreso[[#This Row],[fecha]],Tabla18[punto],W36)</f>
        <v>0</v>
      </c>
      <c r="AE59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59" s="9">
        <f xml:space="preserve"> ((TablaProgreso[[#This Row],[10kg]]*3.5) + (TablaProgreso[[#This Row],[18kg]]*7)  + (TablaProgreso[[#This Row],[27kg]]*11) + (TablaProgreso[[#This Row],[43kg]]*17)) * DATOS!F2</f>
        <v>0</v>
      </c>
      <c r="AH59" s="10" t="s">
        <v>31</v>
      </c>
      <c r="AI59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59" s="8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59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59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59" s="8">
        <f xml:space="preserve"> SUMIFS(Tabla18[pm],Tabla18[fecha],TablaCamion[[#This Row],[fecha]],Tabla18[punto],AH36)</f>
        <v>0</v>
      </c>
      <c r="AN59" s="27">
        <f xml:space="preserve"> SUMIFS(Tabla18[efectivo],Tabla18[fecha],TablaCamion[[#This Row],[fecha]],Tabla18[punto],AH36)</f>
        <v>0</v>
      </c>
      <c r="AO59" s="8">
        <f xml:space="preserve"> SUMIFS(Tabla18[divisa],Tabla18[fecha],TablaCamion[[#This Row],[fecha]],Tabla18[punto],AH36)</f>
        <v>0</v>
      </c>
      <c r="AP59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59" s="9">
        <f xml:space="preserve"> ((TablaCamion[[#This Row],[10kg]]*3.5) + (TablaCamion[[#This Row],[18kg]]*7)  + (TablaCamion[[#This Row],[27kg]]*11) + (TablaCamion[[#This Row],[43kg]]*17)) * DATOS!F2</f>
        <v>0</v>
      </c>
      <c r="AS59" s="10" t="s">
        <v>31</v>
      </c>
      <c r="AT59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59" s="8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59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59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59" s="8">
        <f xml:space="preserve"> SUMIFS(Tabla18[pm],Tabla18[fecha],TablaOtrosPuntos[[#This Row],[fecha]],Tabla18[punto],AS36)</f>
        <v>0</v>
      </c>
      <c r="AY59" s="27">
        <f xml:space="preserve"> SUMIFS(Tabla18[efectivo],Tabla18[fecha],TablaOtrosPuntos[[#This Row],[fecha]],Tabla18[punto],AS36)</f>
        <v>0</v>
      </c>
      <c r="AZ59" s="8">
        <f xml:space="preserve"> SUMIFS(Tabla18[divisa],Tabla18[fecha],TablaOtrosPuntos[[#This Row],[fecha]],Tabla18[punto],AS36)</f>
        <v>0</v>
      </c>
      <c r="BA59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59" s="9">
        <f xml:space="preserve"> ((TablaOtrosPuntos[[#This Row],[10kg]]*3.5) + (TablaOtrosPuntos[[#This Row],[18kg]]*7)  + (TablaOtrosPuntos[[#This Row],[27kg]]*11) + (TablaOtrosPuntos[[#This Row],[43kg]]*17)) * DATOS!F2</f>
        <v>0</v>
      </c>
      <c r="BC59" s="33"/>
    </row>
    <row r="60" spans="1:55" x14ac:dyDescent="0.25">
      <c r="A60" s="10" t="s">
        <v>32</v>
      </c>
      <c r="B60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0" s="8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0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60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60" s="8">
        <f xml:space="preserve"> SUMIFS(Tabla18[pm],Tabla18[fecha],TablaSector3[[#This Row],[fecha]],Tabla18[punto],A36)</f>
        <v>0</v>
      </c>
      <c r="G60" s="28">
        <f xml:space="preserve"> SUMIFS(Tabla18[efectivo],Tabla18[fecha],TablaSector3[[#This Row],[fecha]],Tabla18[punto],A36)</f>
        <v>0</v>
      </c>
      <c r="H60" s="8">
        <f xml:space="preserve"> SUMIFS(Tabla18[divisa],Tabla18[fecha],TablaSector3[[#This Row],[fecha]],Tabla18[punto],A36)</f>
        <v>0</v>
      </c>
      <c r="I60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0" s="9">
        <f xml:space="preserve"> ((TablaSector3[[#This Row],[10kg]]*3.5) + (TablaSector3[[#This Row],[18kg]]*7)  + (TablaSector3[[#This Row],[27kg]]*11) + (TablaSector3[[#This Row],[43kg]]*17)) * DATOS!F2</f>
        <v>0</v>
      </c>
      <c r="L60" s="10" t="s">
        <v>32</v>
      </c>
      <c r="M60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0" s="8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0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60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60" s="8">
        <f xml:space="preserve"> SUMIFS(Tabla18[pm],Tabla18[fecha],TablaSector9[[#This Row],[fecha]],Tabla18[punto],L36)</f>
        <v>0</v>
      </c>
      <c r="R60" s="28">
        <f xml:space="preserve"> SUMIFS(Tabla18[efectivo],Tabla18[fecha],TablaSector9[[#This Row],[fecha]],Tabla18[punto],L36)</f>
        <v>0</v>
      </c>
      <c r="S60" s="8">
        <f xml:space="preserve"> SUMIFS(Tabla18[divisa],Tabla18[fecha],TablaSector9[[#This Row],[fecha]],Tabla18[punto],L36)</f>
        <v>0</v>
      </c>
      <c r="T60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0" s="9">
        <f xml:space="preserve"> ((TablaSector9[[#This Row],[10kg]]*3.5) + (TablaSector9[[#This Row],[18kg]]*7)  + (TablaSector9[[#This Row],[27kg]]*11) + (TablaSector9[[#This Row],[43kg]]*17)) * DATOS!F2</f>
        <v>0</v>
      </c>
      <c r="W60" s="10" t="s">
        <v>32</v>
      </c>
      <c r="X60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0" s="8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0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60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60" s="8">
        <f xml:space="preserve"> SUMIFS(Tabla18[pm],Tabla18[fecha],TablaProgreso[[#This Row],[fecha]],Tabla18[punto],W36)</f>
        <v>0</v>
      </c>
      <c r="AC60" s="28">
        <f xml:space="preserve"> SUMIFS(Tabla18[efectivo],Tabla18[fecha],TablaProgreso[[#This Row],[fecha]],Tabla18[punto],W36)</f>
        <v>0</v>
      </c>
      <c r="AD60" s="8">
        <f xml:space="preserve"> SUMIFS(Tabla18[divisa],Tabla18[fecha],TablaProgreso[[#This Row],[fecha]],Tabla18[punto],W36)</f>
        <v>0</v>
      </c>
      <c r="AE60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0" s="9">
        <f xml:space="preserve"> ((TablaProgreso[[#This Row],[10kg]]*3.5) + (TablaProgreso[[#This Row],[18kg]]*7)  + (TablaProgreso[[#This Row],[27kg]]*11) + (TablaProgreso[[#This Row],[43kg]]*17)) * DATOS!F2</f>
        <v>0</v>
      </c>
      <c r="AH60" s="10" t="s">
        <v>32</v>
      </c>
      <c r="AI60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0" s="8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0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60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60" s="8">
        <f xml:space="preserve"> SUMIFS(Tabla18[pm],Tabla18[fecha],TablaCamion[[#This Row],[fecha]],Tabla18[punto],AH36)</f>
        <v>0</v>
      </c>
      <c r="AN60" s="28">
        <f xml:space="preserve"> SUMIFS(Tabla18[efectivo],Tabla18[fecha],TablaCamion[[#This Row],[fecha]],Tabla18[punto],AH36)</f>
        <v>0</v>
      </c>
      <c r="AO60" s="8">
        <f xml:space="preserve"> SUMIFS(Tabla18[divisa],Tabla18[fecha],TablaCamion[[#This Row],[fecha]],Tabla18[punto],AH36)</f>
        <v>0</v>
      </c>
      <c r="AP60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0" s="9">
        <f xml:space="preserve"> ((TablaCamion[[#This Row],[10kg]]*3.5) + (TablaCamion[[#This Row],[18kg]]*7)  + (TablaCamion[[#This Row],[27kg]]*11) + (TablaCamion[[#This Row],[43kg]]*17)) * DATOS!F2</f>
        <v>0</v>
      </c>
      <c r="AS60" s="10" t="s">
        <v>32</v>
      </c>
      <c r="AT60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0" s="8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0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60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60" s="8">
        <f xml:space="preserve"> SUMIFS(Tabla18[pm],Tabla18[fecha],TablaOtrosPuntos[[#This Row],[fecha]],Tabla18[punto],AS36)</f>
        <v>0</v>
      </c>
      <c r="AY60" s="28">
        <f xml:space="preserve"> SUMIFS(Tabla18[efectivo],Tabla18[fecha],TablaOtrosPuntos[[#This Row],[fecha]],Tabla18[punto],AS36)</f>
        <v>0</v>
      </c>
      <c r="AZ60" s="8">
        <f xml:space="preserve"> SUMIFS(Tabla18[divisa],Tabla18[fecha],TablaOtrosPuntos[[#This Row],[fecha]],Tabla18[punto],AS36)</f>
        <v>0</v>
      </c>
      <c r="BA60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0" s="9">
        <f xml:space="preserve"> ((TablaOtrosPuntos[[#This Row],[10kg]]*3.5) + (TablaOtrosPuntos[[#This Row],[18kg]]*7)  + (TablaOtrosPuntos[[#This Row],[27kg]]*11) + (TablaOtrosPuntos[[#This Row],[43kg]]*17)) * DATOS!F2</f>
        <v>0</v>
      </c>
      <c r="BC60" s="33"/>
    </row>
    <row r="61" spans="1:55" x14ac:dyDescent="0.25">
      <c r="A61" s="10" t="s">
        <v>33</v>
      </c>
      <c r="B61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1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1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61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61" s="7">
        <f xml:space="preserve"> SUMIFS(Tabla18[pm],Tabla18[fecha],TablaSector3[[#This Row],[fecha]],Tabla18[punto],A36)</f>
        <v>0</v>
      </c>
      <c r="G61" s="28">
        <f xml:space="preserve"> SUMIFS(Tabla18[efectivo],Tabla18[fecha],TablaSector3[[#This Row],[fecha]],Tabla18[punto],A36)</f>
        <v>0</v>
      </c>
      <c r="H61" s="10">
        <f xml:space="preserve"> SUMIFS(Tabla18[divisa],Tabla18[fecha],TablaSector3[[#This Row],[fecha]],Tabla18[punto],A36)</f>
        <v>0</v>
      </c>
      <c r="I61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1" s="9">
        <f xml:space="preserve"> ((TablaSector3[[#This Row],[10kg]]*3.5) + (TablaSector3[[#This Row],[18kg]]*7)  + (TablaSector3[[#This Row],[27kg]]*11) + (TablaSector3[[#This Row],[43kg]]*17)) * DATOS!F2</f>
        <v>0</v>
      </c>
      <c r="L61" s="10" t="s">
        <v>33</v>
      </c>
      <c r="M61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1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1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61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61" s="7">
        <f xml:space="preserve"> SUMIFS(Tabla18[pm],Tabla18[fecha],TablaSector9[[#This Row],[fecha]],Tabla18[punto],L36)</f>
        <v>0</v>
      </c>
      <c r="R61" s="28">
        <f xml:space="preserve"> SUMIFS(Tabla18[efectivo],Tabla18[fecha],TablaSector9[[#This Row],[fecha]],Tabla18[punto],L36)</f>
        <v>0</v>
      </c>
      <c r="S61" s="10">
        <f xml:space="preserve"> SUMIFS(Tabla18[divisa],Tabla18[fecha],TablaSector9[[#This Row],[fecha]],Tabla18[punto],L36)</f>
        <v>0</v>
      </c>
      <c r="T61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1" s="9">
        <f xml:space="preserve"> ((TablaSector9[[#This Row],[10kg]]*3.5) + (TablaSector9[[#This Row],[18kg]]*7)  + (TablaSector9[[#This Row],[27kg]]*11) + (TablaSector9[[#This Row],[43kg]]*17)) * DATOS!F2</f>
        <v>0</v>
      </c>
      <c r="W61" s="10" t="s">
        <v>33</v>
      </c>
      <c r="X61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1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1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61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61" s="7">
        <f xml:space="preserve"> SUMIFS(Tabla18[pm],Tabla18[fecha],TablaProgreso[[#This Row],[fecha]],Tabla18[punto],W36)</f>
        <v>0</v>
      </c>
      <c r="AC61" s="28">
        <f xml:space="preserve"> SUMIFS(Tabla18[efectivo],Tabla18[fecha],TablaProgreso[[#This Row],[fecha]],Tabla18[punto],W36)</f>
        <v>0</v>
      </c>
      <c r="AD61" s="10">
        <f xml:space="preserve"> SUMIFS(Tabla18[divisa],Tabla18[fecha],TablaProgreso[[#This Row],[fecha]],Tabla18[punto],W36)</f>
        <v>0</v>
      </c>
      <c r="AE61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1" s="9">
        <f xml:space="preserve"> ((TablaProgreso[[#This Row],[10kg]]*3.5) + (TablaProgreso[[#This Row],[18kg]]*7)  + (TablaProgreso[[#This Row],[27kg]]*11) + (TablaProgreso[[#This Row],[43kg]]*17)) * DATOS!F2</f>
        <v>0</v>
      </c>
      <c r="AH61" s="10" t="s">
        <v>33</v>
      </c>
      <c r="AI61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1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1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61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61" s="7">
        <f xml:space="preserve"> SUMIFS(Tabla18[pm],Tabla18[fecha],TablaCamion[[#This Row],[fecha]],Tabla18[punto],AH36)</f>
        <v>0</v>
      </c>
      <c r="AN61" s="28">
        <f xml:space="preserve"> SUMIFS(Tabla18[efectivo],Tabla18[fecha],TablaCamion[[#This Row],[fecha]],Tabla18[punto],AH36)</f>
        <v>0</v>
      </c>
      <c r="AO61" s="10">
        <f xml:space="preserve"> SUMIFS(Tabla18[divisa],Tabla18[fecha],TablaCamion[[#This Row],[fecha]],Tabla18[punto],AH36)</f>
        <v>0</v>
      </c>
      <c r="AP61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1" s="9">
        <f xml:space="preserve"> ((TablaCamion[[#This Row],[10kg]]*3.5) + (TablaCamion[[#This Row],[18kg]]*7)  + (TablaCamion[[#This Row],[27kg]]*11) + (TablaCamion[[#This Row],[43kg]]*17)) * DATOS!F2</f>
        <v>0</v>
      </c>
      <c r="AS61" s="10" t="s">
        <v>33</v>
      </c>
      <c r="AT61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1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1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61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61" s="7">
        <f xml:space="preserve"> SUMIFS(Tabla18[pm],Tabla18[fecha],TablaOtrosPuntos[[#This Row],[fecha]],Tabla18[punto],AS36)</f>
        <v>0</v>
      </c>
      <c r="AY61" s="28">
        <f xml:space="preserve"> SUMIFS(Tabla18[efectivo],Tabla18[fecha],TablaOtrosPuntos[[#This Row],[fecha]],Tabla18[punto],AS36)</f>
        <v>0</v>
      </c>
      <c r="AZ61" s="10">
        <f xml:space="preserve"> SUMIFS(Tabla18[divisa],Tabla18[fecha],TablaOtrosPuntos[[#This Row],[fecha]],Tabla18[punto],AS36)</f>
        <v>0</v>
      </c>
      <c r="BA61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1" s="9">
        <f xml:space="preserve"> ((TablaOtrosPuntos[[#This Row],[10kg]]*3.5) + (TablaOtrosPuntos[[#This Row],[18kg]]*7)  + (TablaOtrosPuntos[[#This Row],[27kg]]*11) + (TablaOtrosPuntos[[#This Row],[43kg]]*17)) * DATOS!F2</f>
        <v>0</v>
      </c>
      <c r="BC61" s="33"/>
    </row>
    <row r="62" spans="1:55" x14ac:dyDescent="0.25">
      <c r="A62" s="10" t="s">
        <v>34</v>
      </c>
      <c r="B62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2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2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62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62" s="8">
        <f xml:space="preserve"> SUMIFS(Tabla18[pm],Tabla18[fecha],TablaSector3[[#This Row],[fecha]],Tabla18[punto],A36)</f>
        <v>0</v>
      </c>
      <c r="G62" s="27">
        <f xml:space="preserve"> SUMIFS(Tabla18[efectivo],Tabla18[fecha],TablaSector3[[#This Row],[fecha]],Tabla18[punto],A36)</f>
        <v>0</v>
      </c>
      <c r="H62" s="7">
        <f xml:space="preserve"> SUMIFS(Tabla18[divisa],Tabla18[fecha],TablaSector3[[#This Row],[fecha]],Tabla18[punto],A36)</f>
        <v>0</v>
      </c>
      <c r="I62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2" s="9">
        <f xml:space="preserve"> ((TablaSector3[[#This Row],[10kg]]*3.5) + (TablaSector3[[#This Row],[18kg]]*7)  + (TablaSector3[[#This Row],[27kg]]*11) + (TablaSector3[[#This Row],[43kg]]*17)) * DATOS!F2</f>
        <v>0</v>
      </c>
      <c r="L62" s="10" t="s">
        <v>34</v>
      </c>
      <c r="M62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2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2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62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62" s="8">
        <f xml:space="preserve"> SUMIFS(Tabla18[pm],Tabla18[fecha],TablaSector9[[#This Row],[fecha]],Tabla18[punto],L36)</f>
        <v>0</v>
      </c>
      <c r="R62" s="27">
        <f xml:space="preserve"> SUMIFS(Tabla18[efectivo],Tabla18[fecha],TablaSector9[[#This Row],[fecha]],Tabla18[punto],L36)</f>
        <v>0</v>
      </c>
      <c r="S62" s="7">
        <f xml:space="preserve"> SUMIFS(Tabla18[divisa],Tabla18[fecha],TablaSector9[[#This Row],[fecha]],Tabla18[punto],L36)</f>
        <v>0</v>
      </c>
      <c r="T62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2" s="9">
        <f xml:space="preserve"> ((TablaSector9[[#This Row],[10kg]]*3.5) + (TablaSector9[[#This Row],[18kg]]*7)  + (TablaSector9[[#This Row],[27kg]]*11) + (TablaSector9[[#This Row],[43kg]]*17)) * DATOS!F2</f>
        <v>0</v>
      </c>
      <c r="W62" s="10" t="s">
        <v>34</v>
      </c>
      <c r="X62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2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2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62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62" s="8">
        <f xml:space="preserve"> SUMIFS(Tabla18[pm],Tabla18[fecha],TablaProgreso[[#This Row],[fecha]],Tabla18[punto],W36)</f>
        <v>0</v>
      </c>
      <c r="AC62" s="27">
        <f xml:space="preserve"> SUMIFS(Tabla18[efectivo],Tabla18[fecha],TablaProgreso[[#This Row],[fecha]],Tabla18[punto],W36)</f>
        <v>0</v>
      </c>
      <c r="AD62" s="7">
        <f xml:space="preserve"> SUMIFS(Tabla18[divisa],Tabla18[fecha],TablaProgreso[[#This Row],[fecha]],Tabla18[punto],W36)</f>
        <v>0</v>
      </c>
      <c r="AE62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2" s="9">
        <f xml:space="preserve"> ((TablaProgreso[[#This Row],[10kg]]*3.5) + (TablaProgreso[[#This Row],[18kg]]*7)  + (TablaProgreso[[#This Row],[27kg]]*11) + (TablaProgreso[[#This Row],[43kg]]*17)) * DATOS!F2</f>
        <v>0</v>
      </c>
      <c r="AH62" s="10" t="s">
        <v>34</v>
      </c>
      <c r="AI62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2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2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62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62" s="8">
        <f xml:space="preserve"> SUMIFS(Tabla18[pm],Tabla18[fecha],TablaCamion[[#This Row],[fecha]],Tabla18[punto],AH36)</f>
        <v>0</v>
      </c>
      <c r="AN62" s="27">
        <f xml:space="preserve"> SUMIFS(Tabla18[efectivo],Tabla18[fecha],TablaCamion[[#This Row],[fecha]],Tabla18[punto],AH36)</f>
        <v>0</v>
      </c>
      <c r="AO62" s="7">
        <f xml:space="preserve"> SUMIFS(Tabla18[divisa],Tabla18[fecha],TablaCamion[[#This Row],[fecha]],Tabla18[punto],AH36)</f>
        <v>0</v>
      </c>
      <c r="AP62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2" s="9">
        <f xml:space="preserve"> ((TablaCamion[[#This Row],[10kg]]*3.5) + (TablaCamion[[#This Row],[18kg]]*7)  + (TablaCamion[[#This Row],[27kg]]*11) + (TablaCamion[[#This Row],[43kg]]*17)) * DATOS!F2</f>
        <v>0</v>
      </c>
      <c r="AS62" s="10" t="s">
        <v>34</v>
      </c>
      <c r="AT62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2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2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62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62" s="8">
        <f xml:space="preserve"> SUMIFS(Tabla18[pm],Tabla18[fecha],TablaOtrosPuntos[[#This Row],[fecha]],Tabla18[punto],AS36)</f>
        <v>0</v>
      </c>
      <c r="AY62" s="27">
        <f xml:space="preserve"> SUMIFS(Tabla18[efectivo],Tabla18[fecha],TablaOtrosPuntos[[#This Row],[fecha]],Tabla18[punto],AS36)</f>
        <v>0</v>
      </c>
      <c r="AZ62" s="7">
        <f xml:space="preserve"> SUMIFS(Tabla18[divisa],Tabla18[fecha],TablaOtrosPuntos[[#This Row],[fecha]],Tabla18[punto],AS36)</f>
        <v>0</v>
      </c>
      <c r="BA62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2" s="9">
        <f xml:space="preserve"> ((TablaOtrosPuntos[[#This Row],[10kg]]*3.5) + (TablaOtrosPuntos[[#This Row],[18kg]]*7)  + (TablaOtrosPuntos[[#This Row],[27kg]]*11) + (TablaOtrosPuntos[[#This Row],[43kg]]*17)) * DATOS!F2</f>
        <v>0</v>
      </c>
      <c r="BC62" s="33"/>
    </row>
    <row r="63" spans="1:55" x14ac:dyDescent="0.25">
      <c r="A63" s="10" t="s">
        <v>35</v>
      </c>
      <c r="B63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3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3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63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63" s="8">
        <f xml:space="preserve"> SUMIFS(Tabla18[pm],Tabla18[fecha],TablaSector3[[#This Row],[fecha]],Tabla18[punto],A36)</f>
        <v>0</v>
      </c>
      <c r="G63" s="27">
        <f xml:space="preserve"> SUMIFS(Tabla18[efectivo],Tabla18[fecha],TablaSector3[[#This Row],[fecha]],Tabla18[punto],A36)</f>
        <v>0</v>
      </c>
      <c r="H63" s="8">
        <f xml:space="preserve"> SUMIFS(Tabla18[divisa],Tabla18[fecha],TablaSector3[[#This Row],[fecha]],Tabla18[punto],A36)</f>
        <v>0</v>
      </c>
      <c r="I63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3" s="9">
        <f xml:space="preserve"> ((TablaSector3[[#This Row],[10kg]]*3.5) + (TablaSector3[[#This Row],[18kg]]*7)  + (TablaSector3[[#This Row],[27kg]]*11) + (TablaSector3[[#This Row],[43kg]]*17)) * DATOS!F2</f>
        <v>0</v>
      </c>
      <c r="L63" s="10" t="s">
        <v>35</v>
      </c>
      <c r="M63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3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3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63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63" s="8">
        <f xml:space="preserve"> SUMIFS(Tabla18[pm],Tabla18[fecha],TablaSector9[[#This Row],[fecha]],Tabla18[punto],L36)</f>
        <v>0</v>
      </c>
      <c r="R63" s="27">
        <f xml:space="preserve"> SUMIFS(Tabla18[efectivo],Tabla18[fecha],TablaSector9[[#This Row],[fecha]],Tabla18[punto],L36)</f>
        <v>0</v>
      </c>
      <c r="S63" s="8">
        <f xml:space="preserve"> SUMIFS(Tabla18[divisa],Tabla18[fecha],TablaSector9[[#This Row],[fecha]],Tabla18[punto],L36)</f>
        <v>0</v>
      </c>
      <c r="T63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3" s="9">
        <f xml:space="preserve"> ((TablaSector9[[#This Row],[10kg]]*3.5) + (TablaSector9[[#This Row],[18kg]]*7)  + (TablaSector9[[#This Row],[27kg]]*11) + (TablaSector9[[#This Row],[43kg]]*17)) * DATOS!F2</f>
        <v>0</v>
      </c>
      <c r="W63" s="10" t="s">
        <v>35</v>
      </c>
      <c r="X63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3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3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63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63" s="8">
        <f xml:space="preserve"> SUMIFS(Tabla18[pm],Tabla18[fecha],TablaProgreso[[#This Row],[fecha]],Tabla18[punto],W36)</f>
        <v>0</v>
      </c>
      <c r="AC63" s="27">
        <f xml:space="preserve"> SUMIFS(Tabla18[efectivo],Tabla18[fecha],TablaProgreso[[#This Row],[fecha]],Tabla18[punto],W36)</f>
        <v>0</v>
      </c>
      <c r="AD63" s="8">
        <f xml:space="preserve"> SUMIFS(Tabla18[divisa],Tabla18[fecha],TablaProgreso[[#This Row],[fecha]],Tabla18[punto],W36)</f>
        <v>0</v>
      </c>
      <c r="AE63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3" s="9">
        <f xml:space="preserve"> ((TablaProgreso[[#This Row],[10kg]]*3.5) + (TablaProgreso[[#This Row],[18kg]]*7)  + (TablaProgreso[[#This Row],[27kg]]*11) + (TablaProgreso[[#This Row],[43kg]]*17)) * DATOS!F2</f>
        <v>0</v>
      </c>
      <c r="AH63" s="10" t="s">
        <v>35</v>
      </c>
      <c r="AI63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3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3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63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63" s="8">
        <f xml:space="preserve"> SUMIFS(Tabla18[pm],Tabla18[fecha],TablaCamion[[#This Row],[fecha]],Tabla18[punto],AH36)</f>
        <v>0</v>
      </c>
      <c r="AN63" s="27">
        <f xml:space="preserve"> SUMIFS(Tabla18[efectivo],Tabla18[fecha],TablaCamion[[#This Row],[fecha]],Tabla18[punto],AH36)</f>
        <v>0</v>
      </c>
      <c r="AO63" s="8">
        <f xml:space="preserve"> SUMIFS(Tabla18[divisa],Tabla18[fecha],TablaCamion[[#This Row],[fecha]],Tabla18[punto],AH36)</f>
        <v>0</v>
      </c>
      <c r="AP63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3" s="9">
        <f xml:space="preserve"> ((TablaCamion[[#This Row],[10kg]]*3.5) + (TablaCamion[[#This Row],[18kg]]*7)  + (TablaCamion[[#This Row],[27kg]]*11) + (TablaCamion[[#This Row],[43kg]]*17)) * DATOS!F2</f>
        <v>0</v>
      </c>
      <c r="AS63" s="10" t="s">
        <v>35</v>
      </c>
      <c r="AT63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3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3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63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63" s="8">
        <f xml:space="preserve"> SUMIFS(Tabla18[pm],Tabla18[fecha],TablaOtrosPuntos[[#This Row],[fecha]],Tabla18[punto],AS36)</f>
        <v>0</v>
      </c>
      <c r="AY63" s="27">
        <f xml:space="preserve"> SUMIFS(Tabla18[efectivo],Tabla18[fecha],TablaOtrosPuntos[[#This Row],[fecha]],Tabla18[punto],AS36)</f>
        <v>0</v>
      </c>
      <c r="AZ63" s="8">
        <f xml:space="preserve"> SUMIFS(Tabla18[divisa],Tabla18[fecha],TablaOtrosPuntos[[#This Row],[fecha]],Tabla18[punto],AS36)</f>
        <v>0</v>
      </c>
      <c r="BA63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3" s="9">
        <f xml:space="preserve"> ((TablaOtrosPuntos[[#This Row],[10kg]]*3.5) + (TablaOtrosPuntos[[#This Row],[18kg]]*7)  + (TablaOtrosPuntos[[#This Row],[27kg]]*11) + (TablaOtrosPuntos[[#This Row],[43kg]]*17)) * DATOS!F2</f>
        <v>0</v>
      </c>
      <c r="BC63" s="33"/>
    </row>
    <row r="64" spans="1:55" x14ac:dyDescent="0.25">
      <c r="A64" s="10" t="s">
        <v>36</v>
      </c>
      <c r="B64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4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4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64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64" s="8">
        <f xml:space="preserve"> SUMIFS(Tabla18[pm],Tabla18[fecha],TablaSector3[[#This Row],[fecha]],Tabla18[punto],A36)</f>
        <v>0</v>
      </c>
      <c r="G64" s="27">
        <f xml:space="preserve"> SUMIFS(Tabla18[efectivo],Tabla18[fecha],TablaSector3[[#This Row],[fecha]],Tabla18[punto],A36)</f>
        <v>0</v>
      </c>
      <c r="H64" s="8">
        <f xml:space="preserve"> SUMIFS(Tabla18[divisa],Tabla18[fecha],TablaSector3[[#This Row],[fecha]],Tabla18[punto],A36)</f>
        <v>0</v>
      </c>
      <c r="I64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4" s="9">
        <f xml:space="preserve"> ((TablaSector3[[#This Row],[10kg]]*3.5) + (TablaSector3[[#This Row],[18kg]]*7)  + (TablaSector3[[#This Row],[27kg]]*11) + (TablaSector3[[#This Row],[43kg]]*17)) * DATOS!F2</f>
        <v>0</v>
      </c>
      <c r="L64" s="10" t="s">
        <v>36</v>
      </c>
      <c r="M64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4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4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64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64" s="8">
        <f xml:space="preserve"> SUMIFS(Tabla18[pm],Tabla18[fecha],TablaSector9[[#This Row],[fecha]],Tabla18[punto],L36)</f>
        <v>0</v>
      </c>
      <c r="R64" s="27">
        <f xml:space="preserve"> SUMIFS(Tabla18[efectivo],Tabla18[fecha],TablaSector9[[#This Row],[fecha]],Tabla18[punto],L36)</f>
        <v>0</v>
      </c>
      <c r="S64" s="8">
        <f xml:space="preserve"> SUMIFS(Tabla18[divisa],Tabla18[fecha],TablaSector9[[#This Row],[fecha]],Tabla18[punto],L36)</f>
        <v>0</v>
      </c>
      <c r="T64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4" s="9">
        <f xml:space="preserve"> ((TablaSector9[[#This Row],[10kg]]*3.5) + (TablaSector9[[#This Row],[18kg]]*7)  + (TablaSector9[[#This Row],[27kg]]*11) + (TablaSector9[[#This Row],[43kg]]*17)) * DATOS!F2</f>
        <v>0</v>
      </c>
      <c r="W64" s="10" t="s">
        <v>36</v>
      </c>
      <c r="X64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4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4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64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64" s="8">
        <f xml:space="preserve"> SUMIFS(Tabla18[pm],Tabla18[fecha],TablaProgreso[[#This Row],[fecha]],Tabla18[punto],W36)</f>
        <v>0</v>
      </c>
      <c r="AC64" s="27">
        <f xml:space="preserve"> SUMIFS(Tabla18[efectivo],Tabla18[fecha],TablaProgreso[[#This Row],[fecha]],Tabla18[punto],W36)</f>
        <v>0</v>
      </c>
      <c r="AD64" s="8">
        <f xml:space="preserve"> SUMIFS(Tabla18[divisa],Tabla18[fecha],TablaProgreso[[#This Row],[fecha]],Tabla18[punto],W36)</f>
        <v>0</v>
      </c>
      <c r="AE64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4" s="9">
        <f xml:space="preserve"> ((TablaProgreso[[#This Row],[10kg]]*3.5) + (TablaProgreso[[#This Row],[18kg]]*7)  + (TablaProgreso[[#This Row],[27kg]]*11) + (TablaProgreso[[#This Row],[43kg]]*17)) * DATOS!F2</f>
        <v>0</v>
      </c>
      <c r="AH64" s="10" t="s">
        <v>36</v>
      </c>
      <c r="AI64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4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4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64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64" s="8">
        <f xml:space="preserve"> SUMIFS(Tabla18[pm],Tabla18[fecha],TablaCamion[[#This Row],[fecha]],Tabla18[punto],AH36)</f>
        <v>0</v>
      </c>
      <c r="AN64" s="27">
        <f xml:space="preserve"> SUMIFS(Tabla18[efectivo],Tabla18[fecha],TablaCamion[[#This Row],[fecha]],Tabla18[punto],AH36)</f>
        <v>0</v>
      </c>
      <c r="AO64" s="8">
        <f xml:space="preserve"> SUMIFS(Tabla18[divisa],Tabla18[fecha],TablaCamion[[#This Row],[fecha]],Tabla18[punto],AH36)</f>
        <v>0</v>
      </c>
      <c r="AP64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4" s="9">
        <f xml:space="preserve"> ((TablaCamion[[#This Row],[10kg]]*3.5) + (TablaCamion[[#This Row],[18kg]]*7)  + (TablaCamion[[#This Row],[27kg]]*11) + (TablaCamion[[#This Row],[43kg]]*17)) * DATOS!F2</f>
        <v>0</v>
      </c>
      <c r="AS64" s="10" t="s">
        <v>36</v>
      </c>
      <c r="AT64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4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4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64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64" s="8">
        <f xml:space="preserve"> SUMIFS(Tabla18[pm],Tabla18[fecha],TablaOtrosPuntos[[#This Row],[fecha]],Tabla18[punto],AS36)</f>
        <v>0</v>
      </c>
      <c r="AY64" s="27">
        <f xml:space="preserve"> SUMIFS(Tabla18[efectivo],Tabla18[fecha],TablaOtrosPuntos[[#This Row],[fecha]],Tabla18[punto],AS36)</f>
        <v>0</v>
      </c>
      <c r="AZ64" s="8">
        <f xml:space="preserve"> SUMIFS(Tabla18[divisa],Tabla18[fecha],TablaOtrosPuntos[[#This Row],[fecha]],Tabla18[punto],AS36)</f>
        <v>0</v>
      </c>
      <c r="BA64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4" s="9">
        <f xml:space="preserve"> ((TablaOtrosPuntos[[#This Row],[10kg]]*3.5) + (TablaOtrosPuntos[[#This Row],[18kg]]*7)  + (TablaOtrosPuntos[[#This Row],[27kg]]*11) + (TablaOtrosPuntos[[#This Row],[43kg]]*17)) * DATOS!F2</f>
        <v>0</v>
      </c>
      <c r="BC64" s="33"/>
    </row>
    <row r="65" spans="1:55" x14ac:dyDescent="0.25">
      <c r="A65" s="10" t="s">
        <v>37</v>
      </c>
      <c r="B65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5" s="13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5" s="13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65" s="13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65" s="8">
        <f xml:space="preserve"> SUMIFS(Tabla18[pm],Tabla18[fecha],TablaSector3[[#This Row],[fecha]],Tabla18[punto],A36)</f>
        <v>0</v>
      </c>
      <c r="G65" s="27">
        <f xml:space="preserve"> SUMIFS(Tabla18[efectivo],Tabla18[fecha],TablaSector3[[#This Row],[fecha]],Tabla18[punto],A36)</f>
        <v>0</v>
      </c>
      <c r="H65" s="8">
        <f xml:space="preserve"> SUMIFS(Tabla18[divisa],Tabla18[fecha],TablaSector3[[#This Row],[fecha]],Tabla18[punto],A36)</f>
        <v>0</v>
      </c>
      <c r="I65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5" s="14">
        <f xml:space="preserve"> ((TablaSector3[[#This Row],[10kg]]*3.5) + (TablaSector3[[#This Row],[18kg]]*7)  + (TablaSector3[[#This Row],[27kg]]*11) + (TablaSector3[[#This Row],[43kg]]*17)) * DATOS!F2</f>
        <v>0</v>
      </c>
      <c r="L65" s="10" t="s">
        <v>37</v>
      </c>
      <c r="M65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5" s="13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5" s="13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65" s="13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65" s="8">
        <f xml:space="preserve"> SUMIFS(Tabla18[pm],Tabla18[fecha],TablaSector9[[#This Row],[fecha]],Tabla18[punto],L36)</f>
        <v>0</v>
      </c>
      <c r="R65" s="27">
        <f xml:space="preserve"> SUMIFS(Tabla18[efectivo],Tabla18[fecha],TablaSector9[[#This Row],[fecha]],Tabla18[punto],L36)</f>
        <v>0</v>
      </c>
      <c r="S65" s="8">
        <f xml:space="preserve"> SUMIFS(Tabla18[divisa],Tabla18[fecha],TablaSector9[[#This Row],[fecha]],Tabla18[punto],L36)</f>
        <v>0</v>
      </c>
      <c r="T65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5" s="14">
        <f xml:space="preserve"> ((TablaSector9[[#This Row],[10kg]]*3.5) + (TablaSector9[[#This Row],[18kg]]*7)  + (TablaSector9[[#This Row],[27kg]]*11) + (TablaSector9[[#This Row],[43kg]]*17)) * DATOS!F2</f>
        <v>0</v>
      </c>
      <c r="W65" s="10" t="s">
        <v>37</v>
      </c>
      <c r="X65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5" s="13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5" s="13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65" s="13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65" s="8">
        <f xml:space="preserve"> SUMIFS(Tabla18[pm],Tabla18[fecha],TablaProgreso[[#This Row],[fecha]],Tabla18[punto],W36)</f>
        <v>0</v>
      </c>
      <c r="AC65" s="27">
        <f xml:space="preserve"> SUMIFS(Tabla18[efectivo],Tabla18[fecha],TablaProgreso[[#This Row],[fecha]],Tabla18[punto],W36)</f>
        <v>0</v>
      </c>
      <c r="AD65" s="8">
        <f xml:space="preserve"> SUMIFS(Tabla18[divisa],Tabla18[fecha],TablaProgreso[[#This Row],[fecha]],Tabla18[punto],W36)</f>
        <v>0</v>
      </c>
      <c r="AE65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5" s="14">
        <f xml:space="preserve"> ((TablaProgreso[[#This Row],[10kg]]*3.5) + (TablaProgreso[[#This Row],[18kg]]*7)  + (TablaProgreso[[#This Row],[27kg]]*11) + (TablaProgreso[[#This Row],[43kg]]*17)) * DATOS!F2</f>
        <v>0</v>
      </c>
      <c r="AH65" s="10" t="s">
        <v>37</v>
      </c>
      <c r="AI65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5" s="13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5" s="13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65" s="13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65" s="8">
        <f xml:space="preserve"> SUMIFS(Tabla18[pm],Tabla18[fecha],TablaCamion[[#This Row],[fecha]],Tabla18[punto],AH36)</f>
        <v>0</v>
      </c>
      <c r="AN65" s="27">
        <f xml:space="preserve"> SUMIFS(Tabla18[efectivo],Tabla18[fecha],TablaCamion[[#This Row],[fecha]],Tabla18[punto],AH36)</f>
        <v>0</v>
      </c>
      <c r="AO65" s="8">
        <f xml:space="preserve"> SUMIFS(Tabla18[divisa],Tabla18[fecha],TablaCamion[[#This Row],[fecha]],Tabla18[punto],AH36)</f>
        <v>0</v>
      </c>
      <c r="AP65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5" s="14">
        <f xml:space="preserve"> ((TablaCamion[[#This Row],[10kg]]*3.5) + (TablaCamion[[#This Row],[18kg]]*7)  + (TablaCamion[[#This Row],[27kg]]*11) + (TablaCamion[[#This Row],[43kg]]*17)) * DATOS!F2</f>
        <v>0</v>
      </c>
      <c r="AS65" s="10" t="s">
        <v>37</v>
      </c>
      <c r="AT65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5" s="13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5" s="13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65" s="13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65" s="8">
        <f xml:space="preserve"> SUMIFS(Tabla18[pm],Tabla18[fecha],TablaOtrosPuntos[[#This Row],[fecha]],Tabla18[punto],AS36)</f>
        <v>0</v>
      </c>
      <c r="AY65" s="27">
        <f xml:space="preserve"> SUMIFS(Tabla18[efectivo],Tabla18[fecha],TablaOtrosPuntos[[#This Row],[fecha]],Tabla18[punto],AS36)</f>
        <v>0</v>
      </c>
      <c r="AZ65" s="8">
        <f xml:space="preserve"> SUMIFS(Tabla18[divisa],Tabla18[fecha],TablaOtrosPuntos[[#This Row],[fecha]],Tabla18[punto],AS36)</f>
        <v>0</v>
      </c>
      <c r="BA65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5" s="14">
        <f xml:space="preserve"> ((TablaOtrosPuntos[[#This Row],[10kg]]*3.5) + (TablaOtrosPuntos[[#This Row],[18kg]]*7)  + (TablaOtrosPuntos[[#This Row],[27kg]]*11) + (TablaOtrosPuntos[[#This Row],[43kg]]*17)) * DATOS!F2</f>
        <v>0</v>
      </c>
      <c r="BC65" s="33"/>
    </row>
    <row r="66" spans="1:55" x14ac:dyDescent="0.25">
      <c r="A66" s="10" t="s">
        <v>38</v>
      </c>
      <c r="B66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6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6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66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66" s="8">
        <f xml:space="preserve"> SUMIFS(Tabla18[pm],Tabla18[fecha],TablaSector3[[#This Row],[fecha]],Tabla18[punto],A36)</f>
        <v>0</v>
      </c>
      <c r="G66" s="28">
        <f xml:space="preserve"> SUMIFS(Tabla18[efectivo],Tabla18[fecha],TablaSector3[[#This Row],[fecha]],Tabla18[punto],A36)</f>
        <v>0</v>
      </c>
      <c r="H66" s="8">
        <f xml:space="preserve"> SUMIFS(Tabla18[divisa],Tabla18[fecha],TablaSector3[[#This Row],[fecha]],Tabla18[punto],A36)</f>
        <v>0</v>
      </c>
      <c r="I66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6" s="15">
        <f xml:space="preserve"> ((TablaSector3[[#This Row],[10kg]]*3.5) + (TablaSector3[[#This Row],[18kg]]*7)  + (TablaSector3[[#This Row],[27kg]]*11) + (TablaSector3[[#This Row],[43kg]]*17)) * DATOS!F2</f>
        <v>0</v>
      </c>
      <c r="L66" s="10" t="s">
        <v>38</v>
      </c>
      <c r="M66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6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6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66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66" s="8">
        <f xml:space="preserve"> SUMIFS(Tabla18[pm],Tabla18[fecha],TablaSector9[[#This Row],[fecha]],Tabla18[punto],L36)</f>
        <v>0</v>
      </c>
      <c r="R66" s="28">
        <f xml:space="preserve"> SUMIFS(Tabla18[efectivo],Tabla18[fecha],TablaSector9[[#This Row],[fecha]],Tabla18[punto],L36)</f>
        <v>0</v>
      </c>
      <c r="S66" s="8">
        <f xml:space="preserve"> SUMIFS(Tabla18[divisa],Tabla18[fecha],TablaSector9[[#This Row],[fecha]],Tabla18[punto],L36)</f>
        <v>0</v>
      </c>
      <c r="T66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6" s="15">
        <f xml:space="preserve"> ((TablaSector9[[#This Row],[10kg]]*3.5) + (TablaSector9[[#This Row],[18kg]]*7)  + (TablaSector9[[#This Row],[27kg]]*11) + (TablaSector9[[#This Row],[43kg]]*17)) * DATOS!F2</f>
        <v>0</v>
      </c>
      <c r="W66" s="10" t="s">
        <v>38</v>
      </c>
      <c r="X66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6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6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66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66" s="8">
        <f xml:space="preserve"> SUMIFS(Tabla18[pm],Tabla18[fecha],TablaProgreso[[#This Row],[fecha]],Tabla18[punto],W36)</f>
        <v>0</v>
      </c>
      <c r="AC66" s="28">
        <f xml:space="preserve"> SUMIFS(Tabla18[efectivo],Tabla18[fecha],TablaProgreso[[#This Row],[fecha]],Tabla18[punto],W36)</f>
        <v>0</v>
      </c>
      <c r="AD66" s="8">
        <f xml:space="preserve"> SUMIFS(Tabla18[divisa],Tabla18[fecha],TablaProgreso[[#This Row],[fecha]],Tabla18[punto],W36)</f>
        <v>0</v>
      </c>
      <c r="AE66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6" s="15">
        <f xml:space="preserve"> ((TablaProgreso[[#This Row],[10kg]]*3.5) + (TablaProgreso[[#This Row],[18kg]]*7)  + (TablaProgreso[[#This Row],[27kg]]*11) + (TablaProgreso[[#This Row],[43kg]]*17)) * DATOS!F2</f>
        <v>0</v>
      </c>
      <c r="AH66" s="10" t="s">
        <v>38</v>
      </c>
      <c r="AI66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6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6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66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66" s="8">
        <f xml:space="preserve"> SUMIFS(Tabla18[pm],Tabla18[fecha],TablaCamion[[#This Row],[fecha]],Tabla18[punto],AH36)</f>
        <v>0</v>
      </c>
      <c r="AN66" s="28">
        <f xml:space="preserve"> SUMIFS(Tabla18[efectivo],Tabla18[fecha],TablaCamion[[#This Row],[fecha]],Tabla18[punto],AH36)</f>
        <v>0</v>
      </c>
      <c r="AO66" s="8">
        <f xml:space="preserve"> SUMIFS(Tabla18[divisa],Tabla18[fecha],TablaCamion[[#This Row],[fecha]],Tabla18[punto],AH36)</f>
        <v>0</v>
      </c>
      <c r="AP66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6" s="15">
        <f xml:space="preserve"> ((TablaCamion[[#This Row],[10kg]]*3.5) + (TablaCamion[[#This Row],[18kg]]*7)  + (TablaCamion[[#This Row],[27kg]]*11) + (TablaCamion[[#This Row],[43kg]]*17)) * DATOS!F2</f>
        <v>0</v>
      </c>
      <c r="AS66" s="10" t="s">
        <v>38</v>
      </c>
      <c r="AT66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6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6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66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66" s="8">
        <f xml:space="preserve"> SUMIFS(Tabla18[pm],Tabla18[fecha],TablaOtrosPuntos[[#This Row],[fecha]],Tabla18[punto],AS36)</f>
        <v>0</v>
      </c>
      <c r="AY66" s="28">
        <f xml:space="preserve"> SUMIFS(Tabla18[efectivo],Tabla18[fecha],TablaOtrosPuntos[[#This Row],[fecha]],Tabla18[punto],AS36)</f>
        <v>0</v>
      </c>
      <c r="AZ66" s="8">
        <f xml:space="preserve"> SUMIFS(Tabla18[divisa],Tabla18[fecha],TablaOtrosPuntos[[#This Row],[fecha]],Tabla18[punto],AS36)</f>
        <v>0</v>
      </c>
      <c r="BA66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6" s="15">
        <f xml:space="preserve"> ((TablaOtrosPuntos[[#This Row],[10kg]]*3.5) + (TablaOtrosPuntos[[#This Row],[18kg]]*7)  + (TablaOtrosPuntos[[#This Row],[27kg]]*11) + (TablaOtrosPuntos[[#This Row],[43kg]]*17)) * DATOS!F2</f>
        <v>0</v>
      </c>
      <c r="BC66" s="33"/>
    </row>
    <row r="67" spans="1:55" x14ac:dyDescent="0.25">
      <c r="A67" s="10" t="s">
        <v>39</v>
      </c>
      <c r="B67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7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7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67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67" s="8">
        <f xml:space="preserve"> SUMIFS(Tabla18[pm],Tabla18[fecha],TablaSector3[[#This Row],[fecha]],Tabla18[punto],A36)</f>
        <v>0</v>
      </c>
      <c r="G67" s="28">
        <f xml:space="preserve"> SUMIFS(Tabla18[efectivo],Tabla18[fecha],TablaSector3[[#This Row],[fecha]],Tabla18[punto],A36)</f>
        <v>0</v>
      </c>
      <c r="H67" s="8">
        <f xml:space="preserve"> SUMIFS(Tabla18[divisa],Tabla18[fecha],TablaSector3[[#This Row],[fecha]],Tabla18[punto],A36)</f>
        <v>0</v>
      </c>
      <c r="I67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7" s="15">
        <f xml:space="preserve"> ((TablaSector3[[#This Row],[10kg]]*3.5) + (TablaSector3[[#This Row],[18kg]]*7)  + (TablaSector3[[#This Row],[27kg]]*11) + (TablaSector3[[#This Row],[43kg]]*17)) * DATOS!F2</f>
        <v>0</v>
      </c>
      <c r="L67" s="10" t="s">
        <v>39</v>
      </c>
      <c r="M67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7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7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67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67" s="8">
        <f xml:space="preserve"> SUMIFS(Tabla18[pm],Tabla18[fecha],TablaSector9[[#This Row],[fecha]],Tabla18[punto],L36)</f>
        <v>0</v>
      </c>
      <c r="R67" s="28">
        <f xml:space="preserve"> SUMIFS(Tabla18[efectivo],Tabla18[fecha],TablaSector9[[#This Row],[fecha]],Tabla18[punto],L36)</f>
        <v>0</v>
      </c>
      <c r="S67" s="8">
        <f xml:space="preserve"> SUMIFS(Tabla18[divisa],Tabla18[fecha],TablaSector9[[#This Row],[fecha]],Tabla18[punto],L36)</f>
        <v>0</v>
      </c>
      <c r="T67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7" s="15">
        <f xml:space="preserve"> ((TablaSector9[[#This Row],[10kg]]*3.5) + (TablaSector9[[#This Row],[18kg]]*7)  + (TablaSector9[[#This Row],[27kg]]*11) + (TablaSector9[[#This Row],[43kg]]*17)) * DATOS!F2</f>
        <v>0</v>
      </c>
      <c r="W67" s="10" t="s">
        <v>39</v>
      </c>
      <c r="X67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7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7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67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67" s="8">
        <f xml:space="preserve"> SUMIFS(Tabla18[pm],Tabla18[fecha],TablaProgreso[[#This Row],[fecha]],Tabla18[punto],W36)</f>
        <v>0</v>
      </c>
      <c r="AC67" s="28">
        <f xml:space="preserve"> SUMIFS(Tabla18[efectivo],Tabla18[fecha],TablaProgreso[[#This Row],[fecha]],Tabla18[punto],W36)</f>
        <v>0</v>
      </c>
      <c r="AD67" s="8">
        <f xml:space="preserve"> SUMIFS(Tabla18[divisa],Tabla18[fecha],TablaProgreso[[#This Row],[fecha]],Tabla18[punto],W36)</f>
        <v>0</v>
      </c>
      <c r="AE67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7" s="15">
        <f xml:space="preserve"> ((TablaProgreso[[#This Row],[10kg]]*3.5) + (TablaProgreso[[#This Row],[18kg]]*7)  + (TablaProgreso[[#This Row],[27kg]]*11) + (TablaProgreso[[#This Row],[43kg]]*17)) * DATOS!F2</f>
        <v>0</v>
      </c>
      <c r="AH67" s="10" t="s">
        <v>39</v>
      </c>
      <c r="AI67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7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7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67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67" s="8">
        <f xml:space="preserve"> SUMIFS(Tabla18[pm],Tabla18[fecha],TablaCamion[[#This Row],[fecha]],Tabla18[punto],AH36)</f>
        <v>0</v>
      </c>
      <c r="AN67" s="28">
        <f xml:space="preserve"> SUMIFS(Tabla18[efectivo],Tabla18[fecha],TablaCamion[[#This Row],[fecha]],Tabla18[punto],AH36)</f>
        <v>0</v>
      </c>
      <c r="AO67" s="8">
        <f xml:space="preserve"> SUMIFS(Tabla18[divisa],Tabla18[fecha],TablaCamion[[#This Row],[fecha]],Tabla18[punto],AH36)</f>
        <v>0</v>
      </c>
      <c r="AP67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7" s="15">
        <f xml:space="preserve"> ((TablaCamion[[#This Row],[10kg]]*3.5) + (TablaCamion[[#This Row],[18kg]]*7)  + (TablaCamion[[#This Row],[27kg]]*11) + (TablaCamion[[#This Row],[43kg]]*17)) * DATOS!F2</f>
        <v>0</v>
      </c>
      <c r="AS67" s="10" t="s">
        <v>39</v>
      </c>
      <c r="AT67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7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7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67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67" s="8">
        <f xml:space="preserve"> SUMIFS(Tabla18[pm],Tabla18[fecha],TablaOtrosPuntos[[#This Row],[fecha]],Tabla18[punto],AS36)</f>
        <v>0</v>
      </c>
      <c r="AY67" s="28">
        <f xml:space="preserve"> SUMIFS(Tabla18[efectivo],Tabla18[fecha],TablaOtrosPuntos[[#This Row],[fecha]],Tabla18[punto],AS36)</f>
        <v>0</v>
      </c>
      <c r="AZ67" s="8">
        <f xml:space="preserve"> SUMIFS(Tabla18[divisa],Tabla18[fecha],TablaOtrosPuntos[[#This Row],[fecha]],Tabla18[punto],AS36)</f>
        <v>0</v>
      </c>
      <c r="BA67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7" s="15">
        <f xml:space="preserve"> ((TablaOtrosPuntos[[#This Row],[10kg]]*3.5) + (TablaOtrosPuntos[[#This Row],[18kg]]*7)  + (TablaOtrosPuntos[[#This Row],[27kg]]*11) + (TablaOtrosPuntos[[#This Row],[43kg]]*17)) * DATOS!F2</f>
        <v>0</v>
      </c>
      <c r="BC67" s="33"/>
    </row>
    <row r="68" spans="1:55" x14ac:dyDescent="0.25">
      <c r="A68" s="10" t="s">
        <v>40</v>
      </c>
      <c r="B68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8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8" s="7">
        <f xml:space="preserve"> SUMIFS(Tabla1821[27kg],Tabla1821[fecha],TablaSector3[[#This Row],[fecha]],Tabla1821[punto],A36) -  SUMIFS(Tabla182115[27kg],Tabla182115[fecha],TablaSector3[[#This Row],[fecha]],Tabla182115[punto],A36)</f>
        <v>0</v>
      </c>
      <c r="E68" s="7">
        <f xml:space="preserve"> SUMIFS(Tabla1821[43kg],Tabla1821[fecha],TablaSector3[[#This Row],[fecha]],Tabla1821[punto],A36) -  SUMIFS(Tabla182115[43kg],Tabla182115[fecha],TablaSector3[[#This Row],[fecha]],Tabla182115[punto],A36)</f>
        <v>0</v>
      </c>
      <c r="F68" s="8">
        <f xml:space="preserve"> SUMIFS(Tabla18[pm],Tabla18[fecha],TablaSector3[[#This Row],[fecha]],Tabla18[punto],A36)</f>
        <v>0</v>
      </c>
      <c r="G68" s="28">
        <f xml:space="preserve"> SUMIFS(Tabla18[efectivo],Tabla18[fecha],TablaSector3[[#This Row],[fecha]],Tabla18[punto],A36)</f>
        <v>0</v>
      </c>
      <c r="H68" s="8">
        <f xml:space="preserve"> SUMIFS(Tabla18[divisa],Tabla18[fecha],TablaSector3[[#This Row],[fecha]],Tabla18[punto],A36)</f>
        <v>0</v>
      </c>
      <c r="I68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8" s="15">
        <f xml:space="preserve"> ((TablaSector3[[#This Row],[10kg]]*3.5) + (TablaSector3[[#This Row],[18kg]]*7)  + (TablaSector3[[#This Row],[27kg]]*11) + (TablaSector3[[#This Row],[43kg]]*17)) * DATOS!F2</f>
        <v>0</v>
      </c>
      <c r="L68" s="10" t="s">
        <v>40</v>
      </c>
      <c r="M68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8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8" s="7">
        <f xml:space="preserve"> SUMIFS(Tabla1821[27kg],Tabla1821[fecha],TablaSector9[[#This Row],[fecha]],Tabla1821[punto],L36) -  SUMIFS(Tabla182115[27kg],Tabla182115[fecha],TablaSector9[[#This Row],[fecha]],Tabla182115[punto],L36)</f>
        <v>0</v>
      </c>
      <c r="P68" s="7">
        <f xml:space="preserve"> SUMIFS(Tabla1821[43kg],Tabla1821[fecha],TablaSector9[[#This Row],[fecha]],Tabla1821[punto],L36) -  SUMIFS(Tabla182115[43kg],Tabla182115[fecha],TablaSector9[[#This Row],[fecha]],Tabla182115[punto],L36)</f>
        <v>0</v>
      </c>
      <c r="Q68" s="8">
        <f xml:space="preserve"> SUMIFS(Tabla18[pm],Tabla18[fecha],TablaSector9[[#This Row],[fecha]],Tabla18[punto],L36)</f>
        <v>0</v>
      </c>
      <c r="R68" s="28">
        <f xml:space="preserve"> SUMIFS(Tabla18[efectivo],Tabla18[fecha],TablaSector9[[#This Row],[fecha]],Tabla18[punto],L36)</f>
        <v>0</v>
      </c>
      <c r="S68" s="8">
        <f xml:space="preserve"> SUMIFS(Tabla18[divisa],Tabla18[fecha],TablaSector9[[#This Row],[fecha]],Tabla18[punto],L36)</f>
        <v>0</v>
      </c>
      <c r="T68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8" s="15">
        <f xml:space="preserve"> ((TablaSector9[[#This Row],[10kg]]*3.5) + (TablaSector9[[#This Row],[18kg]]*7)  + (TablaSector9[[#This Row],[27kg]]*11) + (TablaSector9[[#This Row],[43kg]]*17)) * DATOS!F2</f>
        <v>0</v>
      </c>
      <c r="W68" s="10" t="s">
        <v>40</v>
      </c>
      <c r="X68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8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8" s="7">
        <f xml:space="preserve"> SUMIFS(Tabla1821[27kg],Tabla1821[fecha],TablaProgreso[[#This Row],[fecha]],Tabla1821[punto],W36) -  SUMIFS(Tabla182115[27kg],Tabla182115[fecha],TablaProgreso[[#This Row],[fecha]],Tabla182115[punto],W36)</f>
        <v>0</v>
      </c>
      <c r="AA68" s="7">
        <f xml:space="preserve"> SUMIFS(Tabla1821[43kg],Tabla1821[fecha],TablaProgreso[[#This Row],[fecha]],Tabla1821[punto],W36) -  SUMIFS(Tabla182115[43kg],Tabla182115[fecha],TablaProgreso[[#This Row],[fecha]],Tabla182115[punto],W36)</f>
        <v>0</v>
      </c>
      <c r="AB68" s="8">
        <f xml:space="preserve"> SUMIFS(Tabla18[pm],Tabla18[fecha],TablaProgreso[[#This Row],[fecha]],Tabla18[punto],W36)</f>
        <v>0</v>
      </c>
      <c r="AC68" s="28">
        <f xml:space="preserve"> SUMIFS(Tabla18[efectivo],Tabla18[fecha],TablaProgreso[[#This Row],[fecha]],Tabla18[punto],W36)</f>
        <v>0</v>
      </c>
      <c r="AD68" s="8">
        <f xml:space="preserve"> SUMIFS(Tabla18[divisa],Tabla18[fecha],TablaProgreso[[#This Row],[fecha]],Tabla18[punto],W36)</f>
        <v>0</v>
      </c>
      <c r="AE68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8" s="15">
        <f xml:space="preserve"> ((TablaProgreso[[#This Row],[10kg]]*3.5) + (TablaProgreso[[#This Row],[18kg]]*7)  + (TablaProgreso[[#This Row],[27kg]]*11) + (TablaProgreso[[#This Row],[43kg]]*17)) * DATOS!F2</f>
        <v>0</v>
      </c>
      <c r="AH68" s="10" t="s">
        <v>40</v>
      </c>
      <c r="AI68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8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8" s="7">
        <f xml:space="preserve"> SUMIFS(Tabla1821[27kg],Tabla1821[fecha],TablaCamion[[#This Row],[fecha]],Tabla1821[punto],AH36) -  SUMIFS(Tabla182115[27kg],Tabla182115[fecha],TablaCamion[[#This Row],[fecha]],Tabla182115[punto],AH36)</f>
        <v>0</v>
      </c>
      <c r="AL68" s="7">
        <f xml:space="preserve"> SUMIFS(Tabla1821[43kg],Tabla1821[fecha],TablaCamion[[#This Row],[fecha]],Tabla1821[punto],AH36) -  SUMIFS(Tabla182115[43kg],Tabla182115[fecha],TablaCamion[[#This Row],[fecha]],Tabla182115[punto],AH36)</f>
        <v>0</v>
      </c>
      <c r="AM68" s="8">
        <f xml:space="preserve"> SUMIFS(Tabla18[pm],Tabla18[fecha],TablaCamion[[#This Row],[fecha]],Tabla18[punto],AH36)</f>
        <v>0</v>
      </c>
      <c r="AN68" s="28">
        <f xml:space="preserve"> SUMIFS(Tabla18[efectivo],Tabla18[fecha],TablaCamion[[#This Row],[fecha]],Tabla18[punto],AH36)</f>
        <v>0</v>
      </c>
      <c r="AO68" s="8">
        <f xml:space="preserve"> SUMIFS(Tabla18[divisa],Tabla18[fecha],TablaCamion[[#This Row],[fecha]],Tabla18[punto],AH36)</f>
        <v>0</v>
      </c>
      <c r="AP68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8" s="15">
        <f xml:space="preserve"> ((TablaCamion[[#This Row],[10kg]]*3.5) + (TablaCamion[[#This Row],[18kg]]*7)  + (TablaCamion[[#This Row],[27kg]]*11) + (TablaCamion[[#This Row],[43kg]]*17)) * DATOS!F2</f>
        <v>0</v>
      </c>
      <c r="AS68" s="10" t="s">
        <v>40</v>
      </c>
      <c r="AT68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8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8" s="7">
        <f xml:space="preserve"> SUMIFS(Tabla1821[27kg],Tabla1821[fecha],TablaOtrosPuntos[[#This Row],[fecha]],Tabla1821[punto],AS36) -  SUMIFS(Tabla182115[27kg],Tabla182115[fecha],TablaOtrosPuntos[[#This Row],[fecha]],Tabla182115[punto],AS36)</f>
        <v>0</v>
      </c>
      <c r="AW68" s="7">
        <f xml:space="preserve"> SUMIFS(Tabla1821[43kg],Tabla1821[fecha],TablaOtrosPuntos[[#This Row],[fecha]],Tabla1821[punto],AS36) -  SUMIFS(Tabla182115[43kg],Tabla182115[fecha],TablaOtrosPuntos[[#This Row],[fecha]],Tabla182115[punto],AS36)</f>
        <v>0</v>
      </c>
      <c r="AX68" s="8">
        <f xml:space="preserve"> SUMIFS(Tabla18[pm],Tabla18[fecha],TablaOtrosPuntos[[#This Row],[fecha]],Tabla18[punto],AS36)</f>
        <v>0</v>
      </c>
      <c r="AY68" s="28">
        <f xml:space="preserve"> SUMIFS(Tabla18[efectivo],Tabla18[fecha],TablaOtrosPuntos[[#This Row],[fecha]],Tabla18[punto],AS36)</f>
        <v>0</v>
      </c>
      <c r="AZ68" s="8">
        <f xml:space="preserve"> SUMIFS(Tabla18[divisa],Tabla18[fecha],TablaOtrosPuntos[[#This Row],[fecha]],Tabla18[punto],AS36)</f>
        <v>0</v>
      </c>
      <c r="BA68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8" s="15">
        <f xml:space="preserve"> ((TablaOtrosPuntos[[#This Row],[10kg]]*3.5) + (TablaOtrosPuntos[[#This Row],[18kg]]*7)  + (TablaOtrosPuntos[[#This Row],[27kg]]*11) + (TablaOtrosPuntos[[#This Row],[43kg]]*17)) * DATOS!F2</f>
        <v>0</v>
      </c>
      <c r="BC68" s="33"/>
    </row>
    <row r="69" spans="1:55" x14ac:dyDescent="0.25">
      <c r="A69" s="10" t="s">
        <v>41</v>
      </c>
      <c r="B69" s="7">
        <f xml:space="preserve"> SUMIFS(Tabla1821[10kg],Tabla1821[fecha],TablaSector3[[#This Row],[fecha]],Tabla1821[punto],A36) -  SUMIFS(Tabla182115[10kg],Tabla182115[fecha],TablaSector3[[#This Row],[fecha]],Tabla182115[punto],A36)</f>
        <v>0</v>
      </c>
      <c r="C69" s="7">
        <f xml:space="preserve"> SUMIFS(Tabla1821[18kg],Tabla1821[fecha],TablaSector3[[#This Row],[fecha]],Tabla1821[punto],A36) -  SUMIFS(Tabla182115[18kg],Tabla182115[fecha],TablaSector3[[#This Row],[fecha]],Tabla182115[punto],A36)</f>
        <v>0</v>
      </c>
      <c r="D69" s="7">
        <f xml:space="preserve"> SUMIFS(Tabla1821[27kg],Tabla1821[fecha],TablaSector3[[#This Row],[fecha]],Tabla1821[punto],A37)</f>
        <v>0</v>
      </c>
      <c r="E69" s="7">
        <f xml:space="preserve"> SUMIFS(Tabla1821[43kg],Tabla1821[fecha],TablaSector3[[#This Row],[fecha]],Tabla1821[punto],A37)</f>
        <v>0</v>
      </c>
      <c r="F69" s="8">
        <f xml:space="preserve"> SUMIFS(Tabla18[pm],Tabla18[fecha],TablaSector3[[#This Row],[fecha]],Tabla18[punto],A37)</f>
        <v>0</v>
      </c>
      <c r="G69" s="28">
        <f xml:space="preserve"> SUMIFS(Tabla18[efectivo],Tabla18[fecha],TablaSector3[[#This Row],[fecha]],Tabla18[punto],A36)</f>
        <v>0</v>
      </c>
      <c r="H69" s="8">
        <f xml:space="preserve"> SUMIFS(Tabla18[divisa],Tabla18[fecha],TablaSector3[[#This Row],[fecha]],Tabla18[punto],A36)</f>
        <v>0</v>
      </c>
      <c r="I69" s="8">
        <f>(TablaSector3[[#This Row],[pm]] + TablaSector3[[#This Row],[efectivo]] + (TablaSector3[[#This Row],[divisa]]*DATOS!F2) + (SUMIFS(Tabla1816[pm],Tabla1816[fecha],TablaSector3[[#This Row],[fecha]],Tabla1816[punto],A36)))</f>
        <v>0</v>
      </c>
      <c r="J69" s="31">
        <f xml:space="preserve"> ((TablaSector3[[#This Row],[10kg]]*3.5) + (TablaSector3[[#This Row],[18kg]]*7)  + (TablaSector3[[#This Row],[27kg]]*11) + (TablaSector3[[#This Row],[43kg]]*17)) * DATOS!F2</f>
        <v>0</v>
      </c>
      <c r="L69" s="10" t="s">
        <v>41</v>
      </c>
      <c r="M69" s="7">
        <f xml:space="preserve"> SUMIFS(Tabla1821[10kg],Tabla1821[fecha],TablaSector9[[#This Row],[fecha]],Tabla1821[punto],L36) -  SUMIFS(Tabla182115[10kg],Tabla182115[fecha],TablaSector9[[#This Row],[fecha]],Tabla182115[punto],L36)</f>
        <v>0</v>
      </c>
      <c r="N69" s="7">
        <f xml:space="preserve"> SUMIFS(Tabla1821[18kg],Tabla1821[fecha],TablaSector9[[#This Row],[fecha]],Tabla1821[punto],L36) -  SUMIFS(Tabla182115[18kg],Tabla182115[fecha],TablaSector9[[#This Row],[fecha]],Tabla182115[punto],L36)</f>
        <v>0</v>
      </c>
      <c r="O69" s="7">
        <f xml:space="preserve"> SUMIFS(Tabla1821[27kg],Tabla1821[fecha],TablaSector9[[#This Row],[fecha]],Tabla1821[punto],L37)</f>
        <v>0</v>
      </c>
      <c r="P69" s="7">
        <f xml:space="preserve"> SUMIFS(Tabla1821[43kg],Tabla1821[fecha],TablaSector9[[#This Row],[fecha]],Tabla1821[punto],L37)</f>
        <v>0</v>
      </c>
      <c r="Q69" s="8">
        <f xml:space="preserve"> SUMIFS(Tabla18[pm],Tabla18[fecha],TablaSector9[[#This Row],[fecha]],Tabla18[punto],L37)</f>
        <v>0</v>
      </c>
      <c r="R69" s="28">
        <f xml:space="preserve"> SUMIFS(Tabla18[efectivo],Tabla18[fecha],TablaSector9[[#This Row],[fecha]],Tabla18[punto],L36)</f>
        <v>0</v>
      </c>
      <c r="S69" s="8">
        <f xml:space="preserve"> SUMIFS(Tabla18[divisa],Tabla18[fecha],TablaSector9[[#This Row],[fecha]],Tabla18[punto],L36)</f>
        <v>0</v>
      </c>
      <c r="T69" s="8">
        <f>(TablaSector9[[#This Row],[pm]] + TablaSector9[[#This Row],[efectivo]] + (TablaSector9[[#This Row],[divisa]]*DATOS!F2) + (SUMIFS(Tabla1816[pm],Tabla1816[fecha],TablaSector9[[#This Row],[fecha]],Tabla1816[punto],L36)))</f>
        <v>0</v>
      </c>
      <c r="U69" s="31">
        <f xml:space="preserve"> ((TablaSector9[[#This Row],[10kg]]*3.5) + (TablaSector9[[#This Row],[18kg]]*7)  + (TablaSector9[[#This Row],[27kg]]*11) + (TablaSector9[[#This Row],[43kg]]*17)) * DATOS!F2</f>
        <v>0</v>
      </c>
      <c r="W69" s="10" t="s">
        <v>41</v>
      </c>
      <c r="X69" s="7">
        <f xml:space="preserve"> SUMIFS(Tabla1821[10kg],Tabla1821[fecha],TablaProgreso[[#This Row],[fecha]],Tabla1821[punto],W36) -  SUMIFS(Tabla182115[10kg],Tabla182115[fecha],TablaProgreso[[#This Row],[fecha]],Tabla182115[punto],W36)</f>
        <v>0</v>
      </c>
      <c r="Y69" s="7">
        <f xml:space="preserve"> SUMIFS(Tabla1821[18kg],Tabla1821[fecha],TablaProgreso[[#This Row],[fecha]],Tabla1821[punto],W36) -  SUMIFS(Tabla182115[18kg],Tabla182115[fecha],TablaProgreso[[#This Row],[fecha]],Tabla182115[punto],W36)</f>
        <v>0</v>
      </c>
      <c r="Z69" s="7">
        <f xml:space="preserve"> SUMIFS(Tabla1821[27kg],Tabla1821[fecha],TablaProgreso[[#This Row],[fecha]],Tabla1821[punto],W37)</f>
        <v>0</v>
      </c>
      <c r="AA69" s="7">
        <f xml:space="preserve"> SUMIFS(Tabla1821[43kg],Tabla1821[fecha],TablaProgreso[[#This Row],[fecha]],Tabla1821[punto],W37)</f>
        <v>0</v>
      </c>
      <c r="AB69" s="8">
        <f xml:space="preserve"> SUMIFS(Tabla18[pm],Tabla18[fecha],TablaProgreso[[#This Row],[fecha]],Tabla18[punto],W37)</f>
        <v>0</v>
      </c>
      <c r="AC69" s="28">
        <f xml:space="preserve"> SUMIFS(Tabla18[efectivo],Tabla18[fecha],TablaProgreso[[#This Row],[fecha]],Tabla18[punto],W36)</f>
        <v>0</v>
      </c>
      <c r="AD69" s="8">
        <f xml:space="preserve"> SUMIFS(Tabla18[divisa],Tabla18[fecha],TablaProgreso[[#This Row],[fecha]],Tabla18[punto],W36)</f>
        <v>0</v>
      </c>
      <c r="AE69" s="8">
        <f>(TablaProgreso[[#This Row],[pm]] + TablaProgreso[[#This Row],[efectivo]] + (TablaProgreso[[#This Row],[divisa]]*DATOS!F2) + (SUMIFS(Tabla1816[pm],Tabla1816[fecha],TablaProgreso[[#This Row],[fecha]],Tabla1816[punto],W36)))</f>
        <v>0</v>
      </c>
      <c r="AF69" s="31">
        <f xml:space="preserve"> ((TablaProgreso[[#This Row],[10kg]]*3.5) + (TablaProgreso[[#This Row],[18kg]]*7)  + (TablaProgreso[[#This Row],[27kg]]*11) + (TablaProgreso[[#This Row],[43kg]]*17)) * DATOS!F2</f>
        <v>0</v>
      </c>
      <c r="AH69" s="10" t="s">
        <v>41</v>
      </c>
      <c r="AI69" s="7">
        <f xml:space="preserve"> SUMIFS(Tabla1821[10kg],Tabla1821[fecha],TablaCamion[[#This Row],[fecha]],Tabla1821[punto],AH36) -  SUMIFS(Tabla182115[10kg],Tabla182115[fecha],TablaCamion[[#This Row],[fecha]],Tabla182115[punto],AH36)</f>
        <v>0</v>
      </c>
      <c r="AJ69" s="7">
        <f xml:space="preserve"> SUMIFS(Tabla1821[18kg],Tabla1821[fecha],TablaCamion[[#This Row],[fecha]],Tabla1821[punto],AH36) -  SUMIFS(Tabla182115[18kg],Tabla182115[fecha],TablaCamion[[#This Row],[fecha]],Tabla182115[punto],AH36)</f>
        <v>0</v>
      </c>
      <c r="AK69" s="7">
        <f xml:space="preserve"> SUMIFS(Tabla1821[27kg],Tabla1821[fecha],TablaCamion[[#This Row],[fecha]],Tabla1821[punto],AH37)</f>
        <v>0</v>
      </c>
      <c r="AL69" s="7">
        <f xml:space="preserve"> SUMIFS(Tabla1821[43kg],Tabla1821[fecha],TablaCamion[[#This Row],[fecha]],Tabla1821[punto],AH37)</f>
        <v>0</v>
      </c>
      <c r="AM69" s="8">
        <f xml:space="preserve"> SUMIFS(Tabla18[pm],Tabla18[fecha],TablaCamion[[#This Row],[fecha]],Tabla18[punto],AH37)</f>
        <v>0</v>
      </c>
      <c r="AN69" s="28">
        <f xml:space="preserve"> SUMIFS(Tabla18[efectivo],Tabla18[fecha],TablaCamion[[#This Row],[fecha]],Tabla18[punto],AH36)</f>
        <v>0</v>
      </c>
      <c r="AO69" s="8">
        <f xml:space="preserve"> SUMIFS(Tabla18[divisa],Tabla18[fecha],TablaCamion[[#This Row],[fecha]],Tabla18[punto],AH36)</f>
        <v>0</v>
      </c>
      <c r="AP69" s="8">
        <f>(TablaCamion[[#This Row],[pm]] + TablaCamion[[#This Row],[efectivo]] + (TablaCamion[[#This Row],[divisa]]*DATOS!F2) + (SUMIFS(Tabla1816[pm],Tabla1816[fecha],TablaCamion[[#This Row],[fecha]],Tabla1816[punto],AH36)))</f>
        <v>0</v>
      </c>
      <c r="AQ69" s="31">
        <f xml:space="preserve"> ((TablaCamion[[#This Row],[10kg]]*3.5) + (TablaCamion[[#This Row],[18kg]]*7)  + (TablaCamion[[#This Row],[27kg]]*11) + (TablaCamion[[#This Row],[43kg]]*17)) * DATOS!F2</f>
        <v>0</v>
      </c>
      <c r="AS69" s="10" t="s">
        <v>41</v>
      </c>
      <c r="AT69" s="7">
        <f xml:space="preserve"> SUMIFS(Tabla1821[10kg],Tabla1821[fecha],TablaOtrosPuntos[[#This Row],[fecha]],Tabla1821[punto],AS36) -  SUMIFS(Tabla182115[10kg],Tabla182115[fecha],TablaOtrosPuntos[[#This Row],[fecha]],Tabla182115[punto],AS36)</f>
        <v>0</v>
      </c>
      <c r="AU69" s="7">
        <f xml:space="preserve"> SUMIFS(Tabla1821[18kg],Tabla1821[fecha],TablaOtrosPuntos[[#This Row],[fecha]],Tabla1821[punto],AS36) -  SUMIFS(Tabla182115[18kg],Tabla182115[fecha],TablaOtrosPuntos[[#This Row],[fecha]],Tabla182115[punto],AS36)</f>
        <v>0</v>
      </c>
      <c r="AV69" s="7">
        <f xml:space="preserve"> SUMIFS(Tabla1821[27kg],Tabla1821[fecha],TablaOtrosPuntos[[#This Row],[fecha]],Tabla1821[punto],AS37)</f>
        <v>0</v>
      </c>
      <c r="AW69" s="7">
        <f xml:space="preserve"> SUMIFS(Tabla1821[43kg],Tabla1821[fecha],TablaOtrosPuntos[[#This Row],[fecha]],Tabla1821[punto],AS37)</f>
        <v>0</v>
      </c>
      <c r="AX69" s="8">
        <f xml:space="preserve"> SUMIFS(Tabla18[pm],Tabla18[fecha],TablaOtrosPuntos[[#This Row],[fecha]],Tabla18[punto],AS37)</f>
        <v>0</v>
      </c>
      <c r="AY69" s="28">
        <f xml:space="preserve"> SUMIFS(Tabla18[efectivo],Tabla18[fecha],TablaOtrosPuntos[[#This Row],[fecha]],Tabla18[punto],AS36)</f>
        <v>0</v>
      </c>
      <c r="AZ69" s="8">
        <f xml:space="preserve"> SUMIFS(Tabla18[divisa],Tabla18[fecha],TablaOtrosPuntos[[#This Row],[fecha]],Tabla18[punto],AS36)</f>
        <v>0</v>
      </c>
      <c r="BA69" s="8">
        <f>(TablaOtrosPuntos[[#This Row],[pm]] + TablaOtrosPuntos[[#This Row],[efectivo]] + (TablaOtrosPuntos[[#This Row],[divisa]]*DATOS!F2) + (SUMIFS(Tabla1816[pm],Tabla1816[fecha],TablaOtrosPuntos[[#This Row],[fecha]],Tabla1816[punto],AS36)))</f>
        <v>0</v>
      </c>
      <c r="BB69" s="31">
        <f xml:space="preserve"> ((TablaOtrosPuntos[[#This Row],[10kg]]*3.5) + (TablaOtrosPuntos[[#This Row],[18kg]]*7)  + (TablaOtrosPuntos[[#This Row],[27kg]]*11) + (TablaOtrosPuntos[[#This Row],[43kg]]*17)) * DATOS!F2</f>
        <v>0</v>
      </c>
      <c r="BC69" s="33"/>
    </row>
  </sheetData>
  <mergeCells count="10">
    <mergeCell ref="A36:J36"/>
    <mergeCell ref="L36:U36"/>
    <mergeCell ref="W36:AF36"/>
    <mergeCell ref="AH36:AQ36"/>
    <mergeCell ref="AS36:BB36"/>
    <mergeCell ref="A1:J1"/>
    <mergeCell ref="L1:U1"/>
    <mergeCell ref="W1:AF1"/>
    <mergeCell ref="AH1:AQ1"/>
    <mergeCell ref="AS1:BB1"/>
  </mergeCells>
  <pageMargins left="0.7" right="0.7" top="0.75" bottom="0.75" header="0.3" footer="0.3"/>
  <pageSetup paperSize="0" orientation="portrait" horizontalDpi="203" verticalDpi="20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topLeftCell="I1" workbookViewId="0">
      <selection activeCell="AB26" sqref="AB26"/>
    </sheetView>
  </sheetViews>
  <sheetFormatPr baseColWidth="10" defaultRowHeight="15" x14ac:dyDescent="0.25"/>
  <cols>
    <col min="1" max="1" width="14" customWidth="1"/>
    <col min="3" max="3" width="16.5703125" customWidth="1"/>
    <col min="4" max="4" width="18.140625" customWidth="1"/>
    <col min="6" max="6" width="12.42578125" customWidth="1"/>
    <col min="7" max="7" width="18.140625" customWidth="1"/>
    <col min="9" max="9" width="15.5703125" customWidth="1"/>
    <col min="12" max="12" width="21.7109375" customWidth="1"/>
    <col min="15" max="15" width="5.5703125" customWidth="1"/>
    <col min="16" max="16" width="7.140625" customWidth="1"/>
    <col min="17" max="17" width="13.5703125" customWidth="1"/>
    <col min="18" max="18" width="5.140625" customWidth="1"/>
    <col min="19" max="19" width="8" customWidth="1"/>
    <col min="20" max="20" width="13" customWidth="1"/>
    <col min="21" max="21" width="5.7109375" customWidth="1"/>
    <col min="22" max="22" width="8.5703125" customWidth="1"/>
    <col min="23" max="23" width="9.28515625" customWidth="1"/>
    <col min="24" max="24" width="5.140625" customWidth="1"/>
    <col min="25" max="25" width="8.140625" customWidth="1"/>
    <col min="26" max="26" width="13.5703125" customWidth="1"/>
    <col min="27" max="27" width="12.5703125" bestFit="1" customWidth="1"/>
    <col min="28" max="28" width="14.85546875" customWidth="1"/>
    <col min="29" max="29" width="13.5703125" bestFit="1" customWidth="1"/>
  </cols>
  <sheetData>
    <row r="1" spans="1:29" x14ac:dyDescent="0.25">
      <c r="A1" s="10" t="s">
        <v>9</v>
      </c>
      <c r="B1" s="10" t="s">
        <v>42</v>
      </c>
      <c r="C1" s="19" t="s">
        <v>53</v>
      </c>
      <c r="E1" s="10" t="s">
        <v>55</v>
      </c>
      <c r="F1" s="40" t="s">
        <v>18</v>
      </c>
      <c r="G1" s="42" t="s">
        <v>61</v>
      </c>
      <c r="H1" s="42"/>
      <c r="I1" s="42"/>
      <c r="J1" s="42"/>
      <c r="K1" s="42"/>
      <c r="L1" s="42"/>
      <c r="N1" s="37" t="s">
        <v>67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9" x14ac:dyDescent="0.25">
      <c r="A2" s="10" t="s">
        <v>10</v>
      </c>
      <c r="B2" s="17">
        <v>36.92</v>
      </c>
      <c r="C2" s="10" t="s">
        <v>43</v>
      </c>
      <c r="E2" s="20" t="s">
        <v>56</v>
      </c>
      <c r="F2" s="41">
        <f>VLOOKUP(F1,A2:B33,2,0)</f>
        <v>37.04</v>
      </c>
      <c r="G2" s="10" t="s">
        <v>60</v>
      </c>
      <c r="H2" s="10" t="s">
        <v>1</v>
      </c>
      <c r="I2" s="10" t="s">
        <v>2</v>
      </c>
      <c r="J2" s="10" t="s">
        <v>3</v>
      </c>
      <c r="K2" s="10" t="s">
        <v>45</v>
      </c>
      <c r="L2" s="10" t="s">
        <v>59</v>
      </c>
      <c r="N2" s="10" t="s">
        <v>60</v>
      </c>
      <c r="O2" s="36" t="s">
        <v>1</v>
      </c>
      <c r="P2" s="36" t="s">
        <v>68</v>
      </c>
      <c r="Q2" s="36" t="s">
        <v>72</v>
      </c>
      <c r="R2" s="36" t="s">
        <v>2</v>
      </c>
      <c r="S2" s="36" t="s">
        <v>69</v>
      </c>
      <c r="T2" s="36" t="s">
        <v>73</v>
      </c>
      <c r="U2" s="36" t="s">
        <v>3</v>
      </c>
      <c r="V2" s="36" t="s">
        <v>70</v>
      </c>
      <c r="W2" s="36" t="s">
        <v>74</v>
      </c>
      <c r="X2" s="36" t="s">
        <v>45</v>
      </c>
      <c r="Y2" s="36" t="s">
        <v>71</v>
      </c>
      <c r="Z2" s="36" t="s">
        <v>75</v>
      </c>
      <c r="AA2" s="11" t="s">
        <v>76</v>
      </c>
      <c r="AB2" s="11" t="s">
        <v>59</v>
      </c>
      <c r="AC2" s="52" t="s">
        <v>77</v>
      </c>
    </row>
    <row r="3" spans="1:29" x14ac:dyDescent="0.25">
      <c r="A3" s="10" t="s">
        <v>11</v>
      </c>
      <c r="B3" s="17">
        <v>36.92</v>
      </c>
      <c r="C3" s="10" t="s">
        <v>46</v>
      </c>
      <c r="G3" s="10" t="s">
        <v>43</v>
      </c>
      <c r="H3" s="10">
        <f xml:space="preserve"> SUMIFS(Tabla1821[10kg],Tabla1821[fecha],F1,Tabla1821[punto],DATOS!C2)  -  SUMIFS(Tabla182115[10kg],Tabla182115[fecha],F1,Tabla182115[punto],C2)</f>
        <v>0</v>
      </c>
      <c r="I3" s="10">
        <f xml:space="preserve"> SUMIFS(Tabla1821[18kg],Tabla1821[fecha],F1,Tabla1821[punto],DATOS!C2)-  SUMIFS(Tabla182115[18kg],Tabla182115[fecha],F1,Tabla182115[punto],C2)</f>
        <v>0</v>
      </c>
      <c r="J3" s="10">
        <f xml:space="preserve"> SUMIFS(Tabla1821[27kg],Tabla1821[fecha],F1,Tabla1821[punto],DATOS!C2)-  SUMIFS(Tabla182115[27kg],Tabla182115[fecha],F1,Tabla182115[punto],C2)</f>
        <v>0</v>
      </c>
      <c r="K3" s="10">
        <f xml:space="preserve"> SUMIFS(Tabla1821[43kg],Tabla1821[fecha],F1,Tabla1821[punto],DATOS!C2) -  SUMIFS(Tabla182115[43kg],Tabla182115[fecha],F1,Tabla182115[punto],C2)</f>
        <v>0</v>
      </c>
      <c r="L3" s="10">
        <f>SUM(H3:K3)</f>
        <v>0</v>
      </c>
      <c r="N3" s="10" t="s">
        <v>43</v>
      </c>
      <c r="O3" s="36">
        <f>VLOOKUP(F1,TablaMataSeca[#All],2,0)</f>
        <v>0</v>
      </c>
      <c r="P3" s="36">
        <f xml:space="preserve"> O3 * 3.5</f>
        <v>0</v>
      </c>
      <c r="Q3" s="49">
        <f xml:space="preserve"> O3 * 3.5 * DATOS!F2</f>
        <v>0</v>
      </c>
      <c r="R3" s="36">
        <f>VLOOKUP(F1,TablaMataSeca[#All],3,0)</f>
        <v>0</v>
      </c>
      <c r="S3" s="36">
        <f xml:space="preserve"> R3 * 8</f>
        <v>0</v>
      </c>
      <c r="T3" s="49">
        <f>S3 *F2</f>
        <v>0</v>
      </c>
      <c r="U3" s="36">
        <f>VLOOKUP(F1,TablaMataSeca[#All],4,0)</f>
        <v>0</v>
      </c>
      <c r="V3" s="36">
        <f xml:space="preserve"> U3* 11</f>
        <v>0</v>
      </c>
      <c r="W3" s="49">
        <f xml:space="preserve"> V3 *F2</f>
        <v>0</v>
      </c>
      <c r="X3" s="36">
        <f>VLOOKUP(F1,TablaMataSeca[#All],5,0)</f>
        <v>0</v>
      </c>
      <c r="Y3" s="36">
        <f xml:space="preserve"> X3 * 17</f>
        <v>0</v>
      </c>
      <c r="Z3" s="50">
        <f xml:space="preserve"> Y3 * F2</f>
        <v>0</v>
      </c>
      <c r="AA3" s="51">
        <f>VLOOKUP(F1,TablaMataSeca[#All],9,0)</f>
        <v>0</v>
      </c>
      <c r="AB3" s="51">
        <f xml:space="preserve"> SUM(Q3,T3,W3,Z3)</f>
        <v>0</v>
      </c>
      <c r="AC3" s="51">
        <f xml:space="preserve"> AB3 - AA3</f>
        <v>0</v>
      </c>
    </row>
    <row r="4" spans="1:29" x14ac:dyDescent="0.25">
      <c r="A4" s="10" t="s">
        <v>12</v>
      </c>
      <c r="B4" s="17">
        <v>36.92</v>
      </c>
      <c r="C4" s="10" t="s">
        <v>57</v>
      </c>
      <c r="G4" s="10" t="s">
        <v>46</v>
      </c>
      <c r="H4" s="10">
        <f xml:space="preserve"> SUMIFS(Tabla1821[10kg],Tabla1821[fecha],F1,Tabla1821[punto],DATOS!C3)-  SUMIFS(Tabla182115[10kg],Tabla182115[fecha],F1,Tabla182115[punto],C3)</f>
        <v>0</v>
      </c>
      <c r="I4" s="10">
        <f xml:space="preserve"> SUMIFS(Tabla1821[18kg],Tabla1821[fecha],F1,Tabla1821[punto],DATOS!C3)-  SUMIFS(Tabla182115[18kg],Tabla182115[fecha],F1,Tabla182115[punto],C3)</f>
        <v>0</v>
      </c>
      <c r="J4" s="10">
        <f xml:space="preserve"> SUMIFS(Tabla1821[27kg],Tabla1821[fecha],F1,Tabla1821[punto],DATOS!C2)-  SUMIFS(Tabla182115[27kg],Tabla182115[fecha],F1,Tabla182115[punto],C3)</f>
        <v>0</v>
      </c>
      <c r="K4" s="10">
        <f xml:space="preserve"> SUMIFS(Tabla1821[43kg],Tabla1821[fecha],F1,Tabla1821[punto],DATOS!C3) -  SUMIFS(Tabla182115[43kg],Tabla182115[fecha],F1,Tabla182115[punto],C3)</f>
        <v>0</v>
      </c>
      <c r="L4" s="10">
        <f>SUM(H4:K4)</f>
        <v>0</v>
      </c>
      <c r="N4" s="10" t="s">
        <v>46</v>
      </c>
      <c r="O4" s="36">
        <f>VLOOKUP(F1,TablaCandelaria[#All],2,0)</f>
        <v>0</v>
      </c>
      <c r="P4" s="36">
        <f t="shared" ref="P4:P12" si="0" xml:space="preserve"> O4 * 3.5</f>
        <v>0</v>
      </c>
      <c r="Q4" s="49">
        <f xml:space="preserve"> O4 * 3.5 * DATOS!F2</f>
        <v>0</v>
      </c>
      <c r="R4" s="36">
        <f>VLOOKUP(F1,TablaCandelaria[#All],3,0)</f>
        <v>0</v>
      </c>
      <c r="S4" s="36">
        <f xml:space="preserve"> R4 * 7</f>
        <v>0</v>
      </c>
      <c r="T4" s="49">
        <f>S4 *F2</f>
        <v>0</v>
      </c>
      <c r="U4" s="36">
        <f>VLOOKUP(F1,TablaCandelaria[#All],4,0)</f>
        <v>0</v>
      </c>
      <c r="V4" s="36">
        <f t="shared" ref="V4:V12" si="1" xml:space="preserve"> U4* 11</f>
        <v>0</v>
      </c>
      <c r="W4" s="49">
        <f xml:space="preserve"> V4 *F2</f>
        <v>0</v>
      </c>
      <c r="X4" s="36">
        <f>VLOOKUP(F1,TablaCandelaria[#All],5,0)</f>
        <v>0</v>
      </c>
      <c r="Y4" s="36">
        <f t="shared" ref="Y4:Y12" si="2" xml:space="preserve"> X4 * 17</f>
        <v>0</v>
      </c>
      <c r="Z4" s="50">
        <f xml:space="preserve"> Y4 * F2</f>
        <v>0</v>
      </c>
      <c r="AA4" s="51">
        <f>VLOOKUP(F1,TablaCandelaria[#All],9,0)</f>
        <v>0</v>
      </c>
      <c r="AB4" s="51">
        <f t="shared" ref="AB4:AB12" si="3" xml:space="preserve"> SUM(Q4,T4,W4,Z4)</f>
        <v>0</v>
      </c>
      <c r="AC4" s="51">
        <f t="shared" ref="AC4:AC12" si="4" xml:space="preserve"> AB4 - AA4</f>
        <v>0</v>
      </c>
    </row>
    <row r="5" spans="1:29" x14ac:dyDescent="0.25">
      <c r="A5" s="10" t="s">
        <v>13</v>
      </c>
      <c r="B5" s="17">
        <v>36.979999999999997</v>
      </c>
      <c r="C5" s="10" t="s">
        <v>47</v>
      </c>
      <c r="G5" s="10" t="s">
        <v>57</v>
      </c>
      <c r="H5" s="10">
        <f xml:space="preserve"> SUMIFS(Tabla1821[10kg],Tabla1821[fecha],F1,Tabla1821[punto],DATOS!C4)-  SUMIFS(Tabla182115[10kg],Tabla182115[fecha],F1,Tabla182115[punto],C4)</f>
        <v>49</v>
      </c>
      <c r="I5" s="10">
        <f xml:space="preserve"> SUMIFS(Tabla1821[18kg],Tabla1821[fecha],F1,Tabla1821[punto],DATOS!C4)-  SUMIFS(Tabla182115[18kg],Tabla182115[fecha],F1,Tabla182115[punto],C4)</f>
        <v>10</v>
      </c>
      <c r="J5" s="10">
        <f xml:space="preserve"> SUMIFS(Tabla1821[27kg],Tabla1821[fecha],F1,Tabla1821[punto],DATOS!C2)-  SUMIFS(Tabla182115[27kg],Tabla182115[fecha],F1,Tabla182115[punto],C4)</f>
        <v>0</v>
      </c>
      <c r="K5" s="10">
        <f xml:space="preserve"> SUMIFS(Tabla1821[43kg],Tabla1821[fecha],F1,Tabla1821[punto],DATOS!C4) -  SUMIFS(Tabla182115[43kg],Tabla182115[fecha],F1,Tabla182115[punto],C4)</f>
        <v>3</v>
      </c>
      <c r="L5" s="10">
        <f>SUM(H5:K5)</f>
        <v>62</v>
      </c>
      <c r="N5" s="10" t="s">
        <v>57</v>
      </c>
      <c r="O5" s="36">
        <f>VLOOKUP(F1,TablaProgreso[#All],2,0)</f>
        <v>49</v>
      </c>
      <c r="P5" s="36">
        <f t="shared" si="0"/>
        <v>171.5</v>
      </c>
      <c r="Q5" s="49">
        <f xml:space="preserve"> O5 * 3.5 * DATOS!F2</f>
        <v>6352.36</v>
      </c>
      <c r="R5" s="36">
        <f>VLOOKUP(F1,TablaProgreso[#All],3,0)</f>
        <v>10</v>
      </c>
      <c r="S5" s="36">
        <f t="shared" ref="S5:S12" si="5" xml:space="preserve"> R5 * 7</f>
        <v>70</v>
      </c>
      <c r="T5" s="49">
        <f>S5 *F2</f>
        <v>2592.7999999999997</v>
      </c>
      <c r="U5" s="36">
        <f>VLOOKUP(F1,TablaProgreso[#All],4,0)</f>
        <v>0</v>
      </c>
      <c r="V5" s="36">
        <f t="shared" si="1"/>
        <v>0</v>
      </c>
      <c r="W5" s="49">
        <f xml:space="preserve"> V5 *F2</f>
        <v>0</v>
      </c>
      <c r="X5" s="36">
        <f>VLOOKUP(F1,TablaProgreso[#All],5,0)</f>
        <v>3</v>
      </c>
      <c r="Y5" s="36">
        <f t="shared" si="2"/>
        <v>51</v>
      </c>
      <c r="Z5" s="50">
        <f xml:space="preserve"> Y5 * F2</f>
        <v>1889.04</v>
      </c>
      <c r="AA5" s="51">
        <f>VLOOKUP(F1,TablaProgreso[#All],9,0)</f>
        <v>0</v>
      </c>
      <c r="AB5" s="51">
        <f t="shared" si="3"/>
        <v>10834.2</v>
      </c>
      <c r="AC5" s="51">
        <f t="shared" si="4"/>
        <v>10834.2</v>
      </c>
    </row>
    <row r="6" spans="1:29" x14ac:dyDescent="0.25">
      <c r="A6" s="10" t="s">
        <v>14</v>
      </c>
      <c r="B6" s="17">
        <v>36.99</v>
      </c>
      <c r="C6" s="10" t="s">
        <v>48</v>
      </c>
      <c r="G6" s="10" t="s">
        <v>47</v>
      </c>
      <c r="H6" s="10">
        <f xml:space="preserve"> SUMIFS(Tabla1821[10kg],Tabla1821[fecha],F1,Tabla1821[punto],DATOS!C5)-  SUMIFS(Tabla182115[10kg],Tabla182115[fecha],F1,Tabla182115[punto],C5)</f>
        <v>10</v>
      </c>
      <c r="I6" s="10">
        <f xml:space="preserve"> SUMIFS(Tabla1821[18kg],Tabla1821[fecha],F1,Tabla1821[punto],DATOS!C5)-  SUMIFS(Tabla182115[18kg],Tabla182115[fecha],F1,Tabla182115[punto],C5)</f>
        <v>1</v>
      </c>
      <c r="J6" s="10">
        <f xml:space="preserve"> SUMIFS(Tabla1821[27kg],Tabla1821[fecha],F1,Tabla1821[punto],DATOS!C2)-  SUMIFS(Tabla182115[27kg],Tabla182115[fecha],F1,Tabla182115[punto],C5)</f>
        <v>0</v>
      </c>
      <c r="K6" s="10">
        <f xml:space="preserve"> SUMIFS(Tabla1821[43kg],Tabla1821[fecha],F1,Tabla1821[punto],DATOS!C5) -  SUMIFS(Tabla182115[43kg],Tabla182115[fecha],F1,Tabla182115[punto],C5)</f>
        <v>1</v>
      </c>
      <c r="L6" s="10">
        <f>SUM(H6:K6)</f>
        <v>12</v>
      </c>
      <c r="N6" s="10" t="s">
        <v>47</v>
      </c>
      <c r="O6" s="36">
        <f>VLOOKUP(F1,TablaCoromoto[#All],2,0)</f>
        <v>10</v>
      </c>
      <c r="P6" s="36">
        <f t="shared" si="0"/>
        <v>35</v>
      </c>
      <c r="Q6" s="49">
        <f xml:space="preserve"> O6 * 3.5 * DATOS!F2</f>
        <v>1296.3999999999999</v>
      </c>
      <c r="R6" s="36">
        <f>VLOOKUP(F1,TablaCoromoto[#All],3,0)</f>
        <v>1</v>
      </c>
      <c r="S6" s="36">
        <f t="shared" si="5"/>
        <v>7</v>
      </c>
      <c r="T6" s="49">
        <f>S6 *F2</f>
        <v>259.27999999999997</v>
      </c>
      <c r="U6" s="36">
        <f>VLOOKUP(F1,TablaCoromoto[#All],4,0)</f>
        <v>0</v>
      </c>
      <c r="V6" s="36">
        <f t="shared" si="1"/>
        <v>0</v>
      </c>
      <c r="W6" s="49">
        <f xml:space="preserve"> V6 *F2</f>
        <v>0</v>
      </c>
      <c r="X6" s="36">
        <f>VLOOKUP(F1,TablaCoromoto[#All],5,0)</f>
        <v>1</v>
      </c>
      <c r="Y6" s="36">
        <f t="shared" si="2"/>
        <v>17</v>
      </c>
      <c r="Z6" s="50">
        <f xml:space="preserve"> Y6 * F2</f>
        <v>629.67999999999995</v>
      </c>
      <c r="AA6" s="51">
        <f>VLOOKUP(F1,TablaCoromoto[#All],9,0)</f>
        <v>0</v>
      </c>
      <c r="AB6" s="51">
        <f t="shared" si="3"/>
        <v>2185.3599999999997</v>
      </c>
      <c r="AC6" s="51">
        <f t="shared" si="4"/>
        <v>2185.3599999999997</v>
      </c>
    </row>
    <row r="7" spans="1:29" x14ac:dyDescent="0.25">
      <c r="A7" s="10" t="s">
        <v>15</v>
      </c>
      <c r="B7" s="17">
        <v>36.99</v>
      </c>
      <c r="C7" s="10" t="s">
        <v>49</v>
      </c>
      <c r="G7" s="10" t="s">
        <v>48</v>
      </c>
      <c r="H7" s="10">
        <f xml:space="preserve"> SUMIFS(Tabla1821[10kg],Tabla1821[fecha],F1,Tabla1821[punto],DATOS!C6)  -  SUMIFS(Tabla182115[10kg],Tabla182115[fecha],F1,Tabla182115[punto],C6)</f>
        <v>40</v>
      </c>
      <c r="I7" s="10">
        <f xml:space="preserve"> SUMIFS(Tabla1821[18kg],Tabla1821[fecha],F1,Tabla1821[punto],DATOS!C6)-  SUMIFS(Tabla182115[18kg],Tabla182115[fecha],F1,Tabla182115[punto],C6)</f>
        <v>9</v>
      </c>
      <c r="J7" s="10">
        <f xml:space="preserve"> SUMIFS(Tabla1821[27kg],Tabla1821[fecha],F1,Tabla1821[punto],DATOS!C2)-  SUMIFS(Tabla182115[27kg],Tabla182115[fecha],F1,Tabla182115[punto],C6)</f>
        <v>0</v>
      </c>
      <c r="K7" s="10">
        <f xml:space="preserve"> SUMIFS(Tabla1821[43kg],Tabla1821[fecha],F1,Tabla1821[punto],DATOS!C6) -  SUMIFS(Tabla182115[43kg],Tabla182115[fecha],F1,Tabla182115[punto],C6)</f>
        <v>2</v>
      </c>
      <c r="L7" s="10">
        <f>SUM(H7:K7)</f>
        <v>51</v>
      </c>
      <c r="N7" s="10" t="s">
        <v>48</v>
      </c>
      <c r="O7" s="36">
        <f>VLOOKUP(F1,TablaPinal[#All],2,0)</f>
        <v>40</v>
      </c>
      <c r="P7" s="36">
        <f t="shared" si="0"/>
        <v>140</v>
      </c>
      <c r="Q7" s="49">
        <f xml:space="preserve"> O7 * 3.5 * DATOS!F2</f>
        <v>5185.5999999999995</v>
      </c>
      <c r="R7" s="36">
        <f>VLOOKUP(F1,TablaPinal[#All],3,0)</f>
        <v>9</v>
      </c>
      <c r="S7" s="36">
        <f xml:space="preserve"> R7 * 8</f>
        <v>72</v>
      </c>
      <c r="T7" s="49">
        <f>S7 *F2</f>
        <v>2666.88</v>
      </c>
      <c r="U7" s="36">
        <f>VLOOKUP(F1,TablaPinal[#All],4,0)</f>
        <v>0</v>
      </c>
      <c r="V7" s="36">
        <f t="shared" si="1"/>
        <v>0</v>
      </c>
      <c r="W7" s="49">
        <f xml:space="preserve"> V7 *F2</f>
        <v>0</v>
      </c>
      <c r="X7" s="36">
        <f>VLOOKUP(F1,TablaPinal[#All],5,0)</f>
        <v>2</v>
      </c>
      <c r="Y7" s="36">
        <f t="shared" si="2"/>
        <v>34</v>
      </c>
      <c r="Z7" s="50">
        <f xml:space="preserve"> Y7 * F2</f>
        <v>1259.3599999999999</v>
      </c>
      <c r="AA7" s="51">
        <f>VLOOKUP(F1,TablaPinal[#All],9,0)</f>
        <v>9111</v>
      </c>
      <c r="AB7" s="51">
        <f t="shared" si="3"/>
        <v>9111.84</v>
      </c>
      <c r="AC7" s="51">
        <f t="shared" si="4"/>
        <v>0.84000000000014552</v>
      </c>
    </row>
    <row r="8" spans="1:29" x14ac:dyDescent="0.25">
      <c r="A8" s="10" t="s">
        <v>16</v>
      </c>
      <c r="B8" s="17">
        <v>36.99</v>
      </c>
      <c r="C8" s="10" t="s">
        <v>50</v>
      </c>
      <c r="G8" s="10" t="s">
        <v>49</v>
      </c>
      <c r="H8" s="10">
        <f xml:space="preserve"> SUMIFS(Tabla1821[10kg],Tabla1821[fecha],F1,Tabla1821[punto],DATOS!C7)-  SUMIFS(Tabla182115[10kg],Tabla182115[fecha],F1,Tabla182115[punto],C7)</f>
        <v>1</v>
      </c>
      <c r="I8" s="10">
        <f xml:space="preserve"> SUMIFS(Tabla1821[18kg],Tabla1821[fecha],F1,Tabla1821[punto],DATOS!C7)-  SUMIFS(Tabla182115[18kg],Tabla182115[fecha],F1,Tabla182115[punto],C7)</f>
        <v>0</v>
      </c>
      <c r="J8" s="10">
        <f xml:space="preserve"> SUMIFS(Tabla1821[27kg],Tabla1821[fecha],F1,Tabla1821[punto],DATOS!C2)-  SUMIFS(Tabla182115[27kg],Tabla182115[fecha],F1,Tabla182115[punto],C7)</f>
        <v>0</v>
      </c>
      <c r="K8" s="10">
        <f xml:space="preserve"> SUMIFS(Tabla1821[43kg],Tabla1821[fecha],F1,Tabla1821[punto],DATOS!C7) -  SUMIFS(Tabla182115[43kg],Tabla182115[fecha],F1,Tabla182115[punto],C7)</f>
        <v>1</v>
      </c>
      <c r="L8" s="10">
        <f>SUM(H8:K8)</f>
        <v>2</v>
      </c>
      <c r="N8" s="10" t="s">
        <v>49</v>
      </c>
      <c r="O8" s="36">
        <f>VLOOKUP(F1,TablaCamion[#All],2,0)</f>
        <v>1</v>
      </c>
      <c r="P8" s="36">
        <f t="shared" si="0"/>
        <v>3.5</v>
      </c>
      <c r="Q8" s="49">
        <f xml:space="preserve"> O8 * 3.5 * DATOS!F2</f>
        <v>129.63999999999999</v>
      </c>
      <c r="R8" s="36">
        <f>VLOOKUP(F1,TablaCamion[#All],3,0)</f>
        <v>0</v>
      </c>
      <c r="S8" s="36">
        <f t="shared" si="5"/>
        <v>0</v>
      </c>
      <c r="T8" s="49">
        <f>S8 *F2</f>
        <v>0</v>
      </c>
      <c r="U8" s="36">
        <f>VLOOKUP(F1,TablaCamion[#All],4,0)</f>
        <v>0</v>
      </c>
      <c r="V8" s="36">
        <f t="shared" si="1"/>
        <v>0</v>
      </c>
      <c r="W8" s="49">
        <f xml:space="preserve"> V8 *F2</f>
        <v>0</v>
      </c>
      <c r="X8" s="36">
        <f>VLOOKUP(F1,TablaCamion[#All],5,0)</f>
        <v>1</v>
      </c>
      <c r="Y8" s="36">
        <f t="shared" si="2"/>
        <v>17</v>
      </c>
      <c r="Z8" s="50">
        <f xml:space="preserve"> Y8 * F2</f>
        <v>629.67999999999995</v>
      </c>
      <c r="AA8" s="51">
        <f>VLOOKUP(F1,TablaCamion[#All],9,0)</f>
        <v>0</v>
      </c>
      <c r="AB8" s="51">
        <f t="shared" si="3"/>
        <v>759.31999999999994</v>
      </c>
      <c r="AC8" s="51">
        <f t="shared" si="4"/>
        <v>759.31999999999994</v>
      </c>
    </row>
    <row r="9" spans="1:29" x14ac:dyDescent="0.25">
      <c r="A9" s="10" t="s">
        <v>17</v>
      </c>
      <c r="B9" s="17">
        <v>37.04</v>
      </c>
      <c r="C9" s="10" t="s">
        <v>51</v>
      </c>
      <c r="G9" s="10" t="s">
        <v>50</v>
      </c>
      <c r="H9" s="10">
        <f xml:space="preserve"> SUMIFS(Tabla1821[10kg],Tabla1821[fecha],F1,Tabla1821[punto],DATOS!C8)-  SUMIFS(Tabla182115[10kg],Tabla182115[fecha],F1,Tabla182115[punto],C8)</f>
        <v>0</v>
      </c>
      <c r="I9" s="10">
        <f xml:space="preserve"> SUMIFS(Tabla1821[18kg],Tabla1821[fecha],F1,Tabla1821[punto],DATOS!C8)-  SUMIFS(Tabla182115[18kg],Tabla182115[fecha],F1,Tabla182115[punto],C8)</f>
        <v>0</v>
      </c>
      <c r="J9" s="10">
        <f xml:space="preserve"> SUMIFS(Tabla1821[27kg],Tabla1821[fecha],F1,Tabla1821[punto],DATOS!C2)-  SUMIFS(Tabla182115[27kg],Tabla182115[fecha],F1,Tabla182115[punto],C8)</f>
        <v>0</v>
      </c>
      <c r="K9" s="10">
        <f xml:space="preserve"> SUMIFS(Tabla1821[43kg],Tabla1821[fecha],F1,Tabla1821[punto],DATOS!C8) -  SUMIFS(Tabla182115[43kg],Tabla182115[fecha],F1,Tabla182115[punto],C8)</f>
        <v>0</v>
      </c>
      <c r="L9" s="10">
        <f>SUM(H9:K9)</f>
        <v>0</v>
      </c>
      <c r="N9" s="10" t="s">
        <v>50</v>
      </c>
      <c r="O9" s="36">
        <f>VLOOKUP(F1,TablaBarrioBolivar[#All],2,0)</f>
        <v>0</v>
      </c>
      <c r="P9" s="36">
        <f t="shared" si="0"/>
        <v>0</v>
      </c>
      <c r="Q9" s="49">
        <f xml:space="preserve"> O9 * 3.5 * DATOS!F2</f>
        <v>0</v>
      </c>
      <c r="R9" s="36">
        <f>VLOOKUP(F1,TablaBarrioBolivar[#All],3,0)</f>
        <v>0</v>
      </c>
      <c r="S9" s="36">
        <f t="shared" si="5"/>
        <v>0</v>
      </c>
      <c r="T9" s="49">
        <f>S9 *F2</f>
        <v>0</v>
      </c>
      <c r="U9" s="36">
        <f>VLOOKUP(F1,TablaBarrioBolivar[#All],4,0)</f>
        <v>0</v>
      </c>
      <c r="V9" s="36">
        <f t="shared" si="1"/>
        <v>0</v>
      </c>
      <c r="W9" s="49">
        <f xml:space="preserve"> V9 *F2</f>
        <v>0</v>
      </c>
      <c r="X9" s="36">
        <f>VLOOKUP(F1,TablaBarrioBolivar[#All],5,0)</f>
        <v>0</v>
      </c>
      <c r="Y9" s="36">
        <f t="shared" si="2"/>
        <v>0</v>
      </c>
      <c r="Z9" s="50">
        <f xml:space="preserve"> Y9 * F2</f>
        <v>0</v>
      </c>
      <c r="AA9" s="51">
        <f>VLOOKUP(F1,TablaBarrioBolivar[#All],9,0)</f>
        <v>0</v>
      </c>
      <c r="AB9" s="51">
        <f t="shared" si="3"/>
        <v>0</v>
      </c>
      <c r="AC9" s="51">
        <f t="shared" si="4"/>
        <v>0</v>
      </c>
    </row>
    <row r="10" spans="1:29" x14ac:dyDescent="0.25">
      <c r="A10" s="10" t="s">
        <v>18</v>
      </c>
      <c r="B10" s="17">
        <v>37.04</v>
      </c>
      <c r="C10" s="10" t="s">
        <v>52</v>
      </c>
      <c r="G10" s="10" t="s">
        <v>51</v>
      </c>
      <c r="H10" s="10">
        <f xml:space="preserve"> SUMIFS(Tabla1821[10kg],Tabla1821[fecha],F1,Tabla1821[punto],DATOS!C9)-  SUMIFS(Tabla182115[10kg],Tabla182115[fecha],F1,Tabla182115[punto],C9)</f>
        <v>9</v>
      </c>
      <c r="I10" s="10">
        <f xml:space="preserve"> SUMIFS(Tabla1821[18kg],Tabla1821[fecha],F1,Tabla1821[punto],DATOS!C9)-  SUMIFS(Tabla182115[18kg],Tabla182115[fecha],F1,Tabla182115[punto],C9)</f>
        <v>1</v>
      </c>
      <c r="J10" s="10">
        <f xml:space="preserve"> SUMIFS(Tabla1821[27kg],Tabla1821[fecha],F1,Tabla1821[punto],DATOS!C2)-  SUMIFS(Tabla182115[27kg],Tabla182115[fecha],F1,Tabla182115[punto],C9)</f>
        <v>0</v>
      </c>
      <c r="K10" s="10">
        <f xml:space="preserve"> SUMIFS(Tabla1821[43kg],Tabla1821[fecha],F1,Tabla1821[punto],DATOS!C9) -  SUMIFS(Tabla182115[43kg],Tabla182115[fecha],F1,Tabla182115[punto],C9)</f>
        <v>0</v>
      </c>
      <c r="L10" s="10">
        <f>SUM(H10:K10)</f>
        <v>10</v>
      </c>
      <c r="N10" s="10" t="s">
        <v>51</v>
      </c>
      <c r="O10" s="36">
        <f>VLOOKUP(F1,TablaSector3[#All],2,0)</f>
        <v>9</v>
      </c>
      <c r="P10" s="36">
        <f t="shared" si="0"/>
        <v>31.5</v>
      </c>
      <c r="Q10" s="49">
        <f xml:space="preserve"> O10 * 3.5 * DATOS!F2</f>
        <v>1166.76</v>
      </c>
      <c r="R10" s="36">
        <f>VLOOKUP(F1,TablaSector3[#All],3,0)</f>
        <v>1</v>
      </c>
      <c r="S10" s="36">
        <f t="shared" si="5"/>
        <v>7</v>
      </c>
      <c r="T10" s="49">
        <f>S10 *F2</f>
        <v>259.27999999999997</v>
      </c>
      <c r="U10" s="36">
        <f>VLOOKUP(F1,TablaSector3[#All],4,0)</f>
        <v>0</v>
      </c>
      <c r="V10" s="36">
        <f t="shared" si="1"/>
        <v>0</v>
      </c>
      <c r="W10" s="49">
        <f xml:space="preserve"> V10 *F2</f>
        <v>0</v>
      </c>
      <c r="X10" s="36">
        <f>VLOOKUP(F1,TablaSector3[#All],5,0)</f>
        <v>0</v>
      </c>
      <c r="Y10" s="36">
        <f t="shared" si="2"/>
        <v>0</v>
      </c>
      <c r="Z10" s="50">
        <f xml:space="preserve"> Y10 * F2</f>
        <v>0</v>
      </c>
      <c r="AA10" s="51">
        <f>VLOOKUP(F1,TablaSector3[#All],9,0)</f>
        <v>0</v>
      </c>
      <c r="AB10" s="51">
        <f t="shared" si="3"/>
        <v>1426.04</v>
      </c>
      <c r="AC10" s="51">
        <f t="shared" si="4"/>
        <v>1426.04</v>
      </c>
    </row>
    <row r="11" spans="1:29" x14ac:dyDescent="0.25">
      <c r="A11" s="10" t="s">
        <v>19</v>
      </c>
      <c r="B11" s="17">
        <v>36.99</v>
      </c>
      <c r="C11" s="10" t="s">
        <v>58</v>
      </c>
      <c r="G11" s="10" t="s">
        <v>52</v>
      </c>
      <c r="H11" s="10">
        <f xml:space="preserve"> SUMIFS(Tabla1821[10kg],Tabla1821[fecha],F1,Tabla1821[punto],DATOS!C10)-  SUMIFS(Tabla182115[10kg],Tabla182115[fecha],F1,Tabla182115[punto],C10)</f>
        <v>0</v>
      </c>
      <c r="I11" s="10">
        <f xml:space="preserve"> SUMIFS(Tabla1821[18kg],Tabla1821[fecha],F1,Tabla1821[punto],DATOS!C10)-  SUMIFS(Tabla182115[18kg],Tabla182115[fecha],F1,Tabla182115[punto],C10)</f>
        <v>0</v>
      </c>
      <c r="J11" s="10">
        <f xml:space="preserve"> SUMIFS(Tabla1821[27kg],Tabla1821[fecha],F1,Tabla1821[punto],DATOS!C2)-  SUMIFS(Tabla182115[27kg],Tabla182115[fecha],F1,Tabla182115[punto],C10)</f>
        <v>0</v>
      </c>
      <c r="K11" s="10">
        <f xml:space="preserve"> SUMIFS(Tabla1821[43kg],Tabla1821[fecha],F1,Tabla1821[punto],DATOS!C10) -  SUMIFS(Tabla182115[43kg],Tabla182115[fecha],F1,Tabla182115[punto],C10)</f>
        <v>0</v>
      </c>
      <c r="L11" s="10">
        <f>SUM(H11:K11)</f>
        <v>0</v>
      </c>
      <c r="N11" s="10" t="s">
        <v>52</v>
      </c>
      <c r="O11" s="36">
        <f>VLOOKUP(F1,TablaSector9[#All],2,0)</f>
        <v>0</v>
      </c>
      <c r="P11" s="36">
        <f t="shared" si="0"/>
        <v>0</v>
      </c>
      <c r="Q11" s="49">
        <f xml:space="preserve"> O11 * 3.5 * DATOS!F2</f>
        <v>0</v>
      </c>
      <c r="R11" s="36">
        <f>VLOOKUP(F1,TablaSector9[#All],3,0)</f>
        <v>0</v>
      </c>
      <c r="S11" s="36">
        <f t="shared" si="5"/>
        <v>0</v>
      </c>
      <c r="T11" s="49">
        <f>S11 *F2</f>
        <v>0</v>
      </c>
      <c r="U11" s="36">
        <f>VLOOKUP(F1,TablaSector9[#All],4,0)</f>
        <v>0</v>
      </c>
      <c r="V11" s="36">
        <f t="shared" si="1"/>
        <v>0</v>
      </c>
      <c r="W11" s="49">
        <f xml:space="preserve"> V11 *F2</f>
        <v>0</v>
      </c>
      <c r="X11" s="36">
        <f>VLOOKUP(F1,TablaSector9[#All],5,0)</f>
        <v>0</v>
      </c>
      <c r="Y11" s="36">
        <f t="shared" si="2"/>
        <v>0</v>
      </c>
      <c r="Z11" s="50">
        <f xml:space="preserve"> Y11 * F2</f>
        <v>0</v>
      </c>
      <c r="AA11" s="51">
        <f>VLOOKUP(F1,TablaSector9[#All],9,0)</f>
        <v>0</v>
      </c>
      <c r="AB11" s="51">
        <f t="shared" si="3"/>
        <v>0</v>
      </c>
      <c r="AC11" s="51">
        <f t="shared" si="4"/>
        <v>0</v>
      </c>
    </row>
    <row r="12" spans="1:29" x14ac:dyDescent="0.25">
      <c r="A12" s="10" t="s">
        <v>20</v>
      </c>
      <c r="B12" s="17">
        <v>36.99</v>
      </c>
      <c r="G12" s="10" t="s">
        <v>58</v>
      </c>
      <c r="H12" s="10">
        <f xml:space="preserve"> SUMIFS(Tabla1821[10kg],Tabla1821[fecha],F1,Tabla1821[punto],DATOS!C11)-  SUMIFS(Tabla182115[10kg],Tabla182115[fecha],F1,Tabla182115[punto],C11)</f>
        <v>0</v>
      </c>
      <c r="I12" s="10">
        <f>-  SUMIFS(Tabla182115[18kg],Tabla182115[fecha],F1,Tabla182115[punto],C2)-  SUMIFS(Tabla182115[18kg],Tabla182115[fecha],F1,Tabla182115[punto],C11)</f>
        <v>0</v>
      </c>
      <c r="J12" s="10">
        <f xml:space="preserve"> SUMIFS(Tabla1821[27kg],Tabla1821[fecha],F1,Tabla1821[punto],DATOS!C2)-  SUMIFS(Tabla182115[27kg],Tabla182115[fecha],F1,Tabla182115[punto],C11)</f>
        <v>0</v>
      </c>
      <c r="K12" s="10">
        <f xml:space="preserve"> SUMIFS(Tabla1821[43kg],Tabla1821[fecha],F10,Tabla1821[punto],DATOS!C11) -  SUMIFS(Tabla182115[43kg],Tabla182115[fecha],F1,Tabla182115[punto],C11)</f>
        <v>0</v>
      </c>
      <c r="L12" s="10">
        <f>SUM(H12:K12)</f>
        <v>0</v>
      </c>
      <c r="N12" s="10" t="s">
        <v>58</v>
      </c>
      <c r="O12" s="36">
        <f>VLOOKUP(F1,TablaOtrosPuntos[#All],2,0)</f>
        <v>0</v>
      </c>
      <c r="P12" s="36">
        <f t="shared" si="0"/>
        <v>0</v>
      </c>
      <c r="Q12" s="49">
        <f xml:space="preserve"> O12 * 3.5 * DATOS!F2</f>
        <v>0</v>
      </c>
      <c r="R12" s="36">
        <f>VLOOKUP(F1,TablaOtrosPuntos[#All],3,0)</f>
        <v>0</v>
      </c>
      <c r="S12" s="36">
        <f t="shared" si="5"/>
        <v>0</v>
      </c>
      <c r="T12" s="49">
        <f>S12 *F2</f>
        <v>0</v>
      </c>
      <c r="U12" s="36">
        <f>VLOOKUP(F1,TablaOtrosPuntos[#All],4,0)</f>
        <v>0</v>
      </c>
      <c r="V12" s="36">
        <f t="shared" si="1"/>
        <v>0</v>
      </c>
      <c r="W12" s="49">
        <f xml:space="preserve"> V12 *F2</f>
        <v>0</v>
      </c>
      <c r="X12" s="36">
        <f>VLOOKUP(F1,TablaOtrosPuntos[#All],5,0)</f>
        <v>0</v>
      </c>
      <c r="Y12" s="36">
        <f t="shared" si="2"/>
        <v>0</v>
      </c>
      <c r="Z12" s="50">
        <f xml:space="preserve"> Y12 * F2</f>
        <v>0</v>
      </c>
      <c r="AA12" s="51">
        <f>VLOOKUP(F1,TablaOtrosPuntos[#All],9,0)</f>
        <v>0</v>
      </c>
      <c r="AB12" s="51">
        <f t="shared" si="3"/>
        <v>0</v>
      </c>
      <c r="AC12" s="51">
        <f t="shared" si="4"/>
        <v>0</v>
      </c>
    </row>
    <row r="13" spans="1:29" x14ac:dyDescent="0.25">
      <c r="A13" s="10" t="s">
        <v>21</v>
      </c>
      <c r="B13" s="17">
        <v>36.99</v>
      </c>
      <c r="G13" s="10" t="s">
        <v>59</v>
      </c>
      <c r="H13" s="10">
        <f>SUM(registroYcensoDelDia[10kg])</f>
        <v>109</v>
      </c>
      <c r="I13" s="10">
        <f>SUM(registroYcensoDelDia[18kg])</f>
        <v>21</v>
      </c>
      <c r="J13" s="10">
        <f>SUM(registroYcensoDelDia[27kg])</f>
        <v>0</v>
      </c>
      <c r="K13" s="10">
        <f>SUM(registroYcensoDelDia[43kg])</f>
        <v>7</v>
      </c>
      <c r="L13" s="10">
        <f>SUM(L3:L12)</f>
        <v>137</v>
      </c>
    </row>
    <row r="14" spans="1:29" ht="18.75" x14ac:dyDescent="0.25">
      <c r="A14" s="10" t="s">
        <v>22</v>
      </c>
      <c r="B14" s="17">
        <v>36.99</v>
      </c>
      <c r="G14" s="10" t="s">
        <v>66</v>
      </c>
      <c r="H14" s="10">
        <f xml:space="preserve"> (H13 * 2.5) * F2</f>
        <v>10093.4</v>
      </c>
      <c r="I14" s="10">
        <f xml:space="preserve"> (I13 * 5) * F2</f>
        <v>3889.2</v>
      </c>
      <c r="J14" s="10">
        <f xml:space="preserve"> (J13 * 9) * F2</f>
        <v>0</v>
      </c>
      <c r="K14" s="10">
        <f xml:space="preserve"> (K13 * 12) * F2</f>
        <v>3111.36</v>
      </c>
      <c r="L14" s="43">
        <f xml:space="preserve"> SUM(H14:K14)</f>
        <v>17093.96</v>
      </c>
    </row>
    <row r="15" spans="1:29" x14ac:dyDescent="0.25">
      <c r="A15" s="10" t="s">
        <v>23</v>
      </c>
      <c r="B15" s="17">
        <v>36.99</v>
      </c>
      <c r="G15" s="36"/>
      <c r="H15" s="36"/>
      <c r="I15" s="36"/>
      <c r="J15" s="44"/>
      <c r="K15" s="44"/>
    </row>
    <row r="16" spans="1:29" x14ac:dyDescent="0.25">
      <c r="A16" s="10" t="s">
        <v>24</v>
      </c>
      <c r="B16" s="17">
        <v>36.99</v>
      </c>
    </row>
    <row r="17" spans="1:7" x14ac:dyDescent="0.25">
      <c r="A17" s="10" t="s">
        <v>25</v>
      </c>
      <c r="B17" s="17">
        <v>36.99</v>
      </c>
    </row>
    <row r="18" spans="1:7" x14ac:dyDescent="0.25">
      <c r="A18" s="10" t="s">
        <v>26</v>
      </c>
      <c r="B18" s="17">
        <v>36.99</v>
      </c>
    </row>
    <row r="19" spans="1:7" x14ac:dyDescent="0.25">
      <c r="A19" s="10" t="s">
        <v>27</v>
      </c>
      <c r="B19" s="17">
        <v>36.99</v>
      </c>
    </row>
    <row r="20" spans="1:7" x14ac:dyDescent="0.25">
      <c r="A20" s="10" t="s">
        <v>28</v>
      </c>
      <c r="B20" s="17">
        <v>36.99</v>
      </c>
    </row>
    <row r="21" spans="1:7" x14ac:dyDescent="0.25">
      <c r="A21" s="10" t="s">
        <v>29</v>
      </c>
      <c r="B21" s="17">
        <v>36.99</v>
      </c>
    </row>
    <row r="22" spans="1:7" x14ac:dyDescent="0.25">
      <c r="A22" s="10" t="s">
        <v>30</v>
      </c>
      <c r="B22" s="17">
        <v>36.99</v>
      </c>
    </row>
    <row r="23" spans="1:7" x14ac:dyDescent="0.25">
      <c r="A23" s="10" t="s">
        <v>31</v>
      </c>
      <c r="B23" s="17">
        <v>36.99</v>
      </c>
    </row>
    <row r="24" spans="1:7" x14ac:dyDescent="0.25">
      <c r="A24" s="10" t="s">
        <v>32</v>
      </c>
      <c r="B24" s="17">
        <v>36.99</v>
      </c>
    </row>
    <row r="25" spans="1:7" x14ac:dyDescent="0.25">
      <c r="A25" s="10" t="s">
        <v>33</v>
      </c>
      <c r="B25" s="17">
        <v>36.99</v>
      </c>
    </row>
    <row r="26" spans="1:7" x14ac:dyDescent="0.25">
      <c r="A26" s="10" t="s">
        <v>34</v>
      </c>
      <c r="B26" s="17">
        <v>36.99</v>
      </c>
    </row>
    <row r="27" spans="1:7" x14ac:dyDescent="0.25">
      <c r="A27" s="10" t="s">
        <v>35</v>
      </c>
      <c r="B27" s="17">
        <v>36.99</v>
      </c>
    </row>
    <row r="28" spans="1:7" x14ac:dyDescent="0.25">
      <c r="A28" s="10" t="s">
        <v>36</v>
      </c>
      <c r="B28" s="17">
        <v>36.99</v>
      </c>
      <c r="G28" s="44"/>
    </row>
    <row r="29" spans="1:7" x14ac:dyDescent="0.25">
      <c r="A29" s="10" t="s">
        <v>37</v>
      </c>
      <c r="B29" s="17">
        <v>36.99</v>
      </c>
      <c r="G29" s="44"/>
    </row>
    <row r="30" spans="1:7" x14ac:dyDescent="0.25">
      <c r="A30" s="10" t="s">
        <v>38</v>
      </c>
      <c r="B30" s="17">
        <v>36.99</v>
      </c>
    </row>
    <row r="31" spans="1:7" x14ac:dyDescent="0.25">
      <c r="A31" s="10" t="s">
        <v>39</v>
      </c>
      <c r="B31" s="17">
        <v>36.99</v>
      </c>
    </row>
    <row r="32" spans="1:7" x14ac:dyDescent="0.25">
      <c r="A32" s="10" t="s">
        <v>40</v>
      </c>
      <c r="B32" s="17">
        <v>36.99</v>
      </c>
    </row>
    <row r="33" spans="1:2" x14ac:dyDescent="0.25">
      <c r="A33" s="10" t="s">
        <v>41</v>
      </c>
      <c r="B33" s="17">
        <v>36.99</v>
      </c>
    </row>
  </sheetData>
  <mergeCells count="2">
    <mergeCell ref="G1:L1"/>
    <mergeCell ref="N1:AB1"/>
  </mergeCells>
  <phoneticPr fontId="8" type="noConversion"/>
  <dataValidations count="1">
    <dataValidation type="list" allowBlank="1" showInputMessage="1" showErrorMessage="1" sqref="F1">
      <formula1>$A$2:$A$33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CENSOS</vt:lpstr>
      <vt:lpstr>PAGOS</vt:lpstr>
      <vt:lpstr>PUNTOS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Soporte Tecnico</cp:lastModifiedBy>
  <dcterms:created xsi:type="dcterms:W3CDTF">2015-06-05T18:19:34Z</dcterms:created>
  <dcterms:modified xsi:type="dcterms:W3CDTF">2024-10-08T19:20:33Z</dcterms:modified>
</cp:coreProperties>
</file>