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oakley/Documents/phd/sparse_dnn/ICDE 2024/Revision/"/>
    </mc:Choice>
  </mc:AlternateContent>
  <xr:revisionPtr revIDLastSave="0" documentId="13_ncr:1_{61EE832B-3748-6D4F-935F-FF7DBD7ED410}" xr6:coauthVersionLast="47" xr6:coauthVersionMax="47" xr10:uidLastSave="{00000000-0000-0000-0000-000000000000}"/>
  <bookViews>
    <workbookView xWindow="0" yWindow="500" windowWidth="51200" windowHeight="28300" activeTab="2" xr2:uid="{E1D04850-BDE0-D744-A569-64B28D60A1BB}"/>
  </bookViews>
  <sheets>
    <sheet name="Expt Plan Pub-Sub MQ" sheetId="1" r:id="rId1"/>
    <sheet name="Metric Reports Pub-Sub MQ" sheetId="11" r:id="rId2"/>
    <sheet name="Expt Plan Object Storage" sheetId="12" r:id="rId3"/>
    <sheet name="Metric Reports Object Storage" sheetId="13" r:id="rId4"/>
  </sheets>
  <definedNames>
    <definedName name="_13Jul22_FinalCode_MetricTest_60000maxnnz_65536n_42w_60000d_60000bs_comp3" localSheetId="3">'Metric Reports Object Storage'!#REF!</definedName>
    <definedName name="_13Jul22_FinalCode_MetricTest_60000maxnnz_65536n_42w_60000d_60000bs_comp3" localSheetId="1">'Metric Reports Pub-Sub MQ'!#REF!</definedName>
    <definedName name="_13Jul22_FinalCode_NoCoordMetrics_R3_60000maxnnz_65536n_42w_60000d_60000bs_comp3" localSheetId="3">'Metric Reports Object Storage'!#REF!</definedName>
    <definedName name="_13Jul22_FinalCode_NoCoordMetrics_R3_60000maxnnz_65536n_42w_60000d_60000bs_comp3" localSheetId="1">'Metric Reports Pub-Sub MQ'!#REF!</definedName>
    <definedName name="_13Jul22_FinalCode_NoCoordMetrics_R4_60000maxnnz_65536n_42w_60000d_60000bs_comp3" localSheetId="3">'Metric Reports Object Storage'!#REF!</definedName>
    <definedName name="_13Jul22_FinalCode_NoCoordMetrics_R4_60000maxnnz_65536n_42w_60000d_60000bs_comp3" localSheetId="1">'Metric Reports Pub-Sub MQ'!#REF!</definedName>
    <definedName name="_20Jul22_NewOverflow_Run1_Import" localSheetId="3">'Metric Reports Object Storage'!#REF!</definedName>
    <definedName name="_20Jul22_NewOverflow_Run1_Import" localSheetId="1">'Metric Reports Pub-Sub MQ'!#REF!</definedName>
    <definedName name="_21Jul22_16384n_42w_60k_MT_2000MB_deleting_all" localSheetId="3">'Metric Reports Object Storage'!#REF!</definedName>
    <definedName name="_21Jul22_16384n_42w_60k_MT_2000MB_deleting_all" localSheetId="1">'Metric Reports Pub-Sub MQ'!#REF!</definedName>
    <definedName name="master_metrics_c1_1024n_4w_10000bs_2" localSheetId="3">'Metric Reports Object Storage'!$A$1:$U$2</definedName>
    <definedName name="master_metrics_c1_1024n_4w_10000bs_SQS" localSheetId="1">'Metric Reports Pub-Sub MQ'!$A$1:$W$2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N40" i="12"/>
  <c r="N32" i="12"/>
  <c r="N24" i="12"/>
  <c r="Z33" i="12"/>
  <c r="Y33" i="12"/>
  <c r="X33" i="12"/>
  <c r="N33" i="12" s="1"/>
  <c r="W33" i="12"/>
  <c r="V33" i="12"/>
  <c r="U33" i="12"/>
  <c r="T33" i="12"/>
  <c r="S33" i="12"/>
  <c r="R33" i="12"/>
  <c r="Q33" i="12"/>
  <c r="P33" i="12"/>
  <c r="G33" i="12"/>
  <c r="H33" i="12" s="1"/>
  <c r="I33" i="12" s="1"/>
  <c r="Z39" i="1"/>
  <c r="N39" i="1" s="1"/>
  <c r="Y39" i="1"/>
  <c r="X39" i="1"/>
  <c r="W39" i="1"/>
  <c r="V39" i="1"/>
  <c r="U39" i="1"/>
  <c r="T39" i="1"/>
  <c r="S39" i="1"/>
  <c r="R39" i="1"/>
  <c r="Q39" i="1"/>
  <c r="G39" i="1"/>
  <c r="H39" i="1" s="1"/>
  <c r="I39" i="1" s="1"/>
  <c r="Z38" i="1"/>
  <c r="N38" i="1" s="1"/>
  <c r="Y38" i="1"/>
  <c r="X38" i="1"/>
  <c r="W38" i="1"/>
  <c r="V38" i="1"/>
  <c r="U38" i="1"/>
  <c r="T38" i="1"/>
  <c r="S38" i="1"/>
  <c r="R38" i="1"/>
  <c r="Q38" i="1"/>
  <c r="G38" i="1"/>
  <c r="H38" i="1" s="1"/>
  <c r="I38" i="1" s="1"/>
  <c r="Z37" i="1"/>
  <c r="N37" i="1" s="1"/>
  <c r="Y37" i="1"/>
  <c r="X37" i="1"/>
  <c r="W37" i="1"/>
  <c r="V37" i="1"/>
  <c r="U37" i="1"/>
  <c r="T37" i="1"/>
  <c r="S37" i="1"/>
  <c r="R37" i="1"/>
  <c r="Q37" i="1"/>
  <c r="G37" i="1"/>
  <c r="H37" i="1" s="1"/>
  <c r="I37" i="1" s="1"/>
  <c r="Z36" i="1"/>
  <c r="N36" i="1" s="1"/>
  <c r="Y36" i="1"/>
  <c r="X36" i="1"/>
  <c r="W36" i="1"/>
  <c r="V36" i="1"/>
  <c r="U36" i="1"/>
  <c r="T36" i="1"/>
  <c r="S36" i="1"/>
  <c r="R36" i="1"/>
  <c r="Q36" i="1"/>
  <c r="G36" i="1"/>
  <c r="H36" i="1" s="1"/>
  <c r="I36" i="1" s="1"/>
  <c r="Z32" i="1"/>
  <c r="N32" i="1" s="1"/>
  <c r="Y32" i="1"/>
  <c r="X32" i="1"/>
  <c r="W32" i="1"/>
  <c r="V32" i="1"/>
  <c r="U32" i="1"/>
  <c r="T32" i="1"/>
  <c r="S32" i="1"/>
  <c r="R32" i="1"/>
  <c r="Q32" i="1"/>
  <c r="G32" i="1"/>
  <c r="H32" i="1" s="1"/>
  <c r="I32" i="1" s="1"/>
  <c r="Z31" i="1"/>
  <c r="N31" i="1" s="1"/>
  <c r="Y31" i="1"/>
  <c r="X31" i="1"/>
  <c r="W31" i="1"/>
  <c r="V31" i="1"/>
  <c r="U31" i="1"/>
  <c r="T31" i="1"/>
  <c r="S31" i="1"/>
  <c r="R31" i="1"/>
  <c r="Q31" i="1"/>
  <c r="G31" i="1"/>
  <c r="Z30" i="1"/>
  <c r="N30" i="1" s="1"/>
  <c r="Y30" i="1"/>
  <c r="X30" i="1"/>
  <c r="W30" i="1"/>
  <c r="V30" i="1"/>
  <c r="U30" i="1"/>
  <c r="T30" i="1"/>
  <c r="S30" i="1"/>
  <c r="R30" i="1"/>
  <c r="Q30" i="1"/>
  <c r="G30" i="1"/>
  <c r="H30" i="1" s="1"/>
  <c r="I30" i="1" s="1"/>
  <c r="Z29" i="1"/>
  <c r="N29" i="1" s="1"/>
  <c r="Y29" i="1"/>
  <c r="X29" i="1"/>
  <c r="W29" i="1"/>
  <c r="V29" i="1"/>
  <c r="U29" i="1"/>
  <c r="T29" i="1"/>
  <c r="S29" i="1"/>
  <c r="R29" i="1"/>
  <c r="Q29" i="1"/>
  <c r="G29" i="1"/>
  <c r="H29" i="1" s="1"/>
  <c r="I29" i="1" s="1"/>
  <c r="Z25" i="1"/>
  <c r="N25" i="1" s="1"/>
  <c r="Y25" i="1"/>
  <c r="X25" i="1"/>
  <c r="W25" i="1"/>
  <c r="V25" i="1"/>
  <c r="U25" i="1"/>
  <c r="T25" i="1"/>
  <c r="S25" i="1"/>
  <c r="R25" i="1"/>
  <c r="Q25" i="1"/>
  <c r="G25" i="1"/>
  <c r="H25" i="1" s="1"/>
  <c r="I25" i="1" s="1"/>
  <c r="Z24" i="1"/>
  <c r="N24" i="1" s="1"/>
  <c r="Y24" i="1"/>
  <c r="X24" i="1"/>
  <c r="W24" i="1"/>
  <c r="V24" i="1"/>
  <c r="U24" i="1"/>
  <c r="T24" i="1"/>
  <c r="S24" i="1"/>
  <c r="R24" i="1"/>
  <c r="Q24" i="1"/>
  <c r="G24" i="1"/>
  <c r="H24" i="1" s="1"/>
  <c r="I24" i="1" s="1"/>
  <c r="Z23" i="1"/>
  <c r="N23" i="1" s="1"/>
  <c r="Y23" i="1"/>
  <c r="X23" i="1"/>
  <c r="W23" i="1"/>
  <c r="V23" i="1"/>
  <c r="U23" i="1"/>
  <c r="T23" i="1"/>
  <c r="S23" i="1"/>
  <c r="R23" i="1"/>
  <c r="Q23" i="1"/>
  <c r="G23" i="1"/>
  <c r="H23" i="1" s="1"/>
  <c r="I23" i="1" s="1"/>
  <c r="Z22" i="1"/>
  <c r="N22" i="1" s="1"/>
  <c r="Y22" i="1"/>
  <c r="X22" i="1"/>
  <c r="W22" i="1"/>
  <c r="V22" i="1"/>
  <c r="U22" i="1"/>
  <c r="T22" i="1"/>
  <c r="S22" i="1"/>
  <c r="R22" i="1"/>
  <c r="Q22" i="1"/>
  <c r="G22" i="1"/>
  <c r="H22" i="1" s="1"/>
  <c r="I22" i="1" s="1"/>
  <c r="Z18" i="1"/>
  <c r="N18" i="1" s="1"/>
  <c r="Y18" i="1"/>
  <c r="X18" i="1"/>
  <c r="W18" i="1"/>
  <c r="V18" i="1"/>
  <c r="U18" i="1"/>
  <c r="T18" i="1"/>
  <c r="S18" i="1"/>
  <c r="R18" i="1"/>
  <c r="Q18" i="1"/>
  <c r="G18" i="1"/>
  <c r="Z17" i="1"/>
  <c r="N17" i="1" s="1"/>
  <c r="Y17" i="1"/>
  <c r="X17" i="1"/>
  <c r="W17" i="1"/>
  <c r="V17" i="1"/>
  <c r="U17" i="1"/>
  <c r="T17" i="1"/>
  <c r="S17" i="1"/>
  <c r="R17" i="1"/>
  <c r="Q17" i="1"/>
  <c r="G17" i="1"/>
  <c r="H17" i="1" s="1"/>
  <c r="I17" i="1" s="1"/>
  <c r="Z16" i="1"/>
  <c r="N16" i="1" s="1"/>
  <c r="Y16" i="1"/>
  <c r="X16" i="1"/>
  <c r="W16" i="1"/>
  <c r="V16" i="1"/>
  <c r="U16" i="1"/>
  <c r="T16" i="1"/>
  <c r="S16" i="1"/>
  <c r="R16" i="1"/>
  <c r="Q16" i="1"/>
  <c r="G16" i="1"/>
  <c r="H16" i="1" s="1"/>
  <c r="I16" i="1" s="1"/>
  <c r="B3" i="1"/>
  <c r="B2" i="1"/>
  <c r="Z40" i="12"/>
  <c r="Y40" i="12"/>
  <c r="X40" i="12"/>
  <c r="W40" i="12"/>
  <c r="V40" i="12"/>
  <c r="U40" i="12"/>
  <c r="T40" i="12"/>
  <c r="S40" i="12"/>
  <c r="R40" i="12"/>
  <c r="Q40" i="12"/>
  <c r="P40" i="12"/>
  <c r="G40" i="12"/>
  <c r="H40" i="12" s="1"/>
  <c r="I40" i="12" s="1"/>
  <c r="Z39" i="12"/>
  <c r="Y39" i="12"/>
  <c r="X39" i="12"/>
  <c r="N39" i="12" s="1"/>
  <c r="W39" i="12"/>
  <c r="V39" i="12"/>
  <c r="U39" i="12"/>
  <c r="T39" i="12"/>
  <c r="S39" i="12"/>
  <c r="R39" i="12"/>
  <c r="Q39" i="12"/>
  <c r="P39" i="12"/>
  <c r="G39" i="12"/>
  <c r="H39" i="12" s="1"/>
  <c r="I39" i="12" s="1"/>
  <c r="Z38" i="12"/>
  <c r="Y38" i="12"/>
  <c r="X38" i="12"/>
  <c r="N38" i="12" s="1"/>
  <c r="W38" i="12"/>
  <c r="V38" i="12"/>
  <c r="U38" i="12"/>
  <c r="T38" i="12"/>
  <c r="S38" i="12"/>
  <c r="R38" i="12"/>
  <c r="Q38" i="12"/>
  <c r="P38" i="12"/>
  <c r="G38" i="12"/>
  <c r="Z37" i="12"/>
  <c r="Y37" i="12"/>
  <c r="X37" i="12"/>
  <c r="N37" i="12" s="1"/>
  <c r="W37" i="12"/>
  <c r="V37" i="12"/>
  <c r="U37" i="12"/>
  <c r="T37" i="12"/>
  <c r="S37" i="12"/>
  <c r="R37" i="12"/>
  <c r="Q37" i="12"/>
  <c r="P37" i="12"/>
  <c r="G37" i="12"/>
  <c r="H37" i="12" s="1"/>
  <c r="I37" i="12" s="1"/>
  <c r="Z32" i="12"/>
  <c r="Y32" i="12"/>
  <c r="X32" i="12"/>
  <c r="W32" i="12"/>
  <c r="V32" i="12"/>
  <c r="U32" i="12"/>
  <c r="T32" i="12"/>
  <c r="S32" i="12"/>
  <c r="R32" i="12"/>
  <c r="Q32" i="12"/>
  <c r="P32" i="12"/>
  <c r="G32" i="12"/>
  <c r="Z31" i="12"/>
  <c r="Y31" i="12"/>
  <c r="X31" i="12"/>
  <c r="N31" i="12" s="1"/>
  <c r="W31" i="12"/>
  <c r="V31" i="12"/>
  <c r="U31" i="12"/>
  <c r="T31" i="12"/>
  <c r="S31" i="12"/>
  <c r="R31" i="12"/>
  <c r="Q31" i="12"/>
  <c r="P31" i="12"/>
  <c r="G31" i="12"/>
  <c r="H31" i="12" s="1"/>
  <c r="I31" i="12" s="1"/>
  <c r="Z30" i="12"/>
  <c r="Y30" i="12"/>
  <c r="X30" i="12"/>
  <c r="N30" i="12" s="1"/>
  <c r="W30" i="12"/>
  <c r="V30" i="12"/>
  <c r="U30" i="12"/>
  <c r="T30" i="12"/>
  <c r="S30" i="12"/>
  <c r="R30" i="12"/>
  <c r="Q30" i="12"/>
  <c r="P30" i="12"/>
  <c r="G30" i="12"/>
  <c r="H30" i="12" s="1"/>
  <c r="I30" i="12" s="1"/>
  <c r="Z29" i="12"/>
  <c r="Y29" i="12"/>
  <c r="X29" i="12"/>
  <c r="N29" i="12" s="1"/>
  <c r="W29" i="12"/>
  <c r="V29" i="12"/>
  <c r="U29" i="12"/>
  <c r="T29" i="12"/>
  <c r="S29" i="12"/>
  <c r="R29" i="12"/>
  <c r="Q29" i="12"/>
  <c r="P29" i="12"/>
  <c r="G29" i="12"/>
  <c r="H29" i="12" s="1"/>
  <c r="I29" i="12" s="1"/>
  <c r="Z25" i="12"/>
  <c r="Y25" i="12"/>
  <c r="X25" i="12"/>
  <c r="N25" i="12" s="1"/>
  <c r="W25" i="12"/>
  <c r="V25" i="12"/>
  <c r="U25" i="12"/>
  <c r="T25" i="12"/>
  <c r="S25" i="12"/>
  <c r="R25" i="12"/>
  <c r="Q25" i="12"/>
  <c r="P25" i="12"/>
  <c r="G25" i="12"/>
  <c r="Z24" i="12"/>
  <c r="Y24" i="12"/>
  <c r="X24" i="12"/>
  <c r="W24" i="12"/>
  <c r="V24" i="12"/>
  <c r="U24" i="12"/>
  <c r="T24" i="12"/>
  <c r="S24" i="12"/>
  <c r="R24" i="12"/>
  <c r="Q24" i="12"/>
  <c r="P24" i="12"/>
  <c r="G24" i="12"/>
  <c r="Z23" i="12"/>
  <c r="Y23" i="12"/>
  <c r="X23" i="12"/>
  <c r="N23" i="12" s="1"/>
  <c r="W23" i="12"/>
  <c r="V23" i="12"/>
  <c r="U23" i="12"/>
  <c r="T23" i="12"/>
  <c r="S23" i="12"/>
  <c r="R23" i="12"/>
  <c r="Q23" i="12"/>
  <c r="P23" i="12"/>
  <c r="G23" i="12"/>
  <c r="Z22" i="12"/>
  <c r="Y22" i="12"/>
  <c r="X22" i="12"/>
  <c r="N22" i="12" s="1"/>
  <c r="W22" i="12"/>
  <c r="V22" i="12"/>
  <c r="U22" i="12"/>
  <c r="T22" i="12"/>
  <c r="S22" i="12"/>
  <c r="R22" i="12"/>
  <c r="Q22" i="12"/>
  <c r="P22" i="12"/>
  <c r="G22" i="12"/>
  <c r="Z18" i="12"/>
  <c r="Y18" i="12"/>
  <c r="X18" i="12"/>
  <c r="N18" i="12" s="1"/>
  <c r="W18" i="12"/>
  <c r="V18" i="12"/>
  <c r="U18" i="12"/>
  <c r="T18" i="12"/>
  <c r="S18" i="12"/>
  <c r="R18" i="12"/>
  <c r="Q18" i="12"/>
  <c r="P18" i="12"/>
  <c r="G18" i="12"/>
  <c r="H18" i="12" s="1"/>
  <c r="I18" i="12" s="1"/>
  <c r="Z17" i="12"/>
  <c r="Y17" i="12"/>
  <c r="X17" i="12"/>
  <c r="N17" i="12" s="1"/>
  <c r="W17" i="12"/>
  <c r="V17" i="12"/>
  <c r="U17" i="12"/>
  <c r="T17" i="12"/>
  <c r="S17" i="12"/>
  <c r="R17" i="12"/>
  <c r="Q17" i="12"/>
  <c r="P17" i="12"/>
  <c r="G17" i="12"/>
  <c r="H17" i="12" s="1"/>
  <c r="I17" i="12" s="1"/>
  <c r="Z16" i="12"/>
  <c r="Y16" i="12"/>
  <c r="X16" i="12"/>
  <c r="N16" i="12" s="1"/>
  <c r="W16" i="12"/>
  <c r="V16" i="12"/>
  <c r="U16" i="12"/>
  <c r="T16" i="12"/>
  <c r="S16" i="12"/>
  <c r="R16" i="12"/>
  <c r="Q16" i="12"/>
  <c r="P16" i="12"/>
  <c r="G16" i="12"/>
  <c r="Z15" i="12"/>
  <c r="Y15" i="12"/>
  <c r="X15" i="12"/>
  <c r="N15" i="12" s="1"/>
  <c r="W15" i="12"/>
  <c r="V15" i="12"/>
  <c r="U15" i="12"/>
  <c r="T15" i="12"/>
  <c r="S15" i="12"/>
  <c r="R15" i="12"/>
  <c r="Q15" i="12"/>
  <c r="P15" i="12"/>
  <c r="G15" i="12"/>
  <c r="H15" i="12" s="1"/>
  <c r="I15" i="12" s="1"/>
  <c r="B4" i="12"/>
  <c r="B3" i="12"/>
  <c r="B2" i="12"/>
  <c r="B7" i="12"/>
  <c r="B6" i="12"/>
  <c r="Z15" i="1"/>
  <c r="N15" i="1" s="1"/>
  <c r="Y15" i="1"/>
  <c r="X15" i="1"/>
  <c r="W15" i="1"/>
  <c r="V15" i="1"/>
  <c r="U15" i="1"/>
  <c r="T15" i="1"/>
  <c r="S15" i="1"/>
  <c r="R15" i="1"/>
  <c r="Q15" i="1"/>
  <c r="G15" i="1"/>
  <c r="AB33" i="12" l="1"/>
  <c r="P23" i="1"/>
  <c r="AD33" i="12"/>
  <c r="L33" i="12" s="1"/>
  <c r="AE33" i="12"/>
  <c r="M33" i="12" s="1"/>
  <c r="AC33" i="12"/>
  <c r="AE23" i="1"/>
  <c r="AC16" i="1"/>
  <c r="P39" i="1"/>
  <c r="AE39" i="1" s="1"/>
  <c r="P16" i="1"/>
  <c r="AE16" i="1" s="1"/>
  <c r="P37" i="1"/>
  <c r="AE37" i="1" s="1"/>
  <c r="AC24" i="1"/>
  <c r="AB39" i="1"/>
  <c r="P30" i="1"/>
  <c r="AE30" i="1" s="1"/>
  <c r="AB37" i="1"/>
  <c r="AC37" i="1"/>
  <c r="AB23" i="1"/>
  <c r="P24" i="1"/>
  <c r="AE24" i="1" s="1"/>
  <c r="P17" i="1"/>
  <c r="AE17" i="1" s="1"/>
  <c r="AC29" i="1"/>
  <c r="AB30" i="1"/>
  <c r="P32" i="1"/>
  <c r="AE32" i="1" s="1"/>
  <c r="P29" i="1"/>
  <c r="AE29" i="1" s="1"/>
  <c r="P25" i="1"/>
  <c r="AE25" i="1" s="1"/>
  <c r="AC17" i="1"/>
  <c r="AC36" i="1"/>
  <c r="AC39" i="1"/>
  <c r="AB17" i="1"/>
  <c r="AC25" i="1"/>
  <c r="AB38" i="1"/>
  <c r="AC23" i="1"/>
  <c r="AB24" i="1"/>
  <c r="AB36" i="1"/>
  <c r="AC38" i="1"/>
  <c r="AC32" i="1"/>
  <c r="AC30" i="1"/>
  <c r="AB16" i="1"/>
  <c r="P18" i="1"/>
  <c r="AE18" i="1" s="1"/>
  <c r="P22" i="1"/>
  <c r="AE22" i="1" s="1"/>
  <c r="P38" i="1"/>
  <c r="AE38" i="1" s="1"/>
  <c r="AC18" i="1"/>
  <c r="AB31" i="1"/>
  <c r="AB29" i="1"/>
  <c r="P31" i="1"/>
  <c r="AE31" i="1" s="1"/>
  <c r="AB32" i="1"/>
  <c r="P36" i="1"/>
  <c r="AE36" i="1" s="1"/>
  <c r="AC31" i="1"/>
  <c r="H31" i="1"/>
  <c r="I31" i="1" s="1"/>
  <c r="AB22" i="1"/>
  <c r="AB25" i="1"/>
  <c r="AC22" i="1"/>
  <c r="H18" i="1"/>
  <c r="I18" i="1" s="1"/>
  <c r="AB18" i="1"/>
  <c r="AD16" i="12"/>
  <c r="L16" i="12" s="1"/>
  <c r="AD38" i="12"/>
  <c r="L38" i="12" s="1"/>
  <c r="AD30" i="12"/>
  <c r="L30" i="12" s="1"/>
  <c r="AD24" i="12"/>
  <c r="L24" i="12" s="1"/>
  <c r="AD31" i="12"/>
  <c r="L31" i="12" s="1"/>
  <c r="AD18" i="12"/>
  <c r="L18" i="12" s="1"/>
  <c r="AD25" i="12"/>
  <c r="L25" i="12" s="1"/>
  <c r="AD32" i="12"/>
  <c r="L32" i="12" s="1"/>
  <c r="AD39" i="12"/>
  <c r="L39" i="12" s="1"/>
  <c r="AD40" i="12"/>
  <c r="L40" i="12" s="1"/>
  <c r="AD23" i="12"/>
  <c r="L23" i="12" s="1"/>
  <c r="AD17" i="12"/>
  <c r="L17" i="12" s="1"/>
  <c r="AD22" i="12"/>
  <c r="L22" i="12" s="1"/>
  <c r="AD29" i="12"/>
  <c r="L29" i="12" s="1"/>
  <c r="AD37" i="12"/>
  <c r="L37" i="12" s="1"/>
  <c r="AE30" i="12"/>
  <c r="M30" i="12" s="1"/>
  <c r="AC40" i="12"/>
  <c r="AB24" i="12"/>
  <c r="AC39" i="12"/>
  <c r="AE24" i="12"/>
  <c r="M24" i="12" s="1"/>
  <c r="AB29" i="12"/>
  <c r="AE31" i="12"/>
  <c r="H24" i="12"/>
  <c r="I24" i="12" s="1"/>
  <c r="AB37" i="12"/>
  <c r="AB16" i="12"/>
  <c r="AB39" i="12"/>
  <c r="AE16" i="12"/>
  <c r="AE22" i="12"/>
  <c r="M22" i="12" s="1"/>
  <c r="AE23" i="12"/>
  <c r="AB25" i="12"/>
  <c r="AC31" i="12"/>
  <c r="AB32" i="12"/>
  <c r="AC16" i="12"/>
  <c r="AB17" i="12"/>
  <c r="AB23" i="12"/>
  <c r="AC37" i="12"/>
  <c r="AE25" i="12"/>
  <c r="M25" i="12" s="1"/>
  <c r="AC17" i="12"/>
  <c r="AC38" i="12"/>
  <c r="AC29" i="12"/>
  <c r="AB22" i="12"/>
  <c r="AE18" i="12"/>
  <c r="M18" i="12" s="1"/>
  <c r="AC22" i="12"/>
  <c r="AC23" i="12"/>
  <c r="AC25" i="12"/>
  <c r="AE17" i="12"/>
  <c r="H22" i="12"/>
  <c r="I22" i="12" s="1"/>
  <c r="H23" i="12"/>
  <c r="I23" i="12" s="1"/>
  <c r="H25" i="12"/>
  <c r="I25" i="12" s="1"/>
  <c r="AC32" i="12"/>
  <c r="AE38" i="12"/>
  <c r="M38" i="12" s="1"/>
  <c r="AE40" i="12"/>
  <c r="AB38" i="12"/>
  <c r="AB40" i="12"/>
  <c r="AB18" i="12"/>
  <c r="AE32" i="12"/>
  <c r="M32" i="12" s="1"/>
  <c r="AC24" i="12"/>
  <c r="AB30" i="12"/>
  <c r="AC18" i="12"/>
  <c r="AE29" i="12"/>
  <c r="M29" i="12" s="1"/>
  <c r="AE37" i="12"/>
  <c r="M37" i="12" s="1"/>
  <c r="AE39" i="12"/>
  <c r="AC30" i="12"/>
  <c r="AB31" i="12"/>
  <c r="AE15" i="12"/>
  <c r="M15" i="12" s="1"/>
  <c r="AC15" i="12"/>
  <c r="H38" i="12"/>
  <c r="I38" i="12" s="1"/>
  <c r="H32" i="12"/>
  <c r="I32" i="12" s="1"/>
  <c r="H16" i="12"/>
  <c r="I16" i="12" s="1"/>
  <c r="AD15" i="12"/>
  <c r="L15" i="12" s="1"/>
  <c r="AB15" i="12"/>
  <c r="B7" i="1"/>
  <c r="B6" i="1"/>
  <c r="B4" i="1"/>
  <c r="AF38" i="1" s="1"/>
  <c r="J33" i="12" l="1"/>
  <c r="K33" i="12" s="1"/>
  <c r="M38" i="1"/>
  <c r="AD30" i="1"/>
  <c r="L30" i="1" s="1"/>
  <c r="AF36" i="1"/>
  <c r="M36" i="1" s="1"/>
  <c r="AF23" i="1"/>
  <c r="M23" i="1" s="1"/>
  <c r="AF25" i="1"/>
  <c r="M25" i="1" s="1"/>
  <c r="AF29" i="1"/>
  <c r="M29" i="1" s="1"/>
  <c r="AF32" i="1"/>
  <c r="M32" i="1" s="1"/>
  <c r="AD16" i="1"/>
  <c r="L16" i="1" s="1"/>
  <c r="AF37" i="1"/>
  <c r="M37" i="1" s="1"/>
  <c r="AF39" i="1"/>
  <c r="M39" i="1" s="1"/>
  <c r="AD23" i="1"/>
  <c r="L23" i="1" s="1"/>
  <c r="AD38" i="1"/>
  <c r="AD39" i="1"/>
  <c r="L39" i="1" s="1"/>
  <c r="AF24" i="1"/>
  <c r="M24" i="1" s="1"/>
  <c r="AD25" i="1"/>
  <c r="L25" i="1" s="1"/>
  <c r="AF30" i="1"/>
  <c r="M30" i="1" s="1"/>
  <c r="AF22" i="1"/>
  <c r="M22" i="1" s="1"/>
  <c r="AD36" i="1"/>
  <c r="AD31" i="1"/>
  <c r="L31" i="1" s="1"/>
  <c r="AD37" i="1"/>
  <c r="L37" i="1" s="1"/>
  <c r="AF31" i="1"/>
  <c r="M31" i="1" s="1"/>
  <c r="AD29" i="1"/>
  <c r="L29" i="1" s="1"/>
  <c r="AD22" i="1"/>
  <c r="L22" i="1" s="1"/>
  <c r="AF18" i="1"/>
  <c r="M18" i="1" s="1"/>
  <c r="AD32" i="1"/>
  <c r="L32" i="1" s="1"/>
  <c r="AD17" i="1"/>
  <c r="L17" i="1" s="1"/>
  <c r="AD18" i="1"/>
  <c r="L18" i="1" s="1"/>
  <c r="AD24" i="1"/>
  <c r="L24" i="1" s="1"/>
  <c r="AF16" i="1"/>
  <c r="M16" i="1" s="1"/>
  <c r="AF17" i="1"/>
  <c r="M17" i="1" s="1"/>
  <c r="J16" i="12"/>
  <c r="K16" i="12" s="1"/>
  <c r="M16" i="12"/>
  <c r="J17" i="12"/>
  <c r="K17" i="12" s="1"/>
  <c r="M17" i="12"/>
  <c r="J39" i="12"/>
  <c r="K39" i="12" s="1"/>
  <c r="M39" i="12"/>
  <c r="J40" i="12"/>
  <c r="K40" i="12" s="1"/>
  <c r="M40" i="12"/>
  <c r="J23" i="12"/>
  <c r="K23" i="12" s="1"/>
  <c r="M23" i="12"/>
  <c r="J31" i="12"/>
  <c r="K31" i="12" s="1"/>
  <c r="M31" i="12"/>
  <c r="J38" i="12"/>
  <c r="K38" i="12" s="1"/>
  <c r="J30" i="12"/>
  <c r="K30" i="12" s="1"/>
  <c r="J32" i="12"/>
  <c r="K32" i="12" s="1"/>
  <c r="J37" i="12"/>
  <c r="K37" i="12" s="1"/>
  <c r="J18" i="12"/>
  <c r="K18" i="12" s="1"/>
  <c r="J22" i="12"/>
  <c r="K22" i="12" s="1"/>
  <c r="J25" i="12"/>
  <c r="K25" i="12" s="1"/>
  <c r="J24" i="12"/>
  <c r="K24" i="12" s="1"/>
  <c r="J29" i="12"/>
  <c r="K29" i="12" s="1"/>
  <c r="J15" i="12"/>
  <c r="K15" i="12" s="1"/>
  <c r="AD15" i="1"/>
  <c r="L15" i="1" s="1"/>
  <c r="AF15" i="1"/>
  <c r="P15" i="1"/>
  <c r="AE15" i="1" s="1"/>
  <c r="M15" i="1" s="1"/>
  <c r="AB15" i="1"/>
  <c r="AC15" i="1"/>
  <c r="H15" i="1"/>
  <c r="I15" i="1" s="1"/>
  <c r="J22" i="1" l="1"/>
  <c r="K22" i="1" s="1"/>
  <c r="J37" i="1"/>
  <c r="K37" i="1" s="1"/>
  <c r="J17" i="1"/>
  <c r="K17" i="1" s="1"/>
  <c r="J23" i="1"/>
  <c r="K23" i="1" s="1"/>
  <c r="J39" i="1"/>
  <c r="K39" i="1" s="1"/>
  <c r="J16" i="1"/>
  <c r="K16" i="1" s="1"/>
  <c r="J30" i="1"/>
  <c r="K30" i="1" s="1"/>
  <c r="J29" i="1"/>
  <c r="K29" i="1" s="1"/>
  <c r="L36" i="1"/>
  <c r="J36" i="1"/>
  <c r="K36" i="1" s="1"/>
  <c r="J24" i="1"/>
  <c r="K24" i="1" s="1"/>
  <c r="J18" i="1"/>
  <c r="K18" i="1" s="1"/>
  <c r="J25" i="1"/>
  <c r="K25" i="1" s="1"/>
  <c r="J32" i="1"/>
  <c r="K32" i="1" s="1"/>
  <c r="J38" i="1"/>
  <c r="K38" i="1" s="1"/>
  <c r="L38" i="1"/>
  <c r="J31" i="1"/>
  <c r="K31" i="1" s="1"/>
  <c r="J15" i="1"/>
  <c r="K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4E30C-F00F-5A45-A2B8-581A39FF839C}" name="master_metrics_c1_1024n_4w_10000bs_SQS" type="6" refreshedVersion="8" background="1" saveData="1">
    <textPr sourceFile="/Users/joeoakley/Documents/phd/sparse_dnn/Layer Stats/1Sep22/SQS/master_metrics_c1_1024n_4w_10000bs_SQS.csv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1BAA1D0-B848-7B4D-AE0F-704A19D0E17F}" name="master_metrics_c1_1024n_4w_10000bs-2" type="6" refreshedVersion="8" background="1" saveData="1">
    <textPr sourceFile="/Users/joeoakley/Documents/phd/sparse_dnn/Layer Stats/1Sep22/S3/master_metrics_c1_1024n_4w_10000bs-2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2F7958C-0CD6-F549-A30A-5555536EBF60}" keepAlive="1" name="Query - 20Jul22_NewOverflow_Run1" description="Connection to the '20Jul22_NewOverflow_Run1' query in the workbook." type="5" refreshedVersion="8" background="1" saveData="1">
    <dbPr connection="Provider=Microsoft.Mashup.OleDb.1;Data Source=$Workbook$;Location=20Jul22_NewOverflow_Run1;Extended Properties=&quot;&quot;" command="SELECT * FROM [20Jul22_NewOverflow_Run1]"/>
  </connection>
</connections>
</file>

<file path=xl/sharedStrings.xml><?xml version="1.0" encoding="utf-8"?>
<sst xmlns="http://schemas.openxmlformats.org/spreadsheetml/2006/main" count="245" uniqueCount="144">
  <si>
    <t>Workers</t>
  </si>
  <si>
    <t>Time per example</t>
  </si>
  <si>
    <t># Levels</t>
  </si>
  <si>
    <t>Bfr</t>
  </si>
  <si>
    <t>Batchsize</t>
  </si>
  <si>
    <t>Lambda Cost</t>
  </si>
  <si>
    <t>SNS Cost</t>
  </si>
  <si>
    <t>SQS Cost</t>
  </si>
  <si>
    <t># Messages sent</t>
  </si>
  <si>
    <t># Publish calls</t>
  </si>
  <si>
    <t># Poll calls</t>
  </si>
  <si>
    <t>Size messages sent</t>
  </si>
  <si>
    <t>Lambda RAM</t>
  </si>
  <si>
    <t>Experiment Name</t>
  </si>
  <si>
    <t>Lambda Runtime</t>
  </si>
  <si>
    <t>% Time Commu.</t>
  </si>
  <si>
    <t>% Time Compu.</t>
  </si>
  <si>
    <t>Max Row NNZ</t>
  </si>
  <si>
    <t>Batch RT / Worker</t>
  </si>
  <si>
    <t>Batch RT All Workers</t>
  </si>
  <si>
    <t># Messages Recv</t>
  </si>
  <si>
    <t>Size Messages Recv</t>
  </si>
  <si>
    <t>SNS API Publish Request Cost</t>
  </si>
  <si>
    <t>Publish Reqs Billed</t>
  </si>
  <si>
    <t>SNS Data Transfer Out Per Byte</t>
  </si>
  <si>
    <t>SQS API Request Cost</t>
  </si>
  <si>
    <t>Lambda Invocation Request Cost</t>
  </si>
  <si>
    <t>Lambda cost per 128MB-second</t>
  </si>
  <si>
    <t>SQS -&gt; Lambda Data Transfer Out Per Byte</t>
  </si>
  <si>
    <t>CONFIG</t>
  </si>
  <si>
    <t>BFR</t>
  </si>
  <si>
    <t>NLEVELS</t>
  </si>
  <si>
    <t>TOTAL_NWORKERS</t>
  </si>
  <si>
    <t>NUM_NEURONS</t>
  </si>
  <si>
    <t>NUM_LAYERS</t>
  </si>
  <si>
    <t>NUM_DATA</t>
  </si>
  <si>
    <t>BATCH_SIZE</t>
  </si>
  <si>
    <t>NUM_BATCHES</t>
  </si>
  <si>
    <t>METRIC_PUBLISH_CALLS</t>
  </si>
  <si>
    <t>METRIC_NUM_MESSAGES_SENT</t>
  </si>
  <si>
    <t>METRIC_SIZE_MESSAGES_SENT</t>
  </si>
  <si>
    <t>METRIC_RECEIVE_POLL_CALLS</t>
  </si>
  <si>
    <t>METRIC_NUM_MESSAGES_RECEIVED</t>
  </si>
  <si>
    <t>METRIC_SIZE_MESSAGES_RECEIVED</t>
  </si>
  <si>
    <t>METRIC_ELAPSED_TIME_BATCH</t>
  </si>
  <si>
    <t>METRIC_ELAPSED_TIME_COMMUNICATION</t>
  </si>
  <si>
    <t>METRIC_ELAPSED_TIME_COMPUTATION</t>
  </si>
  <si>
    <t>METRIC_ELAPSED_TIME_COMPRESSION</t>
  </si>
  <si>
    <t>METRIC_LAMBDA_RUNTIME</t>
  </si>
  <si>
    <t>METRIC_MAX_ROW_NNZ</t>
  </si>
  <si>
    <t>METRIC_MAX_MESSAGE_SIZE</t>
  </si>
  <si>
    <t>METRIC_MAX_BATCH_MSG_SIZE</t>
  </si>
  <si>
    <t>Total Expt Cost ($)</t>
  </si>
  <si>
    <t>Cost per example ($)</t>
  </si>
  <si>
    <t>1024 Neurons, 10000 batch size</t>
  </si>
  <si>
    <t>4096 Neurons, 10000 batch size</t>
  </si>
  <si>
    <t>16384 Neurons, 10000 batch size</t>
  </si>
  <si>
    <t>65536 Neurons, 10000 batch size</t>
  </si>
  <si>
    <t>c3_1024n_20w_10000bs_SQS</t>
  </si>
  <si>
    <t>c4_1024n_42w_10000bs_SQS</t>
  </si>
  <si>
    <t>c8_4096n_20w_10000bs_SQS</t>
  </si>
  <si>
    <t>c9_4096n_42w_10000bs_SQS</t>
  </si>
  <si>
    <t>c13_16384n_20w_10000bs_SQS</t>
  </si>
  <si>
    <t>c14_16384n_42w_10000bs_SQS</t>
  </si>
  <si>
    <t>c18_65536n_20w_10000bs_SQS</t>
  </si>
  <si>
    <t>c19_65536n_42w_10000bs_SQS</t>
  </si>
  <si>
    <t>S3 Put Request Cost</t>
  </si>
  <si>
    <t>S3 List Request Cost</t>
  </si>
  <si>
    <t>S3 Get Request Cost</t>
  </si>
  <si>
    <t>S3 Data Transfer Cost Per Byte</t>
  </si>
  <si>
    <t>METRIC_S3_NUM_WRITES</t>
  </si>
  <si>
    <t>METRIC_S3_NUM_READS</t>
  </si>
  <si>
    <t>METRIC_S3_WRITE_SIZE</t>
  </si>
  <si>
    <t>METRIC_S3_READ_SIZE</t>
  </si>
  <si>
    <t>METRIC_S3_FOLDER_SCANS</t>
  </si>
  <si>
    <t>METRIC_ELAPSED_TIME_TOTAL</t>
  </si>
  <si>
    <t>METRIC_MAX_FILE_SIZE</t>
  </si>
  <si>
    <t># S3 Writes</t>
  </si>
  <si>
    <t># S3 Reads</t>
  </si>
  <si>
    <t>Size S3 Written</t>
  </si>
  <si>
    <t>Size S3 Read</t>
  </si>
  <si>
    <t># S3 List Reqs</t>
  </si>
  <si>
    <t>Time Communication</t>
  </si>
  <si>
    <t>Time Compression</t>
  </si>
  <si>
    <t>Time Computation</t>
  </si>
  <si>
    <t>Max File Size</t>
  </si>
  <si>
    <t>S3 Cost</t>
  </si>
  <si>
    <t>c2_1024n_12w_10000bs_S3</t>
  </si>
  <si>
    <t>c3_1024n_20w_10000bs_S3</t>
  </si>
  <si>
    <t>c4_1024n_42w_10000bs_S3</t>
  </si>
  <si>
    <t>c7_4096n_12w_10000bs_S3</t>
  </si>
  <si>
    <t>c8_4096n_20w_10000bs_S3</t>
  </si>
  <si>
    <t>c9_4096n_42w_10000bs_S3</t>
  </si>
  <si>
    <t>c12_16384n_12w_10000bs_S3</t>
  </si>
  <si>
    <t>c13_16384n_20w_10000bs_S3</t>
  </si>
  <si>
    <t>c14_16384n_42w_10000bs_S3</t>
  </si>
  <si>
    <t>c18_65536n_20w_10000bs_S3</t>
  </si>
  <si>
    <t>c19_65536n_42w_10000bs_S3</t>
  </si>
  <si>
    <t>c20_65536n_84w_10000bs_S3</t>
  </si>
  <si>
    <t>c1_1024n_8w_10000bs_S3</t>
  </si>
  <si>
    <t>c6_4096n_8w_10000bs_S3</t>
  </si>
  <si>
    <t>c11_16384n_8w_10000bs_S3</t>
  </si>
  <si>
    <t>c16_65536n_8w_10000bs_S3</t>
  </si>
  <si>
    <t>c5_1024n_62w_10000bs_S3</t>
  </si>
  <si>
    <t>c10_4096n_62w_10000bs_S3</t>
  </si>
  <si>
    <t>c15_16384n_62w_10000bs_S3</t>
  </si>
  <si>
    <t>c20_65536n_62w_10000bs_S3</t>
  </si>
  <si>
    <t>Lambda Cost Per Example ($)</t>
  </si>
  <si>
    <t>Comm Cost Per Example ($)</t>
  </si>
  <si>
    <t>c1_1024n_8w_10000bs_SQS</t>
  </si>
  <si>
    <t>c5_1024n_62w_10000bs_SQS</t>
  </si>
  <si>
    <t>c6_4096n_8w_10000bs_SQS</t>
  </si>
  <si>
    <t>c10_4096n_62w_10000bs_SQS</t>
  </si>
  <si>
    <t>c11_16384n_8w_10000bs_SQS</t>
  </si>
  <si>
    <t>c15_16384n_62w_10000bs_SQS</t>
  </si>
  <si>
    <t>c16_65536n_8w_10000bs_SQS</t>
  </si>
  <si>
    <t>Lambda Cost per example ($)</t>
  </si>
  <si>
    <t>Comm cost per example</t>
  </si>
  <si>
    <t>c20_65536n_62w_10000bs_SQS</t>
  </si>
  <si>
    <t>c14_16384n_42w_10000bs_S3_RANDOM</t>
  </si>
  <si>
    <t>Lambda RT / Example / Worker</t>
  </si>
  <si>
    <t>C_Lambda</t>
  </si>
  <si>
    <t>C_SNS</t>
  </si>
  <si>
    <t>C_SQS</t>
  </si>
  <si>
    <t>P</t>
  </si>
  <si>
    <t>Cost Model Elements</t>
  </si>
  <si>
    <t>C_Lambda_Inv</t>
  </si>
  <si>
    <t>Bar(T)</t>
  </si>
  <si>
    <t>M</t>
  </si>
  <si>
    <t>C_Lambda_Run*128</t>
  </si>
  <si>
    <t>S</t>
  </si>
  <si>
    <t>C_SNS_Pub</t>
  </si>
  <si>
    <t>C_SNS_Byte</t>
  </si>
  <si>
    <t>C_SQS_API</t>
  </si>
  <si>
    <t>Z</t>
  </si>
  <si>
    <t>Q</t>
  </si>
  <si>
    <t>C_S3_Put</t>
  </si>
  <si>
    <t>C_S3_List</t>
  </si>
  <si>
    <t>C_S3_Get</t>
  </si>
  <si>
    <t>V</t>
  </si>
  <si>
    <t>R</t>
  </si>
  <si>
    <t>L</t>
  </si>
  <si>
    <t>C_S3</t>
  </si>
  <si>
    <r>
      <t>c14_16384n_42w_10000bs_S3_</t>
    </r>
    <r>
      <rPr>
        <b/>
        <sz val="12"/>
        <color rgb="FFFF0000"/>
        <rFont val="Calibri (Body)"/>
      </rPr>
      <t>RANDOM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</si>
</sst>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6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3" fillId="6" borderId="1" xfId="2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6" borderId="1" xfId="2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1" xfId="1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2" borderId="1" xfId="1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94760</xdr:colOff>
      <xdr:row>10</xdr:row>
      <xdr:rowOff>21492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D9FFCF-D7A4-A747-927E-8433FD07E3D9}"/>
            </a:ext>
          </a:extLst>
        </xdr:cNvPr>
        <xdr:cNvSpPr txBox="1"/>
      </xdr:nvSpPr>
      <xdr:spPr>
        <a:xfrm>
          <a:off x="9180145" y="1662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ster_metrics_c1_1024n_4w_10000bs_SQS" connectionId="1" xr16:uid="{75A0BFB7-EB1E-1547-8F2E-36A16188B1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ster_metrics_c1_1024n_4w_10000bs-2" connectionId="2" xr16:uid="{76EC4852-7DBB-884B-8D9B-21CA67013E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A7F8-FE9D-FD45-A510-A2F48C14D797}">
  <dimension ref="A1:AG39"/>
  <sheetViews>
    <sheetView topLeftCell="N1" zoomScale="130" zoomScaleNormal="130" workbookViewId="0">
      <selection activeCell="H15" sqref="H15"/>
    </sheetView>
  </sheetViews>
  <sheetFormatPr baseColWidth="10" defaultRowHeight="16" x14ac:dyDescent="0.2"/>
  <cols>
    <col min="1" max="1" width="37.1640625" style="1" bestFit="1" customWidth="1"/>
    <col min="2" max="2" width="12.1640625" style="1" bestFit="1" customWidth="1"/>
    <col min="3" max="3" width="18.1640625" style="1" bestFit="1" customWidth="1"/>
    <col min="4" max="4" width="12.33203125" style="1" customWidth="1"/>
    <col min="5" max="5" width="12.1640625" style="1" bestFit="1" customWidth="1"/>
    <col min="6" max="6" width="11" style="1" customWidth="1"/>
    <col min="7" max="7" width="18.83203125" style="1" bestFit="1" customWidth="1"/>
    <col min="8" max="8" width="16.5" style="1" bestFit="1" customWidth="1"/>
    <col min="9" max="9" width="16.1640625" style="9" bestFit="1" customWidth="1"/>
    <col min="10" max="10" width="16.33203125" style="13" bestFit="1" customWidth="1"/>
    <col min="11" max="11" width="18.5" style="9" bestFit="1" customWidth="1"/>
    <col min="12" max="12" width="25.83203125" style="9" bestFit="1" customWidth="1"/>
    <col min="13" max="13" width="21.5" style="9" bestFit="1" customWidth="1"/>
    <col min="14" max="14" width="27.6640625" style="9" bestFit="1" customWidth="1"/>
    <col min="15" max="15" width="12.5" style="16" customWidth="1"/>
    <col min="16" max="16" width="16.83203125" style="1" bestFit="1" customWidth="1"/>
    <col min="17" max="17" width="12.6640625" style="1" bestFit="1" customWidth="1"/>
    <col min="18" max="18" width="14.83203125" style="1" bestFit="1" customWidth="1"/>
    <col min="19" max="19" width="17.33203125" style="1" bestFit="1" customWidth="1"/>
    <col min="20" max="20" width="9.83203125" style="1" bestFit="1" customWidth="1"/>
    <col min="21" max="21" width="15.1640625" style="1" bestFit="1" customWidth="1"/>
    <col min="22" max="22" width="17.6640625" style="1" bestFit="1" customWidth="1"/>
    <col min="23" max="23" width="19" style="1" bestFit="1" customWidth="1"/>
    <col min="24" max="25" width="16.5" style="9" bestFit="1" customWidth="1"/>
    <col min="26" max="26" width="15.1640625" style="9" bestFit="1" customWidth="1"/>
    <col min="27" max="27" width="21.5" style="1" bestFit="1" customWidth="1"/>
    <col min="28" max="28" width="14.6640625" style="1" bestFit="1" customWidth="1"/>
    <col min="29" max="29" width="14" style="9" bestFit="1" customWidth="1"/>
    <col min="30" max="30" width="11.6640625" style="9" bestFit="1" customWidth="1"/>
    <col min="31" max="32" width="8.5" style="16" bestFit="1" customWidth="1"/>
    <col min="33" max="33" width="14.33203125" style="16" bestFit="1" customWidth="1"/>
    <col min="34" max="34" width="10.6640625" style="1" customWidth="1"/>
    <col min="35" max="35" width="10.33203125" style="1" customWidth="1"/>
    <col min="36" max="36" width="1.33203125" style="1" customWidth="1"/>
    <col min="37" max="37" width="10.6640625" style="1" customWidth="1"/>
    <col min="38" max="39" width="10.83203125" style="1"/>
    <col min="40" max="40" width="10.1640625" style="1" customWidth="1"/>
    <col min="41" max="41" width="1.6640625" style="1" customWidth="1"/>
    <col min="42" max="42" width="8.6640625" style="1" customWidth="1"/>
    <col min="43" max="44" width="9.83203125" style="1" customWidth="1"/>
    <col min="45" max="45" width="8.33203125" style="1" customWidth="1"/>
    <col min="46" max="46" width="2.1640625" style="1" customWidth="1"/>
    <col min="47" max="16384" width="10.83203125" style="1"/>
  </cols>
  <sheetData>
    <row r="1" spans="1:33" x14ac:dyDescent="0.2">
      <c r="A1" s="1" t="s">
        <v>4</v>
      </c>
      <c r="B1" s="1">
        <v>10000</v>
      </c>
      <c r="C1" s="25"/>
    </row>
    <row r="2" spans="1:33" x14ac:dyDescent="0.2">
      <c r="A2" s="1" t="s">
        <v>22</v>
      </c>
      <c r="B2" s="1">
        <f>0.5/1000000</f>
        <v>4.9999999999999998E-7</v>
      </c>
      <c r="C2" s="25" t="s">
        <v>131</v>
      </c>
    </row>
    <row r="3" spans="1:33" x14ac:dyDescent="0.2">
      <c r="A3" s="1" t="s">
        <v>24</v>
      </c>
      <c r="B3" s="1">
        <f>0.09/1000000000</f>
        <v>8.9999999999999999E-11</v>
      </c>
      <c r="C3" s="25" t="s">
        <v>132</v>
      </c>
      <c r="G3" s="30">
        <f>0.00000000009*2000000</f>
        <v>1.8000000000000001E-4</v>
      </c>
    </row>
    <row r="4" spans="1:33" x14ac:dyDescent="0.2">
      <c r="A4" s="1" t="s">
        <v>25</v>
      </c>
      <c r="B4" s="1">
        <f>0.4/1000000</f>
        <v>4.0000000000000003E-7</v>
      </c>
      <c r="C4" s="25" t="s">
        <v>133</v>
      </c>
    </row>
    <row r="5" spans="1:33" x14ac:dyDescent="0.2">
      <c r="A5" s="1" t="s">
        <v>28</v>
      </c>
      <c r="B5" s="1">
        <v>0</v>
      </c>
      <c r="C5" s="25"/>
    </row>
    <row r="6" spans="1:33" x14ac:dyDescent="0.2">
      <c r="A6" s="1" t="s">
        <v>26</v>
      </c>
      <c r="B6" s="1">
        <f>0.2/1000000</f>
        <v>2.0000000000000002E-7</v>
      </c>
      <c r="C6" s="25" t="s">
        <v>126</v>
      </c>
    </row>
    <row r="7" spans="1:33" x14ac:dyDescent="0.2">
      <c r="A7" s="1" t="s">
        <v>27</v>
      </c>
      <c r="B7" s="1">
        <f>0.0000000021*1000</f>
        <v>2.1000000000000002E-6</v>
      </c>
      <c r="C7" s="25" t="s">
        <v>129</v>
      </c>
    </row>
    <row r="11" spans="1:33" x14ac:dyDescent="0.2">
      <c r="A11" s="24" t="s">
        <v>125</v>
      </c>
      <c r="B11" s="25" t="s">
        <v>124</v>
      </c>
      <c r="C11" s="25"/>
      <c r="D11" s="25"/>
      <c r="E11" s="25" t="s">
        <v>128</v>
      </c>
      <c r="F11" s="25"/>
      <c r="G11" s="25"/>
      <c r="H11" s="25" t="s">
        <v>127</v>
      </c>
      <c r="I11" s="26"/>
      <c r="J11" s="27"/>
      <c r="K11" s="26"/>
      <c r="L11" s="26"/>
      <c r="M11" s="26"/>
      <c r="N11" s="26"/>
      <c r="O11" s="28"/>
      <c r="P11" s="25" t="s">
        <v>130</v>
      </c>
      <c r="Q11" s="25"/>
      <c r="R11" s="25"/>
      <c r="S11" s="25" t="s">
        <v>134</v>
      </c>
      <c r="T11" s="25" t="s">
        <v>135</v>
      </c>
      <c r="U11" s="25"/>
      <c r="V11" s="25"/>
      <c r="W11" s="25"/>
      <c r="X11" s="26"/>
      <c r="Y11" s="26"/>
      <c r="Z11" s="26"/>
      <c r="AA11" s="25"/>
      <c r="AB11" s="25"/>
      <c r="AC11" s="26"/>
      <c r="AD11" s="26" t="s">
        <v>121</v>
      </c>
      <c r="AE11" s="28" t="s">
        <v>122</v>
      </c>
      <c r="AF11" s="28" t="s">
        <v>123</v>
      </c>
    </row>
    <row r="13" spans="1:33" x14ac:dyDescent="0.2">
      <c r="B13" s="31" t="s">
        <v>54</v>
      </c>
      <c r="C13" s="31"/>
      <c r="D13" s="31"/>
      <c r="E13" s="31"/>
      <c r="H13" s="9"/>
      <c r="I13" s="13"/>
      <c r="J13" s="9"/>
      <c r="K13" s="16"/>
      <c r="L13" s="16"/>
      <c r="M13" s="16"/>
      <c r="N13" s="16"/>
      <c r="O13" s="1"/>
      <c r="W13" s="9"/>
      <c r="AB13" s="9"/>
      <c r="AD13" s="16"/>
    </row>
    <row r="14" spans="1:33" x14ac:dyDescent="0.2">
      <c r="A14" s="1" t="s">
        <v>13</v>
      </c>
      <c r="B14" s="5" t="s">
        <v>0</v>
      </c>
      <c r="C14" s="5" t="s">
        <v>3</v>
      </c>
      <c r="D14" s="5" t="s">
        <v>2</v>
      </c>
      <c r="E14" s="5" t="s">
        <v>12</v>
      </c>
      <c r="G14" s="8" t="s">
        <v>19</v>
      </c>
      <c r="H14" s="10" t="s">
        <v>18</v>
      </c>
      <c r="I14" s="14" t="s">
        <v>1</v>
      </c>
      <c r="J14" s="10" t="s">
        <v>52</v>
      </c>
      <c r="K14" s="17" t="s">
        <v>53</v>
      </c>
      <c r="L14" s="17" t="s">
        <v>116</v>
      </c>
      <c r="M14" s="17" t="s">
        <v>117</v>
      </c>
      <c r="N14" s="17" t="s">
        <v>120</v>
      </c>
      <c r="O14" s="1"/>
      <c r="P14" s="3" t="s">
        <v>23</v>
      </c>
      <c r="Q14" s="8" t="s">
        <v>9</v>
      </c>
      <c r="R14" s="8" t="s">
        <v>8</v>
      </c>
      <c r="S14" s="8" t="s">
        <v>11</v>
      </c>
      <c r="T14" s="8" t="s">
        <v>10</v>
      </c>
      <c r="U14" s="8" t="s">
        <v>20</v>
      </c>
      <c r="V14" s="8" t="s">
        <v>21</v>
      </c>
      <c r="W14" s="12" t="s">
        <v>82</v>
      </c>
      <c r="X14" s="12" t="s">
        <v>84</v>
      </c>
      <c r="Y14" s="12" t="s">
        <v>83</v>
      </c>
      <c r="Z14" s="12" t="s">
        <v>14</v>
      </c>
      <c r="AB14" s="10" t="s">
        <v>15</v>
      </c>
      <c r="AC14" s="10" t="s">
        <v>16</v>
      </c>
      <c r="AD14" s="17" t="s">
        <v>5</v>
      </c>
      <c r="AE14" s="17" t="s">
        <v>6</v>
      </c>
      <c r="AF14" s="17" t="s">
        <v>7</v>
      </c>
    </row>
    <row r="15" spans="1:33" s="37" customFormat="1" x14ac:dyDescent="0.2">
      <c r="A15" s="35" t="s">
        <v>109</v>
      </c>
      <c r="B15" s="36">
        <v>8</v>
      </c>
      <c r="C15" s="36">
        <v>8</v>
      </c>
      <c r="D15" s="36">
        <v>1</v>
      </c>
      <c r="E15" s="36">
        <v>1000</v>
      </c>
      <c r="G15" s="36">
        <f>VLOOKUP(A15,'Metric Reports Pub-Sub MQ'!$A$1:$W$53,16,FALSE)</f>
        <v>507.99376999999998</v>
      </c>
      <c r="H15" s="38">
        <f>G15/B15</f>
        <v>63.499221249999998</v>
      </c>
      <c r="I15" s="39">
        <f>H15/$B$1</f>
        <v>6.349922125E-3</v>
      </c>
      <c r="J15" s="38">
        <f>SUM(AD15:AF15)</f>
        <v>2.1531605009375003E-2</v>
      </c>
      <c r="K15" s="40">
        <f>J15/$B$1</f>
        <v>2.1531605009375001E-6</v>
      </c>
      <c r="L15" s="40">
        <f>AD15 / $B$1</f>
        <v>9.3305916093750008E-7</v>
      </c>
      <c r="M15" s="40">
        <f>(AE15+AF15)/$B$1</f>
        <v>1.22010134E-6</v>
      </c>
      <c r="N15" s="40">
        <f>Z15/$B$1/B15</f>
        <v>7.1076507500000006E-3</v>
      </c>
      <c r="P15" s="36">
        <f>_xlfn.CEILING.MATH((S15/Q15)/64000) * Q15</f>
        <v>2204</v>
      </c>
      <c r="Q15" s="36">
        <f>VLOOKUP(A15,'Metric Reports Pub-Sub MQ'!$A$1:$W$53,10,FALSE)</f>
        <v>1102</v>
      </c>
      <c r="R15" s="36">
        <f>VLOOKUP(A15,'Metric Reports Pub-Sub MQ'!$A$1:$W$53,11,FALSE)</f>
        <v>6774</v>
      </c>
      <c r="S15" s="36">
        <f>VLOOKUP(A15,'Metric Reports Pub-Sub MQ'!$A$1:$W$53,12,FALSE)</f>
        <v>104131260</v>
      </c>
      <c r="T15" s="36">
        <f>VLOOKUP(A15,'Metric Reports Pub-Sub MQ'!$A$1:$W$53,13,FALSE)</f>
        <v>4318</v>
      </c>
      <c r="U15" s="36">
        <f>VLOOKUP(A15,'Metric Reports Pub-Sub MQ'!$A$1:$W$53,14,FALSE)</f>
        <v>6774</v>
      </c>
      <c r="V15" s="36">
        <f>VLOOKUP(A15,'Metric Reports Pub-Sub MQ'!$A$1:$W$53,15,FALSE)</f>
        <v>104131260</v>
      </c>
      <c r="W15" s="38">
        <f>VLOOKUP(A15,'Metric Reports Pub-Sub MQ'!$A$1:$W$53,17,FALSE)</f>
        <v>484.44893999999999</v>
      </c>
      <c r="X15" s="38">
        <f>VLOOKUP(A15,'Metric Reports Pub-Sub MQ'!$A$1:$W$53,18,FALSE)</f>
        <v>22.377313999999998</v>
      </c>
      <c r="Y15" s="38">
        <f>VLOOKUP(A15,'Metric Reports Pub-Sub MQ'!$A$1:$W$53,19,FALSE)</f>
        <v>15.093239000000001</v>
      </c>
      <c r="Z15" s="38">
        <f>VLOOKUP(A15,'Metric Reports Pub-Sub MQ'!$A$1:$W$53,20,FALSE)</f>
        <v>568.61206000000004</v>
      </c>
      <c r="AB15" s="38">
        <f>(W15/G15)*100</f>
        <v>95.365134103908403</v>
      </c>
      <c r="AC15" s="38">
        <f>(X15/G15)*100</f>
        <v>4.4050370932698639</v>
      </c>
      <c r="AD15" s="40">
        <f>((B15+1)*$B$6) + (Z15*(E15/128)*$B$7)</f>
        <v>9.330591609375001E-3</v>
      </c>
      <c r="AE15" s="40">
        <f>(P15*$B$2)+(S15*$B$3)</f>
        <v>1.04738134E-2</v>
      </c>
      <c r="AF15" s="40">
        <f>(T15*$B$4)+(V15*$B$5)</f>
        <v>1.7272000000000001E-3</v>
      </c>
      <c r="AG15" s="41"/>
    </row>
    <row r="16" spans="1:33" x14ac:dyDescent="0.2">
      <c r="A16" s="4" t="s">
        <v>58</v>
      </c>
      <c r="B16" s="2">
        <v>20</v>
      </c>
      <c r="C16" s="2">
        <v>4</v>
      </c>
      <c r="D16" s="2">
        <v>2</v>
      </c>
      <c r="E16" s="2">
        <v>1000</v>
      </c>
      <c r="G16" s="2">
        <f>VLOOKUP(A16,'Metric Reports Pub-Sub MQ'!$A$1:$W$53,16,FALSE)</f>
        <v>1872.3590999999999</v>
      </c>
      <c r="H16" s="11">
        <f t="shared" ref="H16:H18" si="0">G16/B16</f>
        <v>93.617954999999995</v>
      </c>
      <c r="I16" s="15">
        <f t="shared" ref="I16:I18" si="1">H16/$B$1</f>
        <v>9.3617954999999989E-3</v>
      </c>
      <c r="J16" s="11">
        <f>SUM(AD16:AF16)</f>
        <v>6.8442723050000015E-2</v>
      </c>
      <c r="K16" s="18">
        <f t="shared" ref="K16:K18" si="2">J16/$B$1</f>
        <v>6.8442723050000013E-6</v>
      </c>
      <c r="L16" s="18">
        <f t="shared" ref="L16:L18" si="3">AD16 / $B$1</f>
        <v>3.2877206250000005E-6</v>
      </c>
      <c r="M16" s="18">
        <f t="shared" ref="M16:M18" si="4">(AE16+AF16)/$B$1</f>
        <v>3.55655168E-6</v>
      </c>
      <c r="N16" s="18">
        <f t="shared" ref="N16:N18" si="5">Z16/$B$1/B16</f>
        <v>1.001844E-2</v>
      </c>
      <c r="O16" s="1"/>
      <c r="P16" s="2">
        <f t="shared" ref="P16:P18" si="6">_xlfn.CEILING.MATH((S16/Q16)/64000) * Q16</f>
        <v>4866</v>
      </c>
      <c r="Q16" s="2">
        <f>VLOOKUP(A16,'Metric Reports Pub-Sub MQ'!$A$1:$W$53,10,FALSE)</f>
        <v>4866</v>
      </c>
      <c r="R16" s="2">
        <f>VLOOKUP(A16,'Metric Reports Pub-Sub MQ'!$A$1:$W$53,11,FALSE)</f>
        <v>44257</v>
      </c>
      <c r="S16" s="2">
        <f>VLOOKUP(A16,'Metric Reports Pub-Sub MQ'!$A$1:$W$53,12,FALSE)</f>
        <v>294023520</v>
      </c>
      <c r="T16" s="2">
        <f>VLOOKUP(A16,'Metric Reports Pub-Sub MQ'!$A$1:$W$53,13,FALSE)</f>
        <v>16676</v>
      </c>
      <c r="U16" s="2">
        <f>VLOOKUP(A16,'Metric Reports Pub-Sub MQ'!$A$1:$W$53,14,FALSE)</f>
        <v>44257</v>
      </c>
      <c r="V16" s="2">
        <f>VLOOKUP(A16,'Metric Reports Pub-Sub MQ'!$A$1:$W$53,15,FALSE)</f>
        <v>294023550</v>
      </c>
      <c r="W16" s="11">
        <f>VLOOKUP(A16,'Metric Reports Pub-Sub MQ'!$A$1:$W$53,17,FALSE)</f>
        <v>1818.1105</v>
      </c>
      <c r="X16" s="11">
        <f>VLOOKUP(A16,'Metric Reports Pub-Sub MQ'!$A$1:$W$53,18,FALSE)</f>
        <v>49.045720000000003</v>
      </c>
      <c r="Y16" s="11">
        <f>VLOOKUP(A16,'Metric Reports Pub-Sub MQ'!$A$1:$W$53,19,FALSE)</f>
        <v>31.775258999999998</v>
      </c>
      <c r="Z16" s="11">
        <f>VLOOKUP(A16,'Metric Reports Pub-Sub MQ'!$A$1:$W$53,20,FALSE)</f>
        <v>2003.6880000000001</v>
      </c>
      <c r="AB16" s="11">
        <f>(W16/G16)*100</f>
        <v>97.102660488578294</v>
      </c>
      <c r="AC16" s="11">
        <f>(X16/G16)*100</f>
        <v>2.6194611920330884</v>
      </c>
      <c r="AD16" s="18">
        <f>((B16+1)*$B$6) + (Z16*(E16/128)*$B$7)</f>
        <v>3.2877206250000006E-2</v>
      </c>
      <c r="AE16" s="18">
        <f>(P16*$B$2)+(S16*$B$3)</f>
        <v>2.8895116800000002E-2</v>
      </c>
      <c r="AF16" s="18">
        <f>(T16*$B$4)+(V16*$B$5)</f>
        <v>6.6704000000000008E-3</v>
      </c>
    </row>
    <row r="17" spans="1:33" x14ac:dyDescent="0.2">
      <c r="A17" s="4" t="s">
        <v>59</v>
      </c>
      <c r="B17" s="2">
        <v>42</v>
      </c>
      <c r="C17" s="2">
        <v>6</v>
      </c>
      <c r="D17" s="2">
        <v>2</v>
      </c>
      <c r="E17" s="2">
        <v>1000</v>
      </c>
      <c r="G17" s="2">
        <f>VLOOKUP(A17,'Metric Reports Pub-Sub MQ'!$A$1:$W$53,16,FALSE)</f>
        <v>4456.3193000000001</v>
      </c>
      <c r="H17" s="11">
        <f t="shared" si="0"/>
        <v>106.10284047619048</v>
      </c>
      <c r="I17" s="15">
        <f t="shared" si="1"/>
        <v>1.0610284047619049E-2</v>
      </c>
      <c r="J17" s="11">
        <f>SUM(AD17:AF17)</f>
        <v>0.17304661540625002</v>
      </c>
      <c r="K17" s="18">
        <f t="shared" si="2"/>
        <v>1.7304661540625003E-5</v>
      </c>
      <c r="L17" s="18">
        <f t="shared" si="3"/>
        <v>7.7044386406250018E-6</v>
      </c>
      <c r="M17" s="18">
        <f t="shared" si="4"/>
        <v>9.6002228999999996E-6</v>
      </c>
      <c r="N17" s="18">
        <f t="shared" si="5"/>
        <v>1.1179796666666667E-2</v>
      </c>
      <c r="O17" s="1"/>
      <c r="P17" s="2">
        <f t="shared" si="6"/>
        <v>21000</v>
      </c>
      <c r="Q17" s="2">
        <f>VLOOKUP(A17,'Metric Reports Pub-Sub MQ'!$A$1:$W$53,10,FALSE)</f>
        <v>21000</v>
      </c>
      <c r="R17" s="2">
        <f>VLOOKUP(A17,'Metric Reports Pub-Sub MQ'!$A$1:$W$53,11,FALSE)</f>
        <v>191780</v>
      </c>
      <c r="S17" s="2">
        <f>VLOOKUP(A17,'Metric Reports Pub-Sub MQ'!$A$1:$W$53,12,FALSE)</f>
        <v>767158100</v>
      </c>
      <c r="T17" s="2">
        <f>VLOOKUP(A17,'Metric Reports Pub-Sub MQ'!$A$1:$W$53,13,FALSE)</f>
        <v>41145</v>
      </c>
      <c r="U17" s="2">
        <f>VLOOKUP(A17,'Metric Reports Pub-Sub MQ'!$A$1:$W$53,14,FALSE)</f>
        <v>191802</v>
      </c>
      <c r="V17" s="2">
        <f>VLOOKUP(A17,'Metric Reports Pub-Sub MQ'!$A$1:$W$53,15,FALSE)</f>
        <v>767356700</v>
      </c>
      <c r="W17" s="11">
        <f>VLOOKUP(A17,'Metric Reports Pub-Sub MQ'!$A$1:$W$53,17,FALSE)</f>
        <v>4318.8856999999998</v>
      </c>
      <c r="X17" s="11">
        <f>VLOOKUP(A17,'Metric Reports Pub-Sub MQ'!$A$1:$W$53,18,FALSE)</f>
        <v>121.10119</v>
      </c>
      <c r="Y17" s="11">
        <f>VLOOKUP(A17,'Metric Reports Pub-Sub MQ'!$A$1:$W$53,19,FALSE)</f>
        <v>74.090519999999998</v>
      </c>
      <c r="Z17" s="11">
        <f>VLOOKUP(A17,'Metric Reports Pub-Sub MQ'!$A$1:$W$53,20,FALSE)</f>
        <v>4695.5146000000004</v>
      </c>
      <c r="AB17" s="11">
        <f>(W17/G17)*100</f>
        <v>96.915984005006095</v>
      </c>
      <c r="AC17" s="11">
        <f>(X17/G17)*100</f>
        <v>2.7175160002560856</v>
      </c>
      <c r="AD17" s="18">
        <f>((B17+1)*$B$6) + (Z17*(E17/128)*$B$7)</f>
        <v>7.7044386406250012E-2</v>
      </c>
      <c r="AE17" s="18">
        <f>(P17*$B$2)+(S17*$B$3)</f>
        <v>7.9544228999999994E-2</v>
      </c>
      <c r="AF17" s="18">
        <f>(T17*$B$4)+(V17*$B$5)</f>
        <v>1.6458E-2</v>
      </c>
    </row>
    <row r="18" spans="1:33" x14ac:dyDescent="0.2">
      <c r="A18" s="4" t="s">
        <v>110</v>
      </c>
      <c r="B18" s="2">
        <v>62</v>
      </c>
      <c r="C18" s="2">
        <v>2</v>
      </c>
      <c r="D18" s="2">
        <v>5</v>
      </c>
      <c r="E18" s="2">
        <v>1000</v>
      </c>
      <c r="G18" s="2">
        <f>VLOOKUP(A18,'Metric Reports Pub-Sub MQ'!$A$1:$W$53,16,FALSE)</f>
        <v>7921.634</v>
      </c>
      <c r="H18" s="11">
        <f t="shared" si="0"/>
        <v>127.76829032258064</v>
      </c>
      <c r="I18" s="15">
        <f t="shared" si="1"/>
        <v>1.2776829032258064E-2</v>
      </c>
      <c r="J18" s="11">
        <f>SUM(AD18:AF18)</f>
        <v>0.29631401268750002</v>
      </c>
      <c r="K18" s="18">
        <f t="shared" si="2"/>
        <v>2.9631401268750003E-5</v>
      </c>
      <c r="L18" s="18">
        <f t="shared" si="3"/>
        <v>1.3702732968750001E-5</v>
      </c>
      <c r="M18" s="18">
        <f t="shared" si="4"/>
        <v>1.5928668299999999E-5</v>
      </c>
      <c r="N18" s="18">
        <f t="shared" si="5"/>
        <v>1.3469958064516129E-2</v>
      </c>
      <c r="O18" s="1"/>
      <c r="P18" s="2">
        <f t="shared" si="6"/>
        <v>40320</v>
      </c>
      <c r="Q18" s="2">
        <f>VLOOKUP(A18,'Metric Reports Pub-Sub MQ'!$A$1:$W$53,10,FALSE)</f>
        <v>40320</v>
      </c>
      <c r="R18" s="2">
        <f>VLOOKUP(A18,'Metric Reports Pub-Sub MQ'!$A$1:$W$53,11,FALSE)</f>
        <v>365025</v>
      </c>
      <c r="S18" s="2">
        <f>VLOOKUP(A18,'Metric Reports Pub-Sub MQ'!$A$1:$W$53,12,FALSE)</f>
        <v>1201678700</v>
      </c>
      <c r="T18" s="2">
        <f>VLOOKUP(A18,'Metric Reports Pub-Sub MQ'!$A$1:$W$53,13,FALSE)</f>
        <v>77439</v>
      </c>
      <c r="U18" s="2">
        <f>VLOOKUP(A18,'Metric Reports Pub-Sub MQ'!$A$1:$W$53,14,FALSE)</f>
        <v>365146</v>
      </c>
      <c r="V18" s="2">
        <f>VLOOKUP(A18,'Metric Reports Pub-Sub MQ'!$A$1:$W$53,15,FALSE)</f>
        <v>1206271900</v>
      </c>
      <c r="W18" s="11">
        <f>VLOOKUP(A18,'Metric Reports Pub-Sub MQ'!$A$1:$W$53,17,FALSE)</f>
        <v>7701.0640000000003</v>
      </c>
      <c r="X18" s="11">
        <f>VLOOKUP(A18,'Metric Reports Pub-Sub MQ'!$A$1:$W$53,18,FALSE)</f>
        <v>194.17179999999999</v>
      </c>
      <c r="Y18" s="11">
        <f>VLOOKUP(A18,'Metric Reports Pub-Sub MQ'!$A$1:$W$53,19,FALSE)</f>
        <v>118.97783</v>
      </c>
      <c r="Z18" s="11">
        <f>VLOOKUP(A18,'Metric Reports Pub-Sub MQ'!$A$1:$W$53,20,FALSE)</f>
        <v>8351.3739999999998</v>
      </c>
      <c r="AB18" s="11">
        <f>(W18/G18)*100</f>
        <v>97.215599710867735</v>
      </c>
      <c r="AC18" s="11">
        <f>(X18/G18)*100</f>
        <v>2.4511584352420219</v>
      </c>
      <c r="AD18" s="18">
        <f>((B18+1)*$B$6) + (Z18*(E18/128)*$B$7)</f>
        <v>0.1370273296875</v>
      </c>
      <c r="AE18" s="18">
        <f>(P18*$B$2)+(S18*$B$3)</f>
        <v>0.12831108299999999</v>
      </c>
      <c r="AF18" s="18">
        <f>(T18*$B$4)+(V18*$B$5)</f>
        <v>3.0975600000000002E-2</v>
      </c>
    </row>
    <row r="19" spans="1:33" x14ac:dyDescent="0.2">
      <c r="H19" s="9"/>
      <c r="I19" s="13"/>
      <c r="J19" s="9"/>
      <c r="K19" s="16"/>
      <c r="L19" s="16"/>
      <c r="M19" s="16"/>
      <c r="N19" s="16"/>
      <c r="O19" s="1"/>
      <c r="W19" s="9"/>
      <c r="AB19" s="9"/>
      <c r="AD19" s="16"/>
    </row>
    <row r="20" spans="1:33" x14ac:dyDescent="0.2">
      <c r="B20" s="32" t="s">
        <v>55</v>
      </c>
      <c r="C20" s="32"/>
      <c r="D20" s="32"/>
      <c r="E20" s="32"/>
      <c r="H20" s="9"/>
      <c r="I20" s="13"/>
      <c r="J20" s="9"/>
      <c r="K20" s="16"/>
      <c r="L20" s="16"/>
      <c r="M20" s="16"/>
      <c r="N20" s="16"/>
      <c r="O20" s="1"/>
      <c r="W20" s="9"/>
      <c r="AB20" s="9"/>
      <c r="AD20" s="16"/>
    </row>
    <row r="21" spans="1:33" x14ac:dyDescent="0.2">
      <c r="B21" s="5" t="s">
        <v>0</v>
      </c>
      <c r="C21" s="5" t="s">
        <v>3</v>
      </c>
      <c r="D21" s="5" t="s">
        <v>2</v>
      </c>
      <c r="E21" s="5" t="s">
        <v>12</v>
      </c>
      <c r="H21" s="9"/>
      <c r="I21" s="13"/>
      <c r="J21" s="9"/>
      <c r="K21" s="16"/>
      <c r="L21" s="16"/>
      <c r="M21" s="16"/>
      <c r="N21" s="16"/>
      <c r="O21" s="1"/>
      <c r="W21" s="9"/>
      <c r="AB21" s="9"/>
      <c r="AD21" s="16"/>
    </row>
    <row r="22" spans="1:33" s="37" customFormat="1" x14ac:dyDescent="0.2">
      <c r="A22" s="35" t="s">
        <v>111</v>
      </c>
      <c r="B22" s="36">
        <v>8</v>
      </c>
      <c r="C22" s="36">
        <v>8</v>
      </c>
      <c r="D22" s="36">
        <v>1</v>
      </c>
      <c r="E22" s="36">
        <v>1500</v>
      </c>
      <c r="G22" s="36">
        <f>VLOOKUP(A22,'Metric Reports Pub-Sub MQ'!$A$1:$W$53,16,FALSE)</f>
        <v>734.66956000000005</v>
      </c>
      <c r="H22" s="38">
        <f t="shared" ref="H22:H25" si="7">G22/B22</f>
        <v>91.833695000000006</v>
      </c>
      <c r="I22" s="39">
        <f t="shared" ref="I22:I25" si="8">H22/$B$1</f>
        <v>9.1833695E-3</v>
      </c>
      <c r="J22" s="38">
        <f>SUM(AD22:AF22)</f>
        <v>5.8305441154687492E-2</v>
      </c>
      <c r="K22" s="40">
        <f t="shared" ref="K22:K25" si="9">J22/$B$1</f>
        <v>5.8305441154687493E-6</v>
      </c>
      <c r="L22" s="40">
        <f t="shared" ref="L22:L25" si="10">AD22 / $B$1</f>
        <v>2.0810570554687502E-6</v>
      </c>
      <c r="M22" s="40">
        <f>(AE22+AF22)/$B$1</f>
        <v>3.7494870599999995E-6</v>
      </c>
      <c r="N22" s="40">
        <f t="shared" ref="N22:N25" si="11">Z22/$B$1/B22</f>
        <v>1.056953425E-2</v>
      </c>
      <c r="P22" s="36">
        <f t="shared" ref="P22:P25" si="12">_xlfn.CEILING.MATH((S22/Q22)/64000) * Q22</f>
        <v>6129</v>
      </c>
      <c r="Q22" s="36">
        <f>VLOOKUP(A22,'Metric Reports Pub-Sub MQ'!$A$1:$W$53,10,FALSE)</f>
        <v>2043</v>
      </c>
      <c r="R22" s="36">
        <f>VLOOKUP(A22,'Metric Reports Pub-Sub MQ'!$A$1:$W$53,11,FALSE)</f>
        <v>7867</v>
      </c>
      <c r="S22" s="36">
        <f>VLOOKUP(A22,'Metric Reports Pub-Sub MQ'!$A$1:$W$53,12,FALSE)</f>
        <v>362186340</v>
      </c>
      <c r="T22" s="36">
        <f>VLOOKUP(A22,'Metric Reports Pub-Sub MQ'!$A$1:$W$53,13,FALSE)</f>
        <v>4584</v>
      </c>
      <c r="U22" s="36">
        <f>VLOOKUP(A22,'Metric Reports Pub-Sub MQ'!$A$1:$W$53,14,FALSE)</f>
        <v>7867</v>
      </c>
      <c r="V22" s="36">
        <f>VLOOKUP(A22,'Metric Reports Pub-Sub MQ'!$A$1:$W$53,15,FALSE)</f>
        <v>362186180</v>
      </c>
      <c r="W22" s="38">
        <f>VLOOKUP(A22,'Metric Reports Pub-Sub MQ'!$A$1:$W$53,17,FALSE)</f>
        <v>668.5136</v>
      </c>
      <c r="X22" s="38">
        <f>VLOOKUP(A22,'Metric Reports Pub-Sub MQ'!$A$1:$W$53,18,FALSE)</f>
        <v>65.038650000000004</v>
      </c>
      <c r="Y22" s="38">
        <f>VLOOKUP(A22,'Metric Reports Pub-Sub MQ'!$A$1:$W$53,19,FALSE)</f>
        <v>34.673862</v>
      </c>
      <c r="Z22" s="38">
        <f>VLOOKUP(A22,'Metric Reports Pub-Sub MQ'!$A$1:$W$53,20,FALSE)</f>
        <v>845.56273999999996</v>
      </c>
      <c r="AB22" s="38">
        <f>(W22/G22)*100</f>
        <v>90.99514072694123</v>
      </c>
      <c r="AC22" s="38">
        <f>(X22/G22)*100</f>
        <v>8.8527759337136551</v>
      </c>
      <c r="AD22" s="40">
        <f>((B22+1)*$B$6) + (Z22*(E22/128)*$B$7)</f>
        <v>2.0810570554687501E-2</v>
      </c>
      <c r="AE22" s="40">
        <f>(P22*$B$2)+(S22*$B$3)</f>
        <v>3.5661270599999996E-2</v>
      </c>
      <c r="AF22" s="40">
        <f>(T22*$B$4)+(V22*$B$5)</f>
        <v>1.8336000000000001E-3</v>
      </c>
      <c r="AG22" s="41"/>
    </row>
    <row r="23" spans="1:33" s="37" customFormat="1" x14ac:dyDescent="0.2">
      <c r="A23" s="35" t="s">
        <v>60</v>
      </c>
      <c r="B23" s="36">
        <v>20</v>
      </c>
      <c r="C23" s="36">
        <v>4</v>
      </c>
      <c r="D23" s="36">
        <v>2</v>
      </c>
      <c r="E23" s="36">
        <v>1500</v>
      </c>
      <c r="G23" s="36">
        <f>VLOOKUP(A23,'Metric Reports Pub-Sub MQ'!$A$1:$W$53,16,FALSE)</f>
        <v>1911.2811999999999</v>
      </c>
      <c r="H23" s="38">
        <f t="shared" si="7"/>
        <v>95.564059999999998</v>
      </c>
      <c r="I23" s="39">
        <f t="shared" si="8"/>
        <v>9.5564059999999999E-3</v>
      </c>
      <c r="J23" s="38">
        <f>SUM(AD23:AF23)</f>
        <v>0.11994688329687499</v>
      </c>
      <c r="K23" s="40">
        <f t="shared" si="9"/>
        <v>1.1994688329687499E-5</v>
      </c>
      <c r="L23" s="40">
        <f t="shared" si="10"/>
        <v>5.1337904296875E-6</v>
      </c>
      <c r="M23" s="40">
        <f t="shared" ref="M23:M25" si="13">(AE23+AF23)/$B$1</f>
        <v>6.8608979000000002E-6</v>
      </c>
      <c r="N23" s="40">
        <f t="shared" si="11"/>
        <v>1.0429704999999999E-2</v>
      </c>
      <c r="P23" s="36">
        <f t="shared" si="12"/>
        <v>10906</v>
      </c>
      <c r="Q23" s="36">
        <f>VLOOKUP(A23,'Metric Reports Pub-Sub MQ'!$A$1:$W$53,10,FALSE)</f>
        <v>5453</v>
      </c>
      <c r="R23" s="36">
        <f>VLOOKUP(A23,'Metric Reports Pub-Sub MQ'!$A$1:$W$53,11,FALSE)</f>
        <v>43719</v>
      </c>
      <c r="S23" s="36">
        <f>VLOOKUP(A23,'Metric Reports Pub-Sub MQ'!$A$1:$W$53,12,FALSE)</f>
        <v>628973100</v>
      </c>
      <c r="T23" s="36">
        <f>VLOOKUP(A23,'Metric Reports Pub-Sub MQ'!$A$1:$W$53,13,FALSE)</f>
        <v>16371</v>
      </c>
      <c r="U23" s="36">
        <f>VLOOKUP(A23,'Metric Reports Pub-Sub MQ'!$A$1:$W$53,14,FALSE)</f>
        <v>43719</v>
      </c>
      <c r="V23" s="36">
        <f>VLOOKUP(A23,'Metric Reports Pub-Sub MQ'!$A$1:$W$53,15,FALSE)</f>
        <v>629153200</v>
      </c>
      <c r="W23" s="38">
        <f>VLOOKUP(A23,'Metric Reports Pub-Sub MQ'!$A$1:$W$53,17,FALSE)</f>
        <v>1789.8130000000001</v>
      </c>
      <c r="X23" s="38">
        <f>VLOOKUP(A23,'Metric Reports Pub-Sub MQ'!$A$1:$W$53,18,FALSE)</f>
        <v>116.86526000000001</v>
      </c>
      <c r="Y23" s="38">
        <f>VLOOKUP(A23,'Metric Reports Pub-Sub MQ'!$A$1:$W$53,19,FALSE)</f>
        <v>55.123460000000001</v>
      </c>
      <c r="Z23" s="38">
        <f>VLOOKUP(A23,'Metric Reports Pub-Sub MQ'!$A$1:$W$53,20,FALSE)</f>
        <v>2085.9409999999998</v>
      </c>
      <c r="AB23" s="38">
        <f>(W23/G23)*100</f>
        <v>93.644671438195502</v>
      </c>
      <c r="AC23" s="38">
        <f>(X23/G23)*100</f>
        <v>6.1144984840535246</v>
      </c>
      <c r="AD23" s="40">
        <f>((B23+1)*$B$6) + (Z23*(E23/128)*$B$7)</f>
        <v>5.1337904296875E-2</v>
      </c>
      <c r="AE23" s="40">
        <f>(P23*$B$2)+(S23*$B$3)</f>
        <v>6.2060578999999998E-2</v>
      </c>
      <c r="AF23" s="40">
        <f>(T23*$B$4)+(V23*$B$5)</f>
        <v>6.5484000000000002E-3</v>
      </c>
      <c r="AG23" s="41"/>
    </row>
    <row r="24" spans="1:33" x14ac:dyDescent="0.2">
      <c r="A24" s="4" t="s">
        <v>61</v>
      </c>
      <c r="B24" s="2">
        <v>42</v>
      </c>
      <c r="C24" s="2">
        <v>6</v>
      </c>
      <c r="D24" s="2">
        <v>2</v>
      </c>
      <c r="E24" s="2">
        <v>1500</v>
      </c>
      <c r="G24" s="2">
        <f>VLOOKUP(A24,'Metric Reports Pub-Sub MQ'!$A$1:$W$53,16,FALSE)</f>
        <v>6608.6655000000001</v>
      </c>
      <c r="H24" s="11">
        <f t="shared" si="7"/>
        <v>157.34917857142858</v>
      </c>
      <c r="I24" s="15">
        <f t="shared" si="8"/>
        <v>1.5734917857142858E-2</v>
      </c>
      <c r="J24" s="11">
        <f>SUM(AD24:AF24)</f>
        <v>0.31581985487500003</v>
      </c>
      <c r="K24" s="18">
        <f t="shared" si="9"/>
        <v>3.1581985487500003E-5</v>
      </c>
      <c r="L24" s="18">
        <f t="shared" si="10"/>
        <v>1.7457171687500001E-5</v>
      </c>
      <c r="M24" s="18">
        <f t="shared" si="13"/>
        <v>1.4124813799999999E-5</v>
      </c>
      <c r="N24" s="18">
        <f t="shared" si="11"/>
        <v>1.6888948571428572E-2</v>
      </c>
      <c r="O24" s="1"/>
      <c r="P24" s="2">
        <f t="shared" si="12"/>
        <v>24137</v>
      </c>
      <c r="Q24" s="2">
        <f>VLOOKUP(A24,'Metric Reports Pub-Sub MQ'!$A$1:$W$53,10,FALSE)</f>
        <v>24137</v>
      </c>
      <c r="R24" s="2">
        <f>VLOOKUP(A24,'Metric Reports Pub-Sub MQ'!$A$1:$W$53,11,FALSE)</f>
        <v>195070</v>
      </c>
      <c r="S24" s="2">
        <f>VLOOKUP(A24,'Metric Reports Pub-Sub MQ'!$A$1:$W$53,12,FALSE)</f>
        <v>1251138200</v>
      </c>
      <c r="T24" s="2">
        <f>VLOOKUP(A24,'Metric Reports Pub-Sub MQ'!$A$1:$W$53,13,FALSE)</f>
        <v>41443</v>
      </c>
      <c r="U24" s="2">
        <f>VLOOKUP(A24,'Metric Reports Pub-Sub MQ'!$A$1:$W$53,14,FALSE)</f>
        <v>195070</v>
      </c>
      <c r="V24" s="2">
        <f>VLOOKUP(A24,'Metric Reports Pub-Sub MQ'!$A$1:$W$53,15,FALSE)</f>
        <v>1251138200</v>
      </c>
      <c r="W24" s="11">
        <f>VLOOKUP(A24,'Metric Reports Pub-Sub MQ'!$A$1:$W$53,17,FALSE)</f>
        <v>6376.3760000000002</v>
      </c>
      <c r="X24" s="11">
        <f>VLOOKUP(A24,'Metric Reports Pub-Sub MQ'!$A$1:$W$53,18,FALSE)</f>
        <v>216.65522999999999</v>
      </c>
      <c r="Y24" s="11">
        <f>VLOOKUP(A24,'Metric Reports Pub-Sub MQ'!$A$1:$W$53,19,FALSE)</f>
        <v>88.876350000000002</v>
      </c>
      <c r="Z24" s="11">
        <f>VLOOKUP(A24,'Metric Reports Pub-Sub MQ'!$A$1:$W$53,20,FALSE)</f>
        <v>7093.3584000000001</v>
      </c>
      <c r="AB24" s="11">
        <f>(W24/G24)*100</f>
        <v>96.485077055269329</v>
      </c>
      <c r="AC24" s="11">
        <f>(X24/G24)*100</f>
        <v>3.2783506745802162</v>
      </c>
      <c r="AD24" s="18">
        <f>((B24+1)*$B$6) + (Z24*(E24/128)*$B$7)</f>
        <v>0.174571716875</v>
      </c>
      <c r="AE24" s="18">
        <f>(P24*$B$2)+(S24*$B$3)</f>
        <v>0.124670938</v>
      </c>
      <c r="AF24" s="18">
        <f>(T24*$B$4)+(V24*$B$5)</f>
        <v>1.65772E-2</v>
      </c>
    </row>
    <row r="25" spans="1:33" x14ac:dyDescent="0.2">
      <c r="A25" s="4" t="s">
        <v>112</v>
      </c>
      <c r="B25" s="2">
        <v>62</v>
      </c>
      <c r="C25" s="2">
        <v>2</v>
      </c>
      <c r="D25" s="2">
        <v>5</v>
      </c>
      <c r="E25" s="2">
        <v>1500</v>
      </c>
      <c r="G25" s="2">
        <f>VLOOKUP(A25,'Metric Reports Pub-Sub MQ'!$A$1:$W$53,16,FALSE)</f>
        <v>7768.1143000000002</v>
      </c>
      <c r="H25" s="11">
        <f t="shared" si="7"/>
        <v>125.29216612903227</v>
      </c>
      <c r="I25" s="15">
        <f t="shared" si="8"/>
        <v>1.2529216612903227E-2</v>
      </c>
      <c r="J25" s="11">
        <f>SUM(AD25:AF25)</f>
        <v>0.43246508881250001</v>
      </c>
      <c r="K25" s="18">
        <f t="shared" si="9"/>
        <v>4.3246508881250004E-5</v>
      </c>
      <c r="L25" s="18">
        <f t="shared" si="10"/>
        <v>2.0218698281250004E-5</v>
      </c>
      <c r="M25" s="18">
        <f t="shared" si="13"/>
        <v>2.30278106E-5</v>
      </c>
      <c r="N25" s="18">
        <f t="shared" si="11"/>
        <v>1.3250548387096774E-2</v>
      </c>
      <c r="O25" s="1"/>
      <c r="P25" s="2">
        <f t="shared" si="12"/>
        <v>47219</v>
      </c>
      <c r="Q25" s="2">
        <f>VLOOKUP(A25,'Metric Reports Pub-Sub MQ'!$A$1:$W$53,10,FALSE)</f>
        <v>47219</v>
      </c>
      <c r="R25" s="2">
        <f>VLOOKUP(A25,'Metric Reports Pub-Sub MQ'!$A$1:$W$53,11,FALSE)</f>
        <v>423057</v>
      </c>
      <c r="S25" s="2">
        <f>VLOOKUP(A25,'Metric Reports Pub-Sub MQ'!$A$1:$W$53,12,FALSE)</f>
        <v>1963633400</v>
      </c>
      <c r="T25" s="2">
        <f>VLOOKUP(A25,'Metric Reports Pub-Sub MQ'!$A$1:$W$53,13,FALSE)</f>
        <v>74854</v>
      </c>
      <c r="U25" s="2">
        <f>VLOOKUP(A25,'Metric Reports Pub-Sub MQ'!$A$1:$W$53,14,FALSE)</f>
        <v>423113</v>
      </c>
      <c r="V25" s="2">
        <f>VLOOKUP(A25,'Metric Reports Pub-Sub MQ'!$A$1:$W$53,15,FALSE)</f>
        <v>1964090000</v>
      </c>
      <c r="W25" s="11">
        <f>VLOOKUP(A25,'Metric Reports Pub-Sub MQ'!$A$1:$W$53,17,FALSE)</f>
        <v>7414.4170000000004</v>
      </c>
      <c r="X25" s="11">
        <f>VLOOKUP(A25,'Metric Reports Pub-Sub MQ'!$A$1:$W$53,18,FALSE)</f>
        <v>326.58667000000003</v>
      </c>
      <c r="Y25" s="11">
        <f>VLOOKUP(A25,'Metric Reports Pub-Sub MQ'!$A$1:$W$53,19,FALSE)</f>
        <v>134.34119000000001</v>
      </c>
      <c r="Z25" s="11">
        <f>VLOOKUP(A25,'Metric Reports Pub-Sub MQ'!$A$1:$W$53,20,FALSE)</f>
        <v>8215.34</v>
      </c>
      <c r="AB25" s="11">
        <f>(W25/G25)*100</f>
        <v>95.446806183065561</v>
      </c>
      <c r="AC25" s="11">
        <f>(X25/G25)*100</f>
        <v>4.2041949614464347</v>
      </c>
      <c r="AD25" s="18">
        <f>((B25+1)*$B$6) + (Z25*(E25/128)*$B$7)</f>
        <v>0.20218698281250003</v>
      </c>
      <c r="AE25" s="18">
        <f>(P25*$B$2)+(S25*$B$3)</f>
        <v>0.200336506</v>
      </c>
      <c r="AF25" s="18">
        <f>(T25*$B$4)+(V25*$B$5)</f>
        <v>2.9941600000000002E-2</v>
      </c>
    </row>
    <row r="26" spans="1:33" x14ac:dyDescent="0.2">
      <c r="H26" s="9"/>
      <c r="I26" s="13"/>
      <c r="J26" s="9"/>
      <c r="K26" s="16"/>
      <c r="L26" s="16"/>
      <c r="M26" s="16"/>
      <c r="N26" s="16"/>
      <c r="O26" s="1"/>
      <c r="W26" s="9"/>
      <c r="AB26" s="9"/>
      <c r="AD26" s="16"/>
    </row>
    <row r="27" spans="1:33" x14ac:dyDescent="0.2">
      <c r="B27" s="33" t="s">
        <v>56</v>
      </c>
      <c r="C27" s="33"/>
      <c r="D27" s="33"/>
      <c r="E27" s="33"/>
      <c r="H27" s="9"/>
      <c r="I27" s="13"/>
      <c r="J27" s="9"/>
      <c r="K27" s="16"/>
      <c r="L27" s="16"/>
      <c r="M27" s="16"/>
      <c r="N27" s="16"/>
      <c r="O27" s="1"/>
      <c r="W27" s="9"/>
      <c r="AB27" s="9"/>
      <c r="AD27" s="16"/>
    </row>
    <row r="28" spans="1:33" x14ac:dyDescent="0.2">
      <c r="B28" s="5" t="s">
        <v>0</v>
      </c>
      <c r="C28" s="5" t="s">
        <v>3</v>
      </c>
      <c r="D28" s="5" t="s">
        <v>2</v>
      </c>
      <c r="E28" s="5" t="s">
        <v>12</v>
      </c>
      <c r="H28" s="9"/>
      <c r="I28" s="13"/>
      <c r="J28" s="9"/>
      <c r="K28" s="16"/>
      <c r="L28" s="16"/>
      <c r="M28" s="16"/>
      <c r="N28" s="16"/>
      <c r="O28" s="1"/>
      <c r="W28" s="9"/>
      <c r="AB28" s="9"/>
      <c r="AD28" s="16"/>
    </row>
    <row r="29" spans="1:33" x14ac:dyDescent="0.2">
      <c r="A29" s="4" t="s">
        <v>113</v>
      </c>
      <c r="B29" s="2">
        <v>8</v>
      </c>
      <c r="C29" s="2">
        <v>8</v>
      </c>
      <c r="D29" s="2">
        <v>1</v>
      </c>
      <c r="E29" s="2">
        <v>2000</v>
      </c>
      <c r="G29" s="2">
        <f>VLOOKUP(A29,'Metric Reports Pub-Sub MQ'!$A$1:$W$53,16,FALSE)</f>
        <v>2044.2304999999999</v>
      </c>
      <c r="H29" s="11">
        <f t="shared" ref="H29:H32" si="14">G29/B29</f>
        <v>255.52881249999999</v>
      </c>
      <c r="I29" s="15">
        <f t="shared" ref="I29:I32" si="15">H29/$B$1</f>
        <v>2.5552881249999999E-2</v>
      </c>
      <c r="J29" s="11">
        <f>SUM(AD29:AF29)</f>
        <v>0.27544354131249998</v>
      </c>
      <c r="K29" s="18">
        <f t="shared" ref="K29:K32" si="16">J29/$B$1</f>
        <v>2.7544354131249999E-5</v>
      </c>
      <c r="L29" s="18">
        <f t="shared" ref="L29:L32" si="17">AD29 / $B$1</f>
        <v>7.596665531250001E-6</v>
      </c>
      <c r="M29" s="18">
        <f>(AE29+AF29)/$B$1</f>
        <v>1.9947688599999999E-5</v>
      </c>
      <c r="N29" s="18">
        <f t="shared" ref="N29:N32" si="18">Z29/$B$1/B29</f>
        <v>2.89389925E-2</v>
      </c>
      <c r="O29" s="1"/>
      <c r="P29" s="2">
        <f t="shared" ref="P29:P32" si="19">_xlfn.CEILING.MATH((S29/Q29)/64000) * Q29</f>
        <v>32190</v>
      </c>
      <c r="Q29" s="2">
        <f>VLOOKUP(A29,'Metric Reports Pub-Sub MQ'!$A$1:$W$53,10,FALSE)</f>
        <v>10730</v>
      </c>
      <c r="R29" s="2">
        <f>VLOOKUP(A29,'Metric Reports Pub-Sub MQ'!$A$1:$W$53,11,FALSE)</f>
        <v>18519</v>
      </c>
      <c r="S29" s="2">
        <f>VLOOKUP(A29,'Metric Reports Pub-Sub MQ'!$A$1:$W$53,12,FALSE)</f>
        <v>2006865400</v>
      </c>
      <c r="T29" s="2">
        <f>VLOOKUP(A29,'Metric Reports Pub-Sub MQ'!$A$1:$W$53,13,FALSE)</f>
        <v>6910</v>
      </c>
      <c r="U29" s="2">
        <f>VLOOKUP(A29,'Metric Reports Pub-Sub MQ'!$A$1:$W$53,14,FALSE)</f>
        <v>18519</v>
      </c>
      <c r="V29" s="2">
        <f>VLOOKUP(A29,'Metric Reports Pub-Sub MQ'!$A$1:$W$53,15,FALSE)</f>
        <v>2006865400</v>
      </c>
      <c r="W29" s="11">
        <f>VLOOKUP(A29,'Metric Reports Pub-Sub MQ'!$A$1:$W$53,17,FALSE)</f>
        <v>1821.6497999999999</v>
      </c>
      <c r="X29" s="11">
        <f>VLOOKUP(A29,'Metric Reports Pub-Sub MQ'!$A$1:$W$53,18,FALSE)</f>
        <v>221.60785000000001</v>
      </c>
      <c r="Y29" s="11">
        <f>VLOOKUP(A29,'Metric Reports Pub-Sub MQ'!$A$1:$W$53,19,FALSE)</f>
        <v>201.39532</v>
      </c>
      <c r="Z29" s="11">
        <f>VLOOKUP(A29,'Metric Reports Pub-Sub MQ'!$A$1:$W$53,20,FALSE)</f>
        <v>2315.1194</v>
      </c>
      <c r="AB29" s="11">
        <f>(W29/G29)*100</f>
        <v>89.11176112478509</v>
      </c>
      <c r="AC29" s="11">
        <f>(X29/G29)*100</f>
        <v>10.840648840725155</v>
      </c>
      <c r="AD29" s="18">
        <f>((B29+1)*$B$6) + (Z29*(E29/128)*$B$7)</f>
        <v>7.5966655312500006E-2</v>
      </c>
      <c r="AE29" s="18">
        <f>(P29*$B$2)+(S29*$B$3)</f>
        <v>0.196712886</v>
      </c>
      <c r="AF29" s="18">
        <f>(T29*$B$4)+(V29*$B$5)</f>
        <v>2.7640000000000004E-3</v>
      </c>
    </row>
    <row r="30" spans="1:33" x14ac:dyDescent="0.2">
      <c r="A30" s="4" t="s">
        <v>62</v>
      </c>
      <c r="B30" s="2">
        <v>20</v>
      </c>
      <c r="C30" s="2">
        <v>4</v>
      </c>
      <c r="D30" s="2">
        <v>2</v>
      </c>
      <c r="E30" s="2">
        <v>2000</v>
      </c>
      <c r="G30" s="2">
        <f>VLOOKUP(A30,'Metric Reports Pub-Sub MQ'!$A$1:$W$53,16,FALSE)</f>
        <v>3204.4863</v>
      </c>
      <c r="H30" s="11">
        <f t="shared" si="14"/>
        <v>160.22431499999999</v>
      </c>
      <c r="I30" s="15">
        <f t="shared" si="15"/>
        <v>1.60224315E-2</v>
      </c>
      <c r="J30" s="15">
        <f>SUM(AD30:AF30)</f>
        <v>0.34567764293749997</v>
      </c>
      <c r="K30" s="18">
        <f t="shared" si="16"/>
        <v>3.4567764293749996E-5</v>
      </c>
      <c r="L30" s="18">
        <f t="shared" si="17"/>
        <v>1.1863986093750002E-5</v>
      </c>
      <c r="M30" s="18">
        <f t="shared" ref="M30:M32" si="20">(AE30+AF30)/$B$1</f>
        <v>2.2703778200000001E-5</v>
      </c>
      <c r="N30" s="18">
        <f t="shared" si="18"/>
        <v>1.8077815000000001E-2</v>
      </c>
      <c r="O30" s="1"/>
      <c r="P30" s="2">
        <f t="shared" si="19"/>
        <v>44016</v>
      </c>
      <c r="Q30" s="2">
        <f>VLOOKUP(A30,'Metric Reports Pub-Sub MQ'!$A$1:$W$53,10,FALSE)</f>
        <v>11004</v>
      </c>
      <c r="R30" s="2">
        <f>VLOOKUP(A30,'Metric Reports Pub-Sub MQ'!$A$1:$W$53,11,FALSE)</f>
        <v>48773</v>
      </c>
      <c r="S30" s="2">
        <f>VLOOKUP(A30,'Metric Reports Pub-Sub MQ'!$A$1:$W$53,12,FALSE)</f>
        <v>2201219800</v>
      </c>
      <c r="T30" s="2">
        <f>VLOOKUP(A30,'Metric Reports Pub-Sub MQ'!$A$1:$W$53,13,FALSE)</f>
        <v>17300</v>
      </c>
      <c r="U30" s="2">
        <f>VLOOKUP(A30,'Metric Reports Pub-Sub MQ'!$A$1:$W$53,14,FALSE)</f>
        <v>48773</v>
      </c>
      <c r="V30" s="2">
        <f>VLOOKUP(A30,'Metric Reports Pub-Sub MQ'!$A$1:$W$53,15,FALSE)</f>
        <v>2201219800</v>
      </c>
      <c r="W30" s="11">
        <f>VLOOKUP(A30,'Metric Reports Pub-Sub MQ'!$A$1:$W$53,17,FALSE)</f>
        <v>2834.7184999999999</v>
      </c>
      <c r="X30" s="11">
        <f>VLOOKUP(A30,'Metric Reports Pub-Sub MQ'!$A$1:$W$53,18,FALSE)</f>
        <v>363.81</v>
      </c>
      <c r="Y30" s="11">
        <f>VLOOKUP(A30,'Metric Reports Pub-Sub MQ'!$A$1:$W$53,19,FALSE)</f>
        <v>165.90088</v>
      </c>
      <c r="Z30" s="11">
        <f>VLOOKUP(A30,'Metric Reports Pub-Sub MQ'!$A$1:$W$53,20,FALSE)</f>
        <v>3615.5630000000001</v>
      </c>
      <c r="AB30" s="11">
        <f>(W30/G30)*100</f>
        <v>88.46093366041228</v>
      </c>
      <c r="AC30" s="11">
        <f>(X30/G30)*100</f>
        <v>11.353145744452082</v>
      </c>
      <c r="AD30" s="18">
        <f>((B30+1)*$B$6) + (Z30*(E30/128)*$B$7)</f>
        <v>0.11863986093750001</v>
      </c>
      <c r="AE30" s="18">
        <f>(P30*$B$2)+(S30*$B$3)</f>
        <v>0.22011778200000001</v>
      </c>
      <c r="AF30" s="18">
        <f>(T30*$B$4)+(V30*$B$5)</f>
        <v>6.9200000000000008E-3</v>
      </c>
    </row>
    <row r="31" spans="1:33" s="37" customFormat="1" x14ac:dyDescent="0.2">
      <c r="A31" s="35" t="s">
        <v>63</v>
      </c>
      <c r="B31" s="36">
        <v>42</v>
      </c>
      <c r="C31" s="36">
        <v>6</v>
      </c>
      <c r="D31" s="36">
        <v>2</v>
      </c>
      <c r="E31" s="36">
        <v>2000</v>
      </c>
      <c r="G31" s="36">
        <f>VLOOKUP(A31,'Metric Reports Pub-Sub MQ'!$A$1:$W$53,16,FALSE)</f>
        <v>5483.8450000000003</v>
      </c>
      <c r="H31" s="38">
        <f t="shared" si="14"/>
        <v>130.5677380952381</v>
      </c>
      <c r="I31" s="39">
        <f t="shared" si="15"/>
        <v>1.305677380952381E-2</v>
      </c>
      <c r="J31" s="38">
        <f>SUM(AD31:AF31)</f>
        <v>0.49746775496875001</v>
      </c>
      <c r="K31" s="40">
        <f t="shared" si="16"/>
        <v>4.9746775496875003E-5</v>
      </c>
      <c r="L31" s="40">
        <f t="shared" si="17"/>
        <v>2.0010922296875001E-5</v>
      </c>
      <c r="M31" s="40">
        <f t="shared" si="20"/>
        <v>2.9735853200000002E-5</v>
      </c>
      <c r="N31" s="40">
        <f t="shared" si="18"/>
        <v>1.4519773095238095E-2</v>
      </c>
      <c r="P31" s="36">
        <f t="shared" si="19"/>
        <v>53000</v>
      </c>
      <c r="Q31" s="36">
        <f>VLOOKUP(A31,'Metric Reports Pub-Sub MQ'!$A$1:$W$53,10,FALSE)</f>
        <v>26500</v>
      </c>
      <c r="R31" s="36">
        <f>VLOOKUP(A31,'Metric Reports Pub-Sub MQ'!$A$1:$W$53,11,FALSE)</f>
        <v>192459</v>
      </c>
      <c r="S31" s="36">
        <f>VLOOKUP(A31,'Metric Reports Pub-Sub MQ'!$A$1:$W$53,12,FALSE)</f>
        <v>2840054800</v>
      </c>
      <c r="T31" s="36">
        <f>VLOOKUP(A31,'Metric Reports Pub-Sub MQ'!$A$1:$W$53,13,FALSE)</f>
        <v>38134</v>
      </c>
      <c r="U31" s="36">
        <f>VLOOKUP(A31,'Metric Reports Pub-Sub MQ'!$A$1:$W$53,14,FALSE)</f>
        <v>192459</v>
      </c>
      <c r="V31" s="36">
        <f>VLOOKUP(A31,'Metric Reports Pub-Sub MQ'!$A$1:$W$53,15,FALSE)</f>
        <v>2840055300</v>
      </c>
      <c r="W31" s="38">
        <f>VLOOKUP(A31,'Metric Reports Pub-Sub MQ'!$A$1:$W$53,17,FALSE)</f>
        <v>4873.3163999999997</v>
      </c>
      <c r="X31" s="38">
        <f>VLOOKUP(A31,'Metric Reports Pub-Sub MQ'!$A$1:$W$53,18,FALSE)</f>
        <v>594.89189999999996</v>
      </c>
      <c r="Y31" s="38">
        <f>VLOOKUP(A31,'Metric Reports Pub-Sub MQ'!$A$1:$W$53,19,FALSE)</f>
        <v>197.6583</v>
      </c>
      <c r="Z31" s="38">
        <f>VLOOKUP(A31,'Metric Reports Pub-Sub MQ'!$A$1:$W$53,20,FALSE)</f>
        <v>6098.3046999999997</v>
      </c>
      <c r="AB31" s="38">
        <f>(W31/G31)*100</f>
        <v>88.866778692687333</v>
      </c>
      <c r="AC31" s="38">
        <f>(X31/G31)*100</f>
        <v>10.848080133555925</v>
      </c>
      <c r="AD31" s="40">
        <f>((B31+1)*$B$6) + (Z31*(E31/128)*$B$7)</f>
        <v>0.20010922296875</v>
      </c>
      <c r="AE31" s="40">
        <f>(P31*$B$2)+(S31*$B$3)</f>
        <v>0.28210493200000003</v>
      </c>
      <c r="AF31" s="40">
        <f>(T31*$B$4)+(V31*$B$5)</f>
        <v>1.5253600000000001E-2</v>
      </c>
      <c r="AG31" s="41"/>
    </row>
    <row r="32" spans="1:33" x14ac:dyDescent="0.2">
      <c r="A32" s="4" t="s">
        <v>114</v>
      </c>
      <c r="B32" s="2">
        <v>62</v>
      </c>
      <c r="C32" s="2">
        <v>2</v>
      </c>
      <c r="D32" s="2">
        <v>5</v>
      </c>
      <c r="E32" s="2">
        <v>2000</v>
      </c>
      <c r="G32" s="2">
        <f>VLOOKUP(A32,'Metric Reports Pub-Sub MQ'!$A$1:$W$53,16,FALSE)</f>
        <v>8761.67</v>
      </c>
      <c r="H32" s="11">
        <f t="shared" si="14"/>
        <v>141.31725806451612</v>
      </c>
      <c r="I32" s="15">
        <f t="shared" si="15"/>
        <v>1.4131725806451613E-2</v>
      </c>
      <c r="J32" s="11">
        <f>SUM(AD32:AF32)</f>
        <v>0.73530879568749996</v>
      </c>
      <c r="K32" s="18">
        <f t="shared" si="16"/>
        <v>7.3530879568749997E-5</v>
      </c>
      <c r="L32" s="18">
        <f t="shared" si="17"/>
        <v>3.191582296875E-5</v>
      </c>
      <c r="M32" s="18">
        <f t="shared" si="20"/>
        <v>4.1615056599999997E-5</v>
      </c>
      <c r="N32" s="18">
        <f t="shared" si="18"/>
        <v>1.5687650000000001E-2</v>
      </c>
      <c r="O32" s="1"/>
      <c r="P32" s="2">
        <f t="shared" si="19"/>
        <v>100858</v>
      </c>
      <c r="Q32" s="2">
        <f>VLOOKUP(A32,'Metric Reports Pub-Sub MQ'!$A$1:$W$53,10,FALSE)</f>
        <v>50429</v>
      </c>
      <c r="R32" s="2">
        <f>VLOOKUP(A32,'Metric Reports Pub-Sub MQ'!$A$1:$W$53,11,FALSE)</f>
        <v>419875</v>
      </c>
      <c r="S32" s="2">
        <f>VLOOKUP(A32,'Metric Reports Pub-Sub MQ'!$A$1:$W$53,12,FALSE)</f>
        <v>3744497400</v>
      </c>
      <c r="T32" s="2">
        <f>VLOOKUP(A32,'Metric Reports Pub-Sub MQ'!$A$1:$W$53,13,FALSE)</f>
        <v>71792</v>
      </c>
      <c r="U32" s="2">
        <f>VLOOKUP(A32,'Metric Reports Pub-Sub MQ'!$A$1:$W$53,14,FALSE)</f>
        <v>419965</v>
      </c>
      <c r="V32" s="2">
        <f>VLOOKUP(A32,'Metric Reports Pub-Sub MQ'!$A$1:$W$53,15,FALSE)</f>
        <v>3745550000</v>
      </c>
      <c r="W32" s="11">
        <f>VLOOKUP(A32,'Metric Reports Pub-Sub MQ'!$A$1:$W$53,17,FALSE)</f>
        <v>7913.1943000000001</v>
      </c>
      <c r="X32" s="11">
        <f>VLOOKUP(A32,'Metric Reports Pub-Sub MQ'!$A$1:$W$53,18,FALSE)</f>
        <v>820.64660000000003</v>
      </c>
      <c r="Y32" s="11">
        <f>VLOOKUP(A32,'Metric Reports Pub-Sub MQ'!$A$1:$W$53,19,FALSE)</f>
        <v>238.66417999999999</v>
      </c>
      <c r="Z32" s="11">
        <f>VLOOKUP(A32,'Metric Reports Pub-Sub MQ'!$A$1:$W$53,20,FALSE)</f>
        <v>9726.3430000000008</v>
      </c>
      <c r="AB32" s="11">
        <f>(W32/G32)*100</f>
        <v>90.316050478961202</v>
      </c>
      <c r="AC32" s="11">
        <f>(X32/G32)*100</f>
        <v>9.3663262825465932</v>
      </c>
      <c r="AD32" s="18">
        <f>((B32+1)*$B$6) + (Z32*(E32/128)*$B$7)</f>
        <v>0.31915822968750002</v>
      </c>
      <c r="AE32" s="18">
        <f>(P32*$B$2)+(S32*$B$3)</f>
        <v>0.38743376600000001</v>
      </c>
      <c r="AF32" s="18">
        <f>(T32*$B$4)+(V32*$B$5)</f>
        <v>2.8716800000000004E-2</v>
      </c>
    </row>
    <row r="33" spans="1:33" x14ac:dyDescent="0.2">
      <c r="H33" s="9"/>
      <c r="I33" s="13"/>
      <c r="J33" s="9"/>
      <c r="K33" s="16"/>
      <c r="L33" s="16"/>
      <c r="M33" s="16"/>
      <c r="N33" s="16"/>
      <c r="O33" s="1"/>
      <c r="W33" s="9"/>
      <c r="AB33" s="9"/>
      <c r="AD33" s="16"/>
    </row>
    <row r="34" spans="1:33" x14ac:dyDescent="0.2">
      <c r="B34" s="34" t="s">
        <v>57</v>
      </c>
      <c r="C34" s="34"/>
      <c r="D34" s="34"/>
      <c r="E34" s="34"/>
      <c r="H34" s="9"/>
      <c r="I34" s="13"/>
      <c r="J34" s="9"/>
      <c r="K34" s="16"/>
      <c r="L34" s="16"/>
      <c r="M34" s="16"/>
      <c r="N34" s="16"/>
      <c r="O34" s="1"/>
      <c r="W34" s="9"/>
      <c r="AB34" s="9"/>
      <c r="AD34" s="16"/>
    </row>
    <row r="35" spans="1:33" x14ac:dyDescent="0.2">
      <c r="B35" s="6" t="s">
        <v>0</v>
      </c>
      <c r="C35" s="7" t="s">
        <v>3</v>
      </c>
      <c r="D35" s="7" t="s">
        <v>2</v>
      </c>
      <c r="E35" s="7" t="s">
        <v>12</v>
      </c>
      <c r="H35" s="9"/>
      <c r="I35" s="13"/>
      <c r="J35" s="9"/>
      <c r="K35" s="16"/>
      <c r="L35" s="16"/>
      <c r="M35" s="16"/>
      <c r="N35" s="16"/>
      <c r="O35" s="1"/>
      <c r="W35" s="9"/>
      <c r="AB35" s="9"/>
      <c r="AD35" s="16"/>
    </row>
    <row r="36" spans="1:33" x14ac:dyDescent="0.2">
      <c r="A36" s="4" t="s">
        <v>115</v>
      </c>
      <c r="B36" s="2">
        <v>8</v>
      </c>
      <c r="C36" s="2">
        <v>8</v>
      </c>
      <c r="D36" s="2">
        <v>1</v>
      </c>
      <c r="E36" s="2">
        <v>4000</v>
      </c>
      <c r="G36" s="2" t="e">
        <f>VLOOKUP(A36,'Metric Reports Pub-Sub MQ'!$A$1:$W$53,16,FALSE)</f>
        <v>#N/A</v>
      </c>
      <c r="H36" s="11" t="e">
        <f t="shared" ref="H36:H39" si="21">G36/B36</f>
        <v>#N/A</v>
      </c>
      <c r="I36" s="15" t="e">
        <f t="shared" ref="I36:I39" si="22">H36/$B$1</f>
        <v>#N/A</v>
      </c>
      <c r="J36" s="11" t="e">
        <f>SUM(AD36:AF36)</f>
        <v>#N/A</v>
      </c>
      <c r="K36" s="18" t="e">
        <f t="shared" ref="K36:K39" si="23">J36/$B$1</f>
        <v>#N/A</v>
      </c>
      <c r="L36" s="18" t="e">
        <f t="shared" ref="L36:L39" si="24">AD36 / $B$1</f>
        <v>#N/A</v>
      </c>
      <c r="M36" s="18" t="e">
        <f>(AE36+AF36)/$B$1</f>
        <v>#N/A</v>
      </c>
      <c r="N36" s="18" t="e">
        <f t="shared" ref="N36:N39" si="25">Z36/$B$1/B36</f>
        <v>#N/A</v>
      </c>
      <c r="O36" s="1"/>
      <c r="P36" s="2" t="e">
        <f t="shared" ref="P36:P39" si="26">_xlfn.CEILING.MATH((S36/Q36)/64000) * Q36</f>
        <v>#N/A</v>
      </c>
      <c r="Q36" s="2" t="e">
        <f>VLOOKUP(A36,'Metric Reports Pub-Sub MQ'!$A$1:$W$53,10,FALSE)</f>
        <v>#N/A</v>
      </c>
      <c r="R36" s="2" t="e">
        <f>VLOOKUP(A36,'Metric Reports Pub-Sub MQ'!$A$1:$W$53,11,FALSE)</f>
        <v>#N/A</v>
      </c>
      <c r="S36" s="2" t="e">
        <f>VLOOKUP(A36,'Metric Reports Pub-Sub MQ'!$A$1:$W$53,12,FALSE)</f>
        <v>#N/A</v>
      </c>
      <c r="T36" s="2" t="e">
        <f>VLOOKUP(A36,'Metric Reports Pub-Sub MQ'!$A$1:$W$53,13,FALSE)</f>
        <v>#N/A</v>
      </c>
      <c r="U36" s="2" t="e">
        <f>VLOOKUP(A36,'Metric Reports Pub-Sub MQ'!$A$1:$W$53,14,FALSE)</f>
        <v>#N/A</v>
      </c>
      <c r="V36" s="2" t="e">
        <f>VLOOKUP(A36,'Metric Reports Pub-Sub MQ'!$A$1:$W$53,15,FALSE)</f>
        <v>#N/A</v>
      </c>
      <c r="W36" s="11" t="e">
        <f>VLOOKUP(A36,'Metric Reports Pub-Sub MQ'!$A$1:$W$53,17,FALSE)</f>
        <v>#N/A</v>
      </c>
      <c r="X36" s="11" t="e">
        <f>VLOOKUP(A36,'Metric Reports Pub-Sub MQ'!$A$1:$W$53,18,FALSE)</f>
        <v>#N/A</v>
      </c>
      <c r="Y36" s="11" t="e">
        <f>VLOOKUP(A36,'Metric Reports Pub-Sub MQ'!$A$1:$W$53,19,FALSE)</f>
        <v>#N/A</v>
      </c>
      <c r="Z36" s="11" t="e">
        <f>VLOOKUP(A36,'Metric Reports Pub-Sub MQ'!$A$1:$W$53,20,FALSE)</f>
        <v>#N/A</v>
      </c>
      <c r="AB36" s="11" t="e">
        <f>(W36/G36)*100</f>
        <v>#N/A</v>
      </c>
      <c r="AC36" s="11" t="e">
        <f>(X36/G36)*100</f>
        <v>#N/A</v>
      </c>
      <c r="AD36" s="18" t="e">
        <f>((B36+1)*$B$6) + (Z36*(E36/128)*$B$7)</f>
        <v>#N/A</v>
      </c>
      <c r="AE36" s="18" t="e">
        <f>(P36*$B$2)+(S36*$B$3)</f>
        <v>#N/A</v>
      </c>
      <c r="AF36" s="18" t="e">
        <f>(T36*$B$4)+(V36*$B$5)</f>
        <v>#N/A</v>
      </c>
    </row>
    <row r="37" spans="1:33" x14ac:dyDescent="0.2">
      <c r="A37" s="4" t="s">
        <v>64</v>
      </c>
      <c r="B37" s="2">
        <v>20</v>
      </c>
      <c r="C37" s="2">
        <v>4</v>
      </c>
      <c r="D37" s="2">
        <v>2</v>
      </c>
      <c r="E37" s="2">
        <v>4000</v>
      </c>
      <c r="G37" s="2">
        <f>VLOOKUP(A37,'Metric Reports Pub-Sub MQ'!$A$1:$W$53,16,FALSE)</f>
        <v>10933.856</v>
      </c>
      <c r="H37" s="11">
        <f t="shared" si="21"/>
        <v>546.69280000000003</v>
      </c>
      <c r="I37" s="15">
        <f t="shared" si="22"/>
        <v>5.4669280000000001E-2</v>
      </c>
      <c r="J37" s="11">
        <f>SUM(AD37:AF37)</f>
        <v>2.0097889231249999</v>
      </c>
      <c r="K37" s="18">
        <f t="shared" si="23"/>
        <v>2.009788923125E-4</v>
      </c>
      <c r="L37" s="18">
        <f t="shared" si="24"/>
        <v>7.9260700312500004E-5</v>
      </c>
      <c r="M37" s="18">
        <f t="shared" ref="M37:M39" si="27">(AE37+AF37)/$B$1</f>
        <v>1.2171819200000001E-4</v>
      </c>
      <c r="N37" s="18">
        <f t="shared" si="25"/>
        <v>6.0388785E-2</v>
      </c>
      <c r="O37" s="1"/>
      <c r="P37" s="2">
        <f t="shared" si="26"/>
        <v>197055</v>
      </c>
      <c r="Q37" s="2">
        <f>VLOOKUP(A37,'Metric Reports Pub-Sub MQ'!$A$1:$W$53,10,FALSE)</f>
        <v>65685</v>
      </c>
      <c r="R37" s="2">
        <f>VLOOKUP(A37,'Metric Reports Pub-Sub MQ'!$A$1:$W$53,11,FALSE)</f>
        <v>97464</v>
      </c>
      <c r="S37" s="2">
        <f>VLOOKUP(A37,'Metric Reports Pub-Sub MQ'!$A$1:$W$53,12,FALSE)</f>
        <v>12312018000</v>
      </c>
      <c r="T37" s="2">
        <f>VLOOKUP(A37,'Metric Reports Pub-Sub MQ'!$A$1:$W$53,13,FALSE)</f>
        <v>26432</v>
      </c>
      <c r="U37" s="2">
        <f>VLOOKUP(A37,'Metric Reports Pub-Sub MQ'!$A$1:$W$53,14,FALSE)</f>
        <v>97464</v>
      </c>
      <c r="V37" s="2">
        <f>VLOOKUP(A37,'Metric Reports Pub-Sub MQ'!$A$1:$W$53,15,FALSE)</f>
        <v>12312016000</v>
      </c>
      <c r="W37" s="11">
        <f>VLOOKUP(A37,'Metric Reports Pub-Sub MQ'!$A$1:$W$53,17,FALSE)</f>
        <v>9527.0519999999997</v>
      </c>
      <c r="X37" s="11">
        <f>VLOOKUP(A37,'Metric Reports Pub-Sub MQ'!$A$1:$W$53,18,FALSE)</f>
        <v>1399.1410000000001</v>
      </c>
      <c r="Y37" s="11">
        <f>VLOOKUP(A37,'Metric Reports Pub-Sub MQ'!$A$1:$W$53,19,FALSE)</f>
        <v>848.13409999999999</v>
      </c>
      <c r="Z37" s="11">
        <f>VLOOKUP(A37,'Metric Reports Pub-Sub MQ'!$A$1:$W$53,20,FALSE)</f>
        <v>12077.757</v>
      </c>
      <c r="AB37" s="11">
        <f>(W37/G37)*100</f>
        <v>87.133505325111287</v>
      </c>
      <c r="AC37" s="11">
        <f>(X37/G37)*100</f>
        <v>12.796409610662515</v>
      </c>
      <c r="AD37" s="18">
        <f>((B37+1)*$B$6) + (Z37*(E37/128)*$B$7)</f>
        <v>0.7926070031250001</v>
      </c>
      <c r="AE37" s="18">
        <f>(P37*$B$2)+(S37*$B$3)</f>
        <v>1.20660912</v>
      </c>
      <c r="AF37" s="18">
        <f>(T37*$B$4)+(V37*$B$5)</f>
        <v>1.05728E-2</v>
      </c>
    </row>
    <row r="38" spans="1:33" x14ac:dyDescent="0.2">
      <c r="A38" s="4" t="s">
        <v>65</v>
      </c>
      <c r="B38" s="2">
        <v>42</v>
      </c>
      <c r="C38" s="2">
        <v>6</v>
      </c>
      <c r="D38" s="2">
        <v>2</v>
      </c>
      <c r="E38" s="2">
        <v>4000</v>
      </c>
      <c r="G38" s="2">
        <f>VLOOKUP(A38,'Metric Reports Pub-Sub MQ'!$A$1:$W$53,16,FALSE)</f>
        <v>12948.214</v>
      </c>
      <c r="H38" s="11">
        <f t="shared" si="21"/>
        <v>308.29080952380951</v>
      </c>
      <c r="I38" s="15">
        <f t="shared" si="22"/>
        <v>3.082908095238095E-2</v>
      </c>
      <c r="J38" s="11">
        <f>SUM(AD38:AF38)</f>
        <v>2.0790259087499998</v>
      </c>
      <c r="K38" s="18">
        <f t="shared" si="23"/>
        <v>2.0790259087499999E-4</v>
      </c>
      <c r="L38" s="18">
        <f t="shared" si="24"/>
        <v>9.5915721875000022E-5</v>
      </c>
      <c r="M38" s="18">
        <f t="shared" si="27"/>
        <v>1.1198686899999999E-4</v>
      </c>
      <c r="N38" s="18">
        <f t="shared" si="25"/>
        <v>3.4799042857142859E-2</v>
      </c>
      <c r="O38" s="1"/>
      <c r="P38" s="2">
        <f t="shared" si="26"/>
        <v>213928</v>
      </c>
      <c r="Q38" s="2">
        <f>VLOOKUP(A38,'Metric Reports Pub-Sub MQ'!$A$1:$W$53,10,FALSE)</f>
        <v>53482</v>
      </c>
      <c r="R38" s="2">
        <f>VLOOKUP(A38,'Metric Reports Pub-Sub MQ'!$A$1:$W$53,11,FALSE)</f>
        <v>211480</v>
      </c>
      <c r="S38" s="2">
        <f>VLOOKUP(A38,'Metric Reports Pub-Sub MQ'!$A$1:$W$53,12,FALSE)</f>
        <v>11039661000</v>
      </c>
      <c r="T38" s="2">
        <f>VLOOKUP(A38,'Metric Reports Pub-Sub MQ'!$A$1:$W$53,13,FALSE)</f>
        <v>48338</v>
      </c>
      <c r="U38" s="2">
        <f>VLOOKUP(A38,'Metric Reports Pub-Sub MQ'!$A$1:$W$53,14,FALSE)</f>
        <v>211485</v>
      </c>
      <c r="V38" s="2">
        <f>VLOOKUP(A38,'Metric Reports Pub-Sub MQ'!$A$1:$W$53,15,FALSE)</f>
        <v>11039884000</v>
      </c>
      <c r="W38" s="11">
        <f>VLOOKUP(A38,'Metric Reports Pub-Sub MQ'!$A$1:$W$53,17,FALSE)</f>
        <v>10742.659</v>
      </c>
      <c r="X38" s="11">
        <f>VLOOKUP(A38,'Metric Reports Pub-Sub MQ'!$A$1:$W$53,18,FALSE)</f>
        <v>2185.4270000000001</v>
      </c>
      <c r="Y38" s="11">
        <f>VLOOKUP(A38,'Metric Reports Pub-Sub MQ'!$A$1:$W$53,19,FALSE)</f>
        <v>727.99929999999995</v>
      </c>
      <c r="Z38" s="11">
        <f>VLOOKUP(A38,'Metric Reports Pub-Sub MQ'!$A$1:$W$53,20,FALSE)</f>
        <v>14615.598</v>
      </c>
      <c r="AB38" s="11">
        <f>(W38/G38)*100</f>
        <v>82.966338060214326</v>
      </c>
      <c r="AC38" s="11">
        <f>(X38/G38)*100</f>
        <v>16.878211929459923</v>
      </c>
      <c r="AD38" s="18">
        <f>((B38+1)*$B$6) + (Z38*(E38/128)*$B$7)</f>
        <v>0.95915721875000015</v>
      </c>
      <c r="AE38" s="18">
        <f>(P38*$B$2)+(S38*$B$3)</f>
        <v>1.1005334899999999</v>
      </c>
      <c r="AF38" s="18">
        <f>(T38*$B$4)+(V38*$B$5)</f>
        <v>1.93352E-2</v>
      </c>
    </row>
    <row r="39" spans="1:33" s="37" customFormat="1" x14ac:dyDescent="0.2">
      <c r="A39" s="35" t="s">
        <v>118</v>
      </c>
      <c r="B39" s="36">
        <v>62</v>
      </c>
      <c r="C39" s="36">
        <v>2</v>
      </c>
      <c r="D39" s="36">
        <v>5</v>
      </c>
      <c r="E39" s="36">
        <v>4000</v>
      </c>
      <c r="G39" s="36">
        <f>VLOOKUP(A39,'Metric Reports Pub-Sub MQ'!$A$1:$W$53,16,FALSE)</f>
        <v>16397.535</v>
      </c>
      <c r="H39" s="38">
        <f t="shared" si="21"/>
        <v>264.47637096774196</v>
      </c>
      <c r="I39" s="39">
        <f t="shared" si="22"/>
        <v>2.6447637096774196E-2</v>
      </c>
      <c r="J39" s="38">
        <f>SUM(AD39:AF39)</f>
        <v>2.3376420068750003</v>
      </c>
      <c r="K39" s="40">
        <f t="shared" si="23"/>
        <v>2.3376420068750003E-4</v>
      </c>
      <c r="L39" s="40">
        <f t="shared" si="24"/>
        <v>1.2150118968750002E-4</v>
      </c>
      <c r="M39" s="40">
        <f t="shared" si="27"/>
        <v>1.12263011E-4</v>
      </c>
      <c r="N39" s="40">
        <f t="shared" si="25"/>
        <v>2.9861733870967747E-2</v>
      </c>
      <c r="P39" s="36">
        <f t="shared" si="26"/>
        <v>188340</v>
      </c>
      <c r="Q39" s="36">
        <f>VLOOKUP(A39,'Metric Reports Pub-Sub MQ'!$A$1:$W$53,10,FALSE)</f>
        <v>62780</v>
      </c>
      <c r="R39" s="36">
        <f>VLOOKUP(A39,'Metric Reports Pub-Sub MQ'!$A$1:$W$53,11,FALSE)</f>
        <v>414794</v>
      </c>
      <c r="S39" s="36">
        <f>VLOOKUP(A39,'Metric Reports Pub-Sub MQ'!$A$1:$W$53,12,FALSE)</f>
        <v>11081539000</v>
      </c>
      <c r="T39" s="36">
        <f>VLOOKUP(A39,'Metric Reports Pub-Sub MQ'!$A$1:$W$53,13,FALSE)</f>
        <v>77804</v>
      </c>
      <c r="U39" s="36">
        <f>VLOOKUP(A39,'Metric Reports Pub-Sub MQ'!$A$1:$W$53,14,FALSE)</f>
        <v>414798</v>
      </c>
      <c r="V39" s="36">
        <f>VLOOKUP(A39,'Metric Reports Pub-Sub MQ'!$A$1:$W$53,15,FALSE)</f>
        <v>11081898000</v>
      </c>
      <c r="W39" s="38">
        <f>VLOOKUP(A39,'Metric Reports Pub-Sub MQ'!$A$1:$W$53,17,FALSE)</f>
        <v>13460.194</v>
      </c>
      <c r="X39" s="38">
        <f>VLOOKUP(A39,'Metric Reports Pub-Sub MQ'!$A$1:$W$53,18,FALSE)</f>
        <v>2902.8638000000001</v>
      </c>
      <c r="Y39" s="38">
        <f>VLOOKUP(A39,'Metric Reports Pub-Sub MQ'!$A$1:$W$53,19,FALSE)</f>
        <v>730.49994000000004</v>
      </c>
      <c r="Z39" s="38">
        <f>VLOOKUP(A39,'Metric Reports Pub-Sub MQ'!$A$1:$W$53,20,FALSE)</f>
        <v>18514.275000000001</v>
      </c>
      <c r="AB39" s="38">
        <f>(W39/G39)*100</f>
        <v>82.086691688720279</v>
      </c>
      <c r="AC39" s="38">
        <f>(X39/G39)*100</f>
        <v>17.703049879143421</v>
      </c>
      <c r="AD39" s="40">
        <f>((B39+1)*$B$6) + (Z39*(E39/128)*$B$7)</f>
        <v>1.2150118968750001</v>
      </c>
      <c r="AE39" s="40">
        <f>(P39*$B$2)+(S39*$B$3)</f>
        <v>1.0915085099999999</v>
      </c>
      <c r="AF39" s="40">
        <f>(T39*$B$4)+(V39*$B$5)</f>
        <v>3.1121600000000003E-2</v>
      </c>
      <c r="AG39" s="41"/>
    </row>
  </sheetData>
  <mergeCells count="4">
    <mergeCell ref="B13:E13"/>
    <mergeCell ref="B20:E20"/>
    <mergeCell ref="B27:E27"/>
    <mergeCell ref="B34:E34"/>
  </mergeCells>
  <pageMargins left="0.7" right="0.7" top="0.75" bottom="0.75" header="0.3" footer="0.3"/>
  <ignoredErrors>
    <ignoredError sqref="B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38F3-C8AA-C34D-B568-1AA932CC8BC2}">
  <dimension ref="A1:W17"/>
  <sheetViews>
    <sheetView topLeftCell="F1" zoomScale="130" zoomScaleNormal="130" workbookViewId="0">
      <selection activeCell="L28" sqref="L28"/>
    </sheetView>
  </sheetViews>
  <sheetFormatPr baseColWidth="10" defaultRowHeight="16" x14ac:dyDescent="0.2"/>
  <cols>
    <col min="1" max="1" width="25" bestFit="1" customWidth="1"/>
    <col min="2" max="2" width="4.5" bestFit="1" customWidth="1"/>
    <col min="3" max="3" width="8.33203125" bestFit="1" customWidth="1"/>
    <col min="4" max="4" width="17.5" bestFit="1" customWidth="1"/>
    <col min="5" max="5" width="15" bestFit="1" customWidth="1"/>
    <col min="6" max="6" width="12.6640625" bestFit="1" customWidth="1"/>
    <col min="7" max="7" width="11" bestFit="1" customWidth="1"/>
    <col min="8" max="8" width="11.1640625" bestFit="1" customWidth="1"/>
    <col min="9" max="9" width="14" bestFit="1" customWidth="1"/>
    <col min="10" max="10" width="22" bestFit="1" customWidth="1"/>
    <col min="11" max="11" width="28.83203125" bestFit="1" customWidth="1"/>
    <col min="12" max="12" width="28" bestFit="1" customWidth="1"/>
    <col min="13" max="13" width="27.33203125" bestFit="1" customWidth="1"/>
    <col min="14" max="14" width="32.83203125" bestFit="1" customWidth="1"/>
    <col min="15" max="15" width="31.83203125" bestFit="1" customWidth="1"/>
    <col min="16" max="16" width="28.5" bestFit="1" customWidth="1"/>
    <col min="17" max="17" width="38.83203125" bestFit="1" customWidth="1"/>
    <col min="18" max="18" width="36" bestFit="1" customWidth="1"/>
    <col min="19" max="19" width="35.5" bestFit="1" customWidth="1"/>
    <col min="20" max="20" width="25.5" bestFit="1" customWidth="1"/>
    <col min="21" max="21" width="22.6640625" bestFit="1" customWidth="1"/>
    <col min="22" max="22" width="26.33203125" bestFit="1" customWidth="1"/>
    <col min="23" max="23" width="29.1640625" bestFit="1" customWidth="1"/>
    <col min="24" max="24" width="7.1640625" bestFit="1" customWidth="1"/>
  </cols>
  <sheetData>
    <row r="1" spans="1:23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</row>
    <row r="2" spans="1:23" x14ac:dyDescent="0.2">
      <c r="A2" t="s">
        <v>109</v>
      </c>
      <c r="B2">
        <v>8</v>
      </c>
      <c r="C2">
        <v>1</v>
      </c>
      <c r="D2">
        <v>8</v>
      </c>
      <c r="E2">
        <v>1024</v>
      </c>
      <c r="F2">
        <v>120</v>
      </c>
      <c r="G2">
        <v>10000</v>
      </c>
      <c r="H2">
        <v>10000</v>
      </c>
      <c r="I2">
        <v>1</v>
      </c>
      <c r="J2">
        <v>1102</v>
      </c>
      <c r="K2">
        <v>6774</v>
      </c>
      <c r="L2">
        <v>104131260</v>
      </c>
      <c r="M2">
        <v>4318</v>
      </c>
      <c r="N2">
        <v>6774</v>
      </c>
      <c r="O2">
        <v>104131260</v>
      </c>
      <c r="P2">
        <v>507.99376999999998</v>
      </c>
      <c r="Q2">
        <v>484.44893999999999</v>
      </c>
      <c r="R2">
        <v>22.377313999999998</v>
      </c>
      <c r="S2">
        <v>15.093239000000001</v>
      </c>
      <c r="T2">
        <v>568.61206000000004</v>
      </c>
      <c r="U2">
        <v>9931</v>
      </c>
      <c r="V2">
        <v>157769</v>
      </c>
      <c r="W2">
        <v>259362</v>
      </c>
    </row>
    <row r="3" spans="1:23" x14ac:dyDescent="0.2">
      <c r="A3" t="s">
        <v>58</v>
      </c>
      <c r="B3">
        <v>4</v>
      </c>
      <c r="C3">
        <v>2</v>
      </c>
      <c r="D3">
        <v>20</v>
      </c>
      <c r="E3">
        <v>1024</v>
      </c>
      <c r="F3">
        <v>120</v>
      </c>
      <c r="G3">
        <v>10000</v>
      </c>
      <c r="H3">
        <v>10000</v>
      </c>
      <c r="I3">
        <v>1</v>
      </c>
      <c r="J3">
        <v>4866</v>
      </c>
      <c r="K3">
        <v>44257</v>
      </c>
      <c r="L3">
        <v>294023520</v>
      </c>
      <c r="M3">
        <v>16676</v>
      </c>
      <c r="N3">
        <v>44257</v>
      </c>
      <c r="O3">
        <v>294023550</v>
      </c>
      <c r="P3">
        <v>1872.3590999999999</v>
      </c>
      <c r="Q3">
        <v>1818.1105</v>
      </c>
      <c r="R3">
        <v>49.045720000000003</v>
      </c>
      <c r="S3">
        <v>31.775258999999998</v>
      </c>
      <c r="T3">
        <v>2003.6880000000001</v>
      </c>
      <c r="U3">
        <v>9931</v>
      </c>
      <c r="V3">
        <v>182899</v>
      </c>
      <c r="W3">
        <v>259385</v>
      </c>
    </row>
    <row r="4" spans="1:23" x14ac:dyDescent="0.2">
      <c r="A4" t="s">
        <v>59</v>
      </c>
      <c r="B4">
        <v>6</v>
      </c>
      <c r="C4">
        <v>2</v>
      </c>
      <c r="D4">
        <v>42</v>
      </c>
      <c r="E4">
        <v>1024</v>
      </c>
      <c r="F4">
        <v>120</v>
      </c>
      <c r="G4">
        <v>10000</v>
      </c>
      <c r="H4">
        <v>10000</v>
      </c>
      <c r="I4">
        <v>1</v>
      </c>
      <c r="J4">
        <v>21000</v>
      </c>
      <c r="K4">
        <v>191780</v>
      </c>
      <c r="L4">
        <v>767158100</v>
      </c>
      <c r="M4">
        <v>41145</v>
      </c>
      <c r="N4">
        <v>191802</v>
      </c>
      <c r="O4">
        <v>767356700</v>
      </c>
      <c r="P4">
        <v>4456.3193000000001</v>
      </c>
      <c r="Q4">
        <v>4318.8856999999998</v>
      </c>
      <c r="R4">
        <v>121.10119</v>
      </c>
      <c r="S4">
        <v>74.090519999999998</v>
      </c>
      <c r="T4">
        <v>4695.5146000000004</v>
      </c>
      <c r="U4">
        <v>9931</v>
      </c>
      <c r="V4">
        <v>187348</v>
      </c>
      <c r="W4">
        <v>259464</v>
      </c>
    </row>
    <row r="5" spans="1:23" x14ac:dyDescent="0.2">
      <c r="A5" t="s">
        <v>110</v>
      </c>
      <c r="B5">
        <v>2</v>
      </c>
      <c r="C5">
        <v>5</v>
      </c>
      <c r="D5">
        <v>62</v>
      </c>
      <c r="E5">
        <v>1024</v>
      </c>
      <c r="F5">
        <v>120</v>
      </c>
      <c r="G5">
        <v>10000</v>
      </c>
      <c r="H5">
        <v>10000</v>
      </c>
      <c r="I5">
        <v>1</v>
      </c>
      <c r="J5" s="42">
        <v>40320</v>
      </c>
      <c r="K5" s="42">
        <v>365025</v>
      </c>
      <c r="L5">
        <v>1201678700</v>
      </c>
      <c r="M5">
        <v>77439</v>
      </c>
      <c r="N5">
        <v>365146</v>
      </c>
      <c r="O5">
        <v>1206271900</v>
      </c>
      <c r="P5">
        <v>7921.634</v>
      </c>
      <c r="Q5">
        <v>7701.0640000000003</v>
      </c>
      <c r="R5">
        <v>194.17179999999999</v>
      </c>
      <c r="S5">
        <v>118.97783</v>
      </c>
      <c r="T5">
        <v>8351.3739999999998</v>
      </c>
      <c r="U5">
        <v>9931</v>
      </c>
      <c r="V5">
        <v>182854</v>
      </c>
      <c r="W5">
        <v>259347</v>
      </c>
    </row>
    <row r="6" spans="1:23" x14ac:dyDescent="0.2">
      <c r="A6" t="s">
        <v>111</v>
      </c>
      <c r="B6">
        <v>8</v>
      </c>
      <c r="C6">
        <v>1</v>
      </c>
      <c r="D6">
        <v>8</v>
      </c>
      <c r="E6">
        <v>4096</v>
      </c>
      <c r="F6">
        <v>120</v>
      </c>
      <c r="G6">
        <v>10000</v>
      </c>
      <c r="H6">
        <v>10000</v>
      </c>
      <c r="I6">
        <v>1</v>
      </c>
      <c r="J6">
        <v>2043</v>
      </c>
      <c r="K6">
        <v>7867</v>
      </c>
      <c r="L6">
        <v>362186340</v>
      </c>
      <c r="M6">
        <v>4584</v>
      </c>
      <c r="N6">
        <v>7867</v>
      </c>
      <c r="O6">
        <v>362186180</v>
      </c>
      <c r="P6">
        <v>734.66956000000005</v>
      </c>
      <c r="Q6">
        <v>668.5136</v>
      </c>
      <c r="R6">
        <v>65.038650000000004</v>
      </c>
      <c r="S6">
        <v>34.673862</v>
      </c>
      <c r="T6">
        <v>845.56273999999996</v>
      </c>
      <c r="U6">
        <v>9857</v>
      </c>
      <c r="V6">
        <v>257923</v>
      </c>
      <c r="W6">
        <v>259509</v>
      </c>
    </row>
    <row r="7" spans="1:23" x14ac:dyDescent="0.2">
      <c r="A7" t="s">
        <v>60</v>
      </c>
      <c r="B7">
        <v>4</v>
      </c>
      <c r="C7">
        <v>2</v>
      </c>
      <c r="D7">
        <v>20</v>
      </c>
      <c r="E7">
        <v>4096</v>
      </c>
      <c r="F7">
        <v>120</v>
      </c>
      <c r="G7">
        <v>10000</v>
      </c>
      <c r="H7">
        <v>10000</v>
      </c>
      <c r="I7">
        <v>1</v>
      </c>
      <c r="J7">
        <v>5453</v>
      </c>
      <c r="K7">
        <v>43719</v>
      </c>
      <c r="L7">
        <v>628973100</v>
      </c>
      <c r="M7">
        <v>16371</v>
      </c>
      <c r="N7">
        <v>43719</v>
      </c>
      <c r="O7">
        <v>629153200</v>
      </c>
      <c r="P7">
        <v>1911.2811999999999</v>
      </c>
      <c r="Q7">
        <v>1789.8130000000001</v>
      </c>
      <c r="R7">
        <v>116.86526000000001</v>
      </c>
      <c r="S7">
        <v>55.123460000000001</v>
      </c>
      <c r="T7">
        <v>2085.9409999999998</v>
      </c>
      <c r="U7">
        <v>9825</v>
      </c>
      <c r="V7">
        <v>200916</v>
      </c>
      <c r="W7">
        <v>259488</v>
      </c>
    </row>
    <row r="8" spans="1:23" x14ac:dyDescent="0.2">
      <c r="A8" t="s">
        <v>61</v>
      </c>
      <c r="B8">
        <v>6</v>
      </c>
      <c r="C8">
        <v>2</v>
      </c>
      <c r="D8">
        <v>42</v>
      </c>
      <c r="E8">
        <v>4096</v>
      </c>
      <c r="F8">
        <v>120</v>
      </c>
      <c r="G8">
        <v>10000</v>
      </c>
      <c r="H8">
        <v>10000</v>
      </c>
      <c r="I8">
        <v>1</v>
      </c>
      <c r="J8">
        <v>24137</v>
      </c>
      <c r="K8">
        <v>195070</v>
      </c>
      <c r="L8">
        <v>1251138200</v>
      </c>
      <c r="M8">
        <v>41443</v>
      </c>
      <c r="N8">
        <v>195070</v>
      </c>
      <c r="O8">
        <v>1251138200</v>
      </c>
      <c r="P8">
        <v>6608.6655000000001</v>
      </c>
      <c r="Q8">
        <v>6376.3760000000002</v>
      </c>
      <c r="R8">
        <v>216.65522999999999</v>
      </c>
      <c r="S8">
        <v>88.876350000000002</v>
      </c>
      <c r="T8">
        <v>7093.3584000000001</v>
      </c>
      <c r="U8">
        <v>9860</v>
      </c>
      <c r="V8">
        <v>173792</v>
      </c>
      <c r="W8">
        <v>259491</v>
      </c>
    </row>
    <row r="9" spans="1:23" x14ac:dyDescent="0.2">
      <c r="A9" t="s">
        <v>112</v>
      </c>
      <c r="B9">
        <v>2</v>
      </c>
      <c r="C9">
        <v>5</v>
      </c>
      <c r="D9">
        <v>62</v>
      </c>
      <c r="E9">
        <v>4096</v>
      </c>
      <c r="F9">
        <v>120</v>
      </c>
      <c r="G9">
        <v>10000</v>
      </c>
      <c r="H9">
        <v>10000</v>
      </c>
      <c r="I9">
        <v>1</v>
      </c>
      <c r="J9" s="42">
        <v>47219</v>
      </c>
      <c r="K9" s="42">
        <v>423057</v>
      </c>
      <c r="L9">
        <v>1963633400</v>
      </c>
      <c r="M9">
        <v>74854</v>
      </c>
      <c r="N9">
        <v>423113</v>
      </c>
      <c r="O9">
        <v>1964090000</v>
      </c>
      <c r="P9">
        <v>7768.1143000000002</v>
      </c>
      <c r="Q9">
        <v>7414.4170000000004</v>
      </c>
      <c r="R9">
        <v>326.58667000000003</v>
      </c>
      <c r="S9">
        <v>134.34119000000001</v>
      </c>
      <c r="T9">
        <v>8215.34</v>
      </c>
      <c r="U9">
        <v>9860</v>
      </c>
      <c r="V9">
        <v>178736</v>
      </c>
      <c r="W9">
        <v>259454</v>
      </c>
    </row>
    <row r="10" spans="1:23" x14ac:dyDescent="0.2">
      <c r="A10" t="s">
        <v>113</v>
      </c>
      <c r="B10">
        <v>8</v>
      </c>
      <c r="C10">
        <v>1</v>
      </c>
      <c r="D10">
        <v>8</v>
      </c>
      <c r="E10">
        <v>16384</v>
      </c>
      <c r="F10">
        <v>120</v>
      </c>
      <c r="G10">
        <v>10000</v>
      </c>
      <c r="H10">
        <v>10000</v>
      </c>
      <c r="I10">
        <v>1</v>
      </c>
      <c r="J10">
        <v>10730</v>
      </c>
      <c r="K10">
        <v>18519</v>
      </c>
      <c r="L10">
        <v>2006865400</v>
      </c>
      <c r="M10">
        <v>6910</v>
      </c>
      <c r="N10">
        <v>18519</v>
      </c>
      <c r="O10">
        <v>2006865400</v>
      </c>
      <c r="P10">
        <v>2044.2304999999999</v>
      </c>
      <c r="Q10">
        <v>1821.6497999999999</v>
      </c>
      <c r="R10">
        <v>221.60785000000001</v>
      </c>
      <c r="S10">
        <v>201.39532</v>
      </c>
      <c r="T10">
        <v>2315.1194</v>
      </c>
      <c r="U10">
        <v>2226</v>
      </c>
      <c r="V10">
        <v>259409</v>
      </c>
      <c r="W10">
        <v>259512</v>
      </c>
    </row>
    <row r="11" spans="1:23" x14ac:dyDescent="0.2">
      <c r="A11" t="s">
        <v>62</v>
      </c>
      <c r="B11">
        <v>4</v>
      </c>
      <c r="C11">
        <v>2</v>
      </c>
      <c r="D11">
        <v>20</v>
      </c>
      <c r="E11">
        <v>16384</v>
      </c>
      <c r="F11">
        <v>120</v>
      </c>
      <c r="G11">
        <v>10000</v>
      </c>
      <c r="H11">
        <v>10000</v>
      </c>
      <c r="I11">
        <v>1</v>
      </c>
      <c r="J11">
        <v>11004</v>
      </c>
      <c r="K11">
        <v>48773</v>
      </c>
      <c r="L11">
        <v>2201219800</v>
      </c>
      <c r="M11">
        <v>17300</v>
      </c>
      <c r="N11">
        <v>48773</v>
      </c>
      <c r="O11">
        <v>2201219800</v>
      </c>
      <c r="P11">
        <v>3204.4863</v>
      </c>
      <c r="Q11">
        <v>2834.7184999999999</v>
      </c>
      <c r="R11">
        <v>363.81</v>
      </c>
      <c r="S11">
        <v>165.90088</v>
      </c>
      <c r="T11">
        <v>3615.5630000000001</v>
      </c>
      <c r="U11">
        <v>9786</v>
      </c>
      <c r="V11">
        <v>259185</v>
      </c>
      <c r="W11">
        <v>259518</v>
      </c>
    </row>
    <row r="12" spans="1:23" x14ac:dyDescent="0.2">
      <c r="A12" t="s">
        <v>63</v>
      </c>
      <c r="B12">
        <v>6</v>
      </c>
      <c r="C12">
        <v>2</v>
      </c>
      <c r="D12">
        <v>42</v>
      </c>
      <c r="E12">
        <v>16384</v>
      </c>
      <c r="F12">
        <v>120</v>
      </c>
      <c r="G12">
        <v>10000</v>
      </c>
      <c r="H12">
        <v>10000</v>
      </c>
      <c r="I12">
        <v>1</v>
      </c>
      <c r="J12">
        <v>26500</v>
      </c>
      <c r="K12">
        <v>192459</v>
      </c>
      <c r="L12">
        <v>2840054800</v>
      </c>
      <c r="M12">
        <v>38134</v>
      </c>
      <c r="N12">
        <v>192459</v>
      </c>
      <c r="O12">
        <v>2840055300</v>
      </c>
      <c r="P12">
        <v>5483.8450000000003</v>
      </c>
      <c r="Q12">
        <v>4873.3163999999997</v>
      </c>
      <c r="R12">
        <v>594.89189999999996</v>
      </c>
      <c r="S12">
        <v>197.6583</v>
      </c>
      <c r="T12">
        <v>6098.3046999999997</v>
      </c>
      <c r="U12">
        <v>9818</v>
      </c>
      <c r="V12">
        <v>209781</v>
      </c>
      <c r="W12">
        <v>259514</v>
      </c>
    </row>
    <row r="13" spans="1:23" x14ac:dyDescent="0.2">
      <c r="A13" t="s">
        <v>114</v>
      </c>
      <c r="B13">
        <v>2</v>
      </c>
      <c r="C13">
        <v>5</v>
      </c>
      <c r="D13">
        <v>62</v>
      </c>
      <c r="E13">
        <v>16384</v>
      </c>
      <c r="F13">
        <v>120</v>
      </c>
      <c r="G13">
        <v>10000</v>
      </c>
      <c r="H13">
        <v>10000</v>
      </c>
      <c r="I13">
        <v>1</v>
      </c>
      <c r="J13" s="42">
        <v>50429</v>
      </c>
      <c r="K13" s="42">
        <v>419875</v>
      </c>
      <c r="L13">
        <v>3744497400</v>
      </c>
      <c r="M13">
        <v>71792</v>
      </c>
      <c r="N13">
        <v>419965</v>
      </c>
      <c r="O13">
        <v>3745550000</v>
      </c>
      <c r="P13">
        <v>8761.67</v>
      </c>
      <c r="Q13">
        <v>7913.1943000000001</v>
      </c>
      <c r="R13">
        <v>820.64660000000003</v>
      </c>
      <c r="S13">
        <v>238.66417999999999</v>
      </c>
      <c r="T13">
        <v>9726.3430000000008</v>
      </c>
      <c r="U13">
        <v>9823</v>
      </c>
      <c r="V13">
        <v>179913</v>
      </c>
      <c r="W13">
        <v>259520</v>
      </c>
    </row>
    <row r="15" spans="1:23" x14ac:dyDescent="0.2">
      <c r="A15" t="s">
        <v>64</v>
      </c>
      <c r="B15">
        <v>4</v>
      </c>
      <c r="C15">
        <v>2</v>
      </c>
      <c r="D15">
        <v>20</v>
      </c>
      <c r="E15">
        <v>65536</v>
      </c>
      <c r="F15">
        <v>120</v>
      </c>
      <c r="G15">
        <v>10000</v>
      </c>
      <c r="H15">
        <v>10000</v>
      </c>
      <c r="I15">
        <v>1</v>
      </c>
      <c r="J15">
        <v>65685</v>
      </c>
      <c r="K15">
        <v>97464</v>
      </c>
      <c r="L15">
        <v>12312018000</v>
      </c>
      <c r="M15">
        <v>26432</v>
      </c>
      <c r="N15">
        <v>97464</v>
      </c>
      <c r="O15">
        <v>12312016000</v>
      </c>
      <c r="P15">
        <v>10933.856</v>
      </c>
      <c r="Q15">
        <v>9527.0519999999997</v>
      </c>
      <c r="R15">
        <v>1399.1410000000001</v>
      </c>
      <c r="S15">
        <v>848.13409999999999</v>
      </c>
      <c r="T15">
        <v>12077.757</v>
      </c>
      <c r="U15">
        <v>9708</v>
      </c>
      <c r="V15">
        <v>259516</v>
      </c>
      <c r="W15">
        <v>259519</v>
      </c>
    </row>
    <row r="16" spans="1:23" x14ac:dyDescent="0.2">
      <c r="A16" t="s">
        <v>65</v>
      </c>
      <c r="B16">
        <v>6</v>
      </c>
      <c r="C16">
        <v>2</v>
      </c>
      <c r="D16">
        <v>42</v>
      </c>
      <c r="E16">
        <v>65536</v>
      </c>
      <c r="F16">
        <v>120</v>
      </c>
      <c r="G16">
        <v>10000</v>
      </c>
      <c r="H16">
        <v>10000</v>
      </c>
      <c r="I16">
        <v>1</v>
      </c>
      <c r="J16">
        <v>53482</v>
      </c>
      <c r="K16">
        <v>211480</v>
      </c>
      <c r="L16">
        <v>11039661000</v>
      </c>
      <c r="M16">
        <v>48338</v>
      </c>
      <c r="N16">
        <v>211485</v>
      </c>
      <c r="O16">
        <v>11039884000</v>
      </c>
      <c r="P16">
        <v>12948.214</v>
      </c>
      <c r="Q16">
        <v>10742.659</v>
      </c>
      <c r="R16">
        <v>2185.4270000000001</v>
      </c>
      <c r="S16">
        <v>727.99929999999995</v>
      </c>
      <c r="T16">
        <v>14615.598</v>
      </c>
      <c r="U16">
        <v>9762</v>
      </c>
      <c r="V16">
        <v>259501</v>
      </c>
      <c r="W16">
        <v>259520</v>
      </c>
    </row>
    <row r="17" spans="1:23" x14ac:dyDescent="0.2">
      <c r="A17" t="s">
        <v>118</v>
      </c>
      <c r="B17">
        <v>2</v>
      </c>
      <c r="C17">
        <v>5</v>
      </c>
      <c r="D17">
        <v>62</v>
      </c>
      <c r="E17">
        <v>65536</v>
      </c>
      <c r="F17">
        <v>120</v>
      </c>
      <c r="G17">
        <v>10000</v>
      </c>
      <c r="H17">
        <v>10000</v>
      </c>
      <c r="I17">
        <v>1</v>
      </c>
      <c r="J17" s="42">
        <v>62780</v>
      </c>
      <c r="K17" s="42">
        <v>414794</v>
      </c>
      <c r="L17">
        <v>11081539000</v>
      </c>
      <c r="M17">
        <v>77804</v>
      </c>
      <c r="N17">
        <v>414798</v>
      </c>
      <c r="O17">
        <v>11081898000</v>
      </c>
      <c r="P17">
        <v>16397.535</v>
      </c>
      <c r="Q17">
        <v>13460.194</v>
      </c>
      <c r="R17">
        <v>2902.8638000000001</v>
      </c>
      <c r="S17">
        <v>730.49994000000004</v>
      </c>
      <c r="T17">
        <v>18514.275000000001</v>
      </c>
      <c r="U17">
        <v>9778</v>
      </c>
      <c r="V17">
        <v>258294</v>
      </c>
      <c r="W17">
        <v>259519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9EF9-D657-5543-8A83-D4FC5239B65A}">
  <dimension ref="A1:AF40"/>
  <sheetViews>
    <sheetView tabSelected="1" topLeftCell="N1" zoomScale="130" zoomScaleNormal="130" workbookViewId="0">
      <selection activeCell="R34" sqref="R34"/>
    </sheetView>
  </sheetViews>
  <sheetFormatPr baseColWidth="10" defaultRowHeight="16" x14ac:dyDescent="0.2"/>
  <cols>
    <col min="1" max="1" width="37.1640625" style="1" bestFit="1" customWidth="1"/>
    <col min="2" max="2" width="13.1640625" style="20" bestFit="1" customWidth="1"/>
    <col min="3" max="3" width="18.1640625" style="1" bestFit="1" customWidth="1"/>
    <col min="4" max="4" width="12.33203125" style="1" customWidth="1"/>
    <col min="5" max="5" width="12.1640625" style="1" bestFit="1" customWidth="1"/>
    <col min="6" max="6" width="11" style="1" customWidth="1"/>
    <col min="7" max="7" width="18.83203125" style="1" bestFit="1" customWidth="1"/>
    <col min="8" max="8" width="16.5" style="1" bestFit="1" customWidth="1"/>
    <col min="9" max="9" width="16.1640625" style="9" bestFit="1" customWidth="1"/>
    <col min="10" max="10" width="16.33203125" style="13" bestFit="1" customWidth="1"/>
    <col min="11" max="11" width="18.5" style="9" bestFit="1" customWidth="1"/>
    <col min="12" max="12" width="25.83203125" style="9" bestFit="1" customWidth="1"/>
    <col min="13" max="13" width="24.6640625" style="9" bestFit="1" customWidth="1"/>
    <col min="14" max="14" width="27.6640625" style="9" bestFit="1" customWidth="1"/>
    <col min="15" max="15" width="12.5" style="16" customWidth="1"/>
    <col min="16" max="16" width="12.6640625" style="1" bestFit="1" customWidth="1"/>
    <col min="17" max="17" width="14.83203125" style="1" bestFit="1" customWidth="1"/>
    <col min="18" max="18" width="17.33203125" style="1" bestFit="1" customWidth="1"/>
    <col min="19" max="19" width="13" style="1" customWidth="1"/>
    <col min="20" max="20" width="15.1640625" style="1" bestFit="1" customWidth="1"/>
    <col min="21" max="21" width="19" style="1" bestFit="1" customWidth="1"/>
    <col min="22" max="23" width="16.5" style="9" bestFit="1" customWidth="1"/>
    <col min="24" max="24" width="15.1640625" style="9" bestFit="1" customWidth="1"/>
    <col min="25" max="25" width="15.5" style="9" bestFit="1" customWidth="1"/>
    <col min="26" max="26" width="19.83203125" style="1" bestFit="1" customWidth="1"/>
    <col min="27" max="27" width="13" style="1" customWidth="1"/>
    <col min="28" max="28" width="14.6640625" style="1" bestFit="1" customWidth="1"/>
    <col min="29" max="29" width="14" style="9" bestFit="1" customWidth="1"/>
    <col min="30" max="30" width="11.6640625" style="9" bestFit="1" customWidth="1"/>
    <col min="31" max="31" width="12.1640625" style="16" customWidth="1"/>
    <col min="32" max="32" width="14.33203125" style="16" bestFit="1" customWidth="1"/>
    <col min="33" max="33" width="10.6640625" style="1" customWidth="1"/>
    <col min="34" max="34" width="10.33203125" style="1" customWidth="1"/>
    <col min="35" max="35" width="1.33203125" style="1" customWidth="1"/>
    <col min="36" max="36" width="10.6640625" style="1" customWidth="1"/>
    <col min="37" max="38" width="10.83203125" style="1"/>
    <col min="39" max="39" width="10.1640625" style="1" customWidth="1"/>
    <col min="40" max="40" width="1.6640625" style="1" customWidth="1"/>
    <col min="41" max="41" width="8.6640625" style="1" customWidth="1"/>
    <col min="42" max="43" width="9.83203125" style="1" customWidth="1"/>
    <col min="44" max="44" width="8.33203125" style="1" customWidth="1"/>
    <col min="45" max="45" width="2.1640625" style="1" customWidth="1"/>
    <col min="46" max="16384" width="10.83203125" style="1"/>
  </cols>
  <sheetData>
    <row r="1" spans="1:31" x14ac:dyDescent="0.2">
      <c r="A1" s="1" t="s">
        <v>4</v>
      </c>
      <c r="B1" s="20">
        <v>10000</v>
      </c>
      <c r="C1" s="25"/>
    </row>
    <row r="2" spans="1:31" x14ac:dyDescent="0.2">
      <c r="A2" s="1" t="s">
        <v>66</v>
      </c>
      <c r="B2" s="23">
        <f>0.0053 / 1000</f>
        <v>5.3000000000000001E-6</v>
      </c>
      <c r="C2" s="25" t="s">
        <v>136</v>
      </c>
    </row>
    <row r="3" spans="1:31" x14ac:dyDescent="0.2">
      <c r="A3" s="1" t="s">
        <v>67</v>
      </c>
      <c r="B3" s="23">
        <f>0.0053 / 1000</f>
        <v>5.3000000000000001E-6</v>
      </c>
      <c r="C3" s="25" t="s">
        <v>137</v>
      </c>
    </row>
    <row r="4" spans="1:31" x14ac:dyDescent="0.2">
      <c r="A4" s="1" t="s">
        <v>68</v>
      </c>
      <c r="B4" s="20">
        <f>0.00042/1000</f>
        <v>4.2E-7</v>
      </c>
      <c r="C4" s="25" t="s">
        <v>138</v>
      </c>
    </row>
    <row r="5" spans="1:31" x14ac:dyDescent="0.2">
      <c r="A5" s="1" t="s">
        <v>69</v>
      </c>
      <c r="B5" s="20">
        <v>0</v>
      </c>
      <c r="C5" s="25"/>
    </row>
    <row r="6" spans="1:31" x14ac:dyDescent="0.2">
      <c r="A6" s="1" t="s">
        <v>26</v>
      </c>
      <c r="B6" s="20">
        <f>0.2/1000000</f>
        <v>2.0000000000000002E-7</v>
      </c>
      <c r="C6" s="25" t="s">
        <v>126</v>
      </c>
    </row>
    <row r="7" spans="1:31" x14ac:dyDescent="0.2">
      <c r="A7" s="1" t="s">
        <v>27</v>
      </c>
      <c r="B7" s="20">
        <f>0.0000000021*1000</f>
        <v>2.1000000000000002E-6</v>
      </c>
      <c r="C7" s="25" t="s">
        <v>129</v>
      </c>
    </row>
    <row r="11" spans="1:31" x14ac:dyDescent="0.2">
      <c r="A11" s="24" t="s">
        <v>125</v>
      </c>
      <c r="B11" s="29" t="s">
        <v>124</v>
      </c>
      <c r="C11" s="25"/>
      <c r="D11" s="25"/>
      <c r="E11" s="25" t="s">
        <v>128</v>
      </c>
      <c r="F11" s="25"/>
      <c r="G11" s="25"/>
      <c r="H11" s="25" t="s">
        <v>127</v>
      </c>
      <c r="I11" s="26"/>
      <c r="J11" s="27"/>
      <c r="K11" s="26"/>
      <c r="L11" s="26"/>
      <c r="M11" s="26"/>
      <c r="N11" s="26"/>
      <c r="O11" s="28"/>
      <c r="P11" s="25" t="s">
        <v>139</v>
      </c>
      <c r="Q11" s="25" t="s">
        <v>140</v>
      </c>
      <c r="R11" s="25"/>
      <c r="S11" s="25"/>
      <c r="T11" s="25" t="s">
        <v>141</v>
      </c>
      <c r="U11" s="25"/>
      <c r="V11" s="26"/>
      <c r="W11" s="26"/>
      <c r="X11" s="26"/>
      <c r="Y11" s="26"/>
      <c r="Z11" s="25"/>
      <c r="AA11" s="25"/>
      <c r="AB11" s="25"/>
      <c r="AC11" s="26"/>
      <c r="AD11" s="26" t="s">
        <v>121</v>
      </c>
      <c r="AE11" s="28" t="s">
        <v>142</v>
      </c>
    </row>
    <row r="13" spans="1:31" x14ac:dyDescent="0.2">
      <c r="B13" s="31" t="s">
        <v>54</v>
      </c>
      <c r="C13" s="31"/>
      <c r="D13" s="31"/>
      <c r="E13" s="31"/>
      <c r="H13" s="9"/>
      <c r="I13" s="13"/>
      <c r="J13" s="9"/>
      <c r="K13" s="16"/>
      <c r="L13" s="16"/>
      <c r="M13" s="16"/>
      <c r="N13" s="16"/>
      <c r="O13" s="1"/>
      <c r="U13" s="9"/>
      <c r="Y13" s="1"/>
      <c r="AB13" s="9"/>
      <c r="AD13" s="16"/>
    </row>
    <row r="14" spans="1:31" x14ac:dyDescent="0.2">
      <c r="A14" s="1" t="s">
        <v>13</v>
      </c>
      <c r="B14" s="21" t="s">
        <v>0</v>
      </c>
      <c r="C14" s="5" t="s">
        <v>3</v>
      </c>
      <c r="D14" s="5" t="s">
        <v>2</v>
      </c>
      <c r="E14" s="5" t="s">
        <v>12</v>
      </c>
      <c r="G14" s="8" t="s">
        <v>19</v>
      </c>
      <c r="H14" s="10" t="s">
        <v>18</v>
      </c>
      <c r="I14" s="14" t="s">
        <v>1</v>
      </c>
      <c r="J14" s="10" t="s">
        <v>52</v>
      </c>
      <c r="K14" s="17" t="s">
        <v>53</v>
      </c>
      <c r="L14" s="17" t="s">
        <v>107</v>
      </c>
      <c r="M14" s="17" t="s">
        <v>108</v>
      </c>
      <c r="N14" s="17" t="s">
        <v>120</v>
      </c>
      <c r="O14" s="1"/>
      <c r="P14" s="8" t="s">
        <v>77</v>
      </c>
      <c r="Q14" s="8" t="s">
        <v>78</v>
      </c>
      <c r="R14" s="8" t="s">
        <v>79</v>
      </c>
      <c r="S14" s="8" t="s">
        <v>80</v>
      </c>
      <c r="T14" s="8" t="s">
        <v>81</v>
      </c>
      <c r="U14" s="12" t="s">
        <v>82</v>
      </c>
      <c r="V14" s="12" t="s">
        <v>83</v>
      </c>
      <c r="W14" s="12" t="s">
        <v>84</v>
      </c>
      <c r="X14" s="12" t="s">
        <v>14</v>
      </c>
      <c r="Y14" s="8" t="s">
        <v>85</v>
      </c>
      <c r="Z14" s="8" t="s">
        <v>17</v>
      </c>
      <c r="AB14" s="10" t="s">
        <v>15</v>
      </c>
      <c r="AC14" s="10" t="s">
        <v>16</v>
      </c>
      <c r="AD14" s="17" t="s">
        <v>5</v>
      </c>
      <c r="AE14" s="17" t="s">
        <v>86</v>
      </c>
    </row>
    <row r="15" spans="1:31" x14ac:dyDescent="0.2">
      <c r="A15" s="4" t="s">
        <v>99</v>
      </c>
      <c r="B15" s="19">
        <v>8</v>
      </c>
      <c r="C15" s="2">
        <v>8</v>
      </c>
      <c r="D15" s="2">
        <v>1</v>
      </c>
      <c r="E15" s="2">
        <v>1000</v>
      </c>
      <c r="G15" s="2">
        <f>VLOOKUP(A15,'Metric Reports Object Storage'!$A$1:$Z$53,15,FALSE)</f>
        <v>465.88544000000002</v>
      </c>
      <c r="H15" s="11">
        <f>G15/B15</f>
        <v>58.235680000000002</v>
      </c>
      <c r="I15" s="15">
        <f>H15/$B$1</f>
        <v>5.8235680000000003E-3</v>
      </c>
      <c r="J15" s="11">
        <f>SUM(AD15:AE15)</f>
        <v>5.3909469093750002E-2</v>
      </c>
      <c r="K15" s="18">
        <f>J15/$B$1</f>
        <v>5.3909469093750003E-6</v>
      </c>
      <c r="L15" s="18">
        <f>AD15/$B$1</f>
        <v>8.4453690937499999E-7</v>
      </c>
      <c r="M15" s="18">
        <f>AE15/$B$1</f>
        <v>4.5464100000000001E-6</v>
      </c>
      <c r="N15" s="18">
        <f>X15/$B$1/B15</f>
        <v>6.4331954999999989E-3</v>
      </c>
      <c r="O15" s="1"/>
      <c r="P15" s="2">
        <f>VLOOKUP(A15,'Metric Reports Object Storage'!$A$1:$Z$53,10,FALSE)</f>
        <v>6452</v>
      </c>
      <c r="Q15" s="2">
        <f>VLOOKUP(A15,'Metric Reports Object Storage'!$A$1:$Z$53,11,FALSE)</f>
        <v>6450</v>
      </c>
      <c r="R15" s="2">
        <f>VLOOKUP(A15,'Metric Reports Object Storage'!$A$1:$Z$53,12,FALSE)</f>
        <v>240694300</v>
      </c>
      <c r="S15" s="2">
        <f>VLOOKUP(A15,'Metric Reports Object Storage'!$A$1:$Z$53,13,FALSE)</f>
        <v>240694370</v>
      </c>
      <c r="T15" s="2">
        <f>VLOOKUP(A15,'Metric Reports Object Storage'!$A$1:$Z$53,14,FALSE)</f>
        <v>1615</v>
      </c>
      <c r="U15" s="2">
        <f>VLOOKUP(A15,'Metric Reports Object Storage'!$A$1:$Z$53,16,FALSE)</f>
        <v>445.53847999999999</v>
      </c>
      <c r="V15" s="2">
        <f>VLOOKUP(A15,'Metric Reports Object Storage'!$A$1:$Z$53,17,FALSE)</f>
        <v>68.629050000000007</v>
      </c>
      <c r="W15" s="2">
        <f>VLOOKUP(A15,'Metric Reports Object Storage'!$A$1:$Z$53,18,FALSE)</f>
        <v>19.990715000000002</v>
      </c>
      <c r="X15" s="2">
        <f>VLOOKUP(A15,'Metric Reports Object Storage'!$A$1:$Z$53,19,FALSE)</f>
        <v>514.65563999999995</v>
      </c>
      <c r="Y15" s="2">
        <f>VLOOKUP(A15,'Metric Reports Object Storage'!$A$1:$Z$53,20,FALSE)</f>
        <v>1966529</v>
      </c>
      <c r="Z15" s="2">
        <f>VLOOKUP(A15,'Metric Reports Object Storage'!$A$1:$Z$53,21,FALSE)</f>
        <v>9931</v>
      </c>
      <c r="AB15" s="11">
        <f>(U15/G15)*100</f>
        <v>95.632625909064686</v>
      </c>
      <c r="AC15" s="11">
        <f>(W15/G15)*100</f>
        <v>4.2909078678226127</v>
      </c>
      <c r="AD15" s="18">
        <f>((B15+1)*$B$6) + (X15*(E15/128)*$B$7)</f>
        <v>8.4453690937500003E-3</v>
      </c>
      <c r="AE15" s="18">
        <f>(P15*$B$2)+(Q15*$B$4) + (T15*$B$3)</f>
        <v>4.54641E-2</v>
      </c>
    </row>
    <row r="16" spans="1:31" x14ac:dyDescent="0.2">
      <c r="A16" s="4" t="s">
        <v>88</v>
      </c>
      <c r="B16" s="19">
        <v>20</v>
      </c>
      <c r="C16" s="2">
        <v>4</v>
      </c>
      <c r="D16" s="2">
        <v>2</v>
      </c>
      <c r="E16" s="2">
        <v>1000</v>
      </c>
      <c r="G16" s="2">
        <f>VLOOKUP(A16,'Metric Reports Object Storage'!$A$1:$Z$53,15,FALSE)</f>
        <v>1357.463</v>
      </c>
      <c r="H16" s="11">
        <f t="shared" ref="H16:H18" si="0">G16/B16</f>
        <v>67.873149999999995</v>
      </c>
      <c r="I16" s="15">
        <f t="shared" ref="I16:I18" si="1">H16/$B$1</f>
        <v>6.7873149999999995E-3</v>
      </c>
      <c r="J16" s="11">
        <f t="shared" ref="J16:J18" si="2">SUM(AD16:AE16)</f>
        <v>0.29748588031250001</v>
      </c>
      <c r="K16" s="18">
        <f>J16/$B$1</f>
        <v>2.9748588031250002E-5</v>
      </c>
      <c r="L16" s="18">
        <f t="shared" ref="L16:L18" si="3">AD16/$B$1</f>
        <v>2.3673280312500004E-6</v>
      </c>
      <c r="M16" s="18">
        <f t="shared" ref="M16:M18" si="4">AE16/$B$1</f>
        <v>2.7381260000000002E-5</v>
      </c>
      <c r="N16" s="18">
        <f t="shared" ref="N16:N18" si="5">X16/$B$1/B16</f>
        <v>7.2134339999999995E-3</v>
      </c>
      <c r="O16" s="1"/>
      <c r="P16" s="2">
        <f>VLOOKUP(A16,'Metric Reports Object Storage'!$A$1:$Z$53,10,FALSE)</f>
        <v>43790</v>
      </c>
      <c r="Q16" s="2">
        <f>VLOOKUP(A16,'Metric Reports Object Storage'!$A$1:$Z$53,11,FALSE)</f>
        <v>43785</v>
      </c>
      <c r="R16" s="2">
        <f>VLOOKUP(A16,'Metric Reports Object Storage'!$A$1:$Z$53,12,FALSE)</f>
        <v>449245400</v>
      </c>
      <c r="S16" s="2">
        <f>VLOOKUP(A16,'Metric Reports Object Storage'!$A$1:$Z$53,13,FALSE)</f>
        <v>449245280</v>
      </c>
      <c r="T16" s="2">
        <f>VLOOKUP(A16,'Metric Reports Object Storage'!$A$1:$Z$53,14,FALSE)</f>
        <v>4403</v>
      </c>
      <c r="U16" s="2">
        <f>VLOOKUP(A16,'Metric Reports Object Storage'!$A$1:$Z$53,16,FALSE)</f>
        <v>1290.8815999999999</v>
      </c>
      <c r="V16" s="2">
        <f>VLOOKUP(A16,'Metric Reports Object Storage'!$A$1:$Z$53,17,FALSE)</f>
        <v>271.45960000000002</v>
      </c>
      <c r="W16" s="2">
        <f>VLOOKUP(A16,'Metric Reports Object Storage'!$A$1:$Z$53,18,FALSE)</f>
        <v>64.848190000000002</v>
      </c>
      <c r="X16" s="2">
        <f>VLOOKUP(A16,'Metric Reports Object Storage'!$A$1:$Z$53,19,FALSE)</f>
        <v>1442.6867999999999</v>
      </c>
      <c r="Y16" s="2">
        <f>VLOOKUP(A16,'Metric Reports Object Storage'!$A$1:$Z$53,20,FALSE)</f>
        <v>1875323</v>
      </c>
      <c r="Z16" s="2">
        <f>VLOOKUP(A16,'Metric Reports Object Storage'!$A$1:$Z$53,21,FALSE)</f>
        <v>9931</v>
      </c>
      <c r="AB16" s="11">
        <f>(U16/G16)*100</f>
        <v>95.095159131409105</v>
      </c>
      <c r="AC16" s="11">
        <f>(W16/G16)*100</f>
        <v>4.7771607771261539</v>
      </c>
      <c r="AD16" s="18">
        <f>((B16+1)*$B$6) + (X16*(E16/128)*$B$7)</f>
        <v>2.3673280312500003E-2</v>
      </c>
      <c r="AE16" s="18">
        <f t="shared" ref="AE16:AE18" si="6">(P16*$B$2)+(Q16*$B$4) + (T16*$B$3)</f>
        <v>0.27381260000000002</v>
      </c>
    </row>
    <row r="17" spans="1:31" x14ac:dyDescent="0.2">
      <c r="A17" s="4" t="s">
        <v>89</v>
      </c>
      <c r="B17" s="19">
        <v>42</v>
      </c>
      <c r="C17" s="2">
        <v>6</v>
      </c>
      <c r="D17" s="2">
        <v>2</v>
      </c>
      <c r="E17" s="2">
        <v>1000</v>
      </c>
      <c r="G17" s="2">
        <f>VLOOKUP(A17,'Metric Reports Object Storage'!$A$1:$Z$53,15,FALSE)</f>
        <v>4422.9690000000001</v>
      </c>
      <c r="H17" s="11">
        <f t="shared" si="0"/>
        <v>105.30878571428572</v>
      </c>
      <c r="I17" s="15">
        <f t="shared" si="1"/>
        <v>1.0530878571428572E-2</v>
      </c>
      <c r="J17" s="11">
        <f t="shared" si="2"/>
        <v>1.2457741742187503</v>
      </c>
      <c r="K17" s="18">
        <f>J17/$B$1</f>
        <v>1.2457741742187502E-4</v>
      </c>
      <c r="L17" s="18">
        <f t="shared" si="3"/>
        <v>7.5180774218750013E-6</v>
      </c>
      <c r="M17" s="18">
        <f t="shared" si="4"/>
        <v>1.1705934000000003E-4</v>
      </c>
      <c r="N17" s="18">
        <f t="shared" si="5"/>
        <v>1.0909340476190476E-2</v>
      </c>
      <c r="O17" s="1"/>
      <c r="P17" s="2">
        <f>VLOOKUP(A17,'Metric Reports Object Storage'!$A$1:$Z$53,10,FALSE)</f>
        <v>191257</v>
      </c>
      <c r="Q17" s="2">
        <f>VLOOKUP(A17,'Metric Reports Object Storage'!$A$1:$Z$53,11,FALSE)</f>
        <v>191225</v>
      </c>
      <c r="R17" s="2">
        <f>VLOOKUP(A17,'Metric Reports Object Storage'!$A$1:$Z$53,12,FALSE)</f>
        <v>886372400</v>
      </c>
      <c r="S17" s="2">
        <f>VLOOKUP(A17,'Metric Reports Object Storage'!$A$1:$Z$53,13,FALSE)</f>
        <v>886367040</v>
      </c>
      <c r="T17" s="2">
        <f>VLOOKUP(A17,'Metric Reports Object Storage'!$A$1:$Z$53,14,FALSE)</f>
        <v>14456</v>
      </c>
      <c r="U17" s="2">
        <f>VLOOKUP(A17,'Metric Reports Object Storage'!$A$1:$Z$53,16,FALSE)</f>
        <v>4184.6587</v>
      </c>
      <c r="V17" s="2">
        <f>VLOOKUP(A17,'Metric Reports Object Storage'!$A$1:$Z$53,17,FALSE)</f>
        <v>875.18804999999998</v>
      </c>
      <c r="W17" s="2">
        <f>VLOOKUP(A17,'Metric Reports Object Storage'!$A$1:$Z$53,18,FALSE)</f>
        <v>234.1506</v>
      </c>
      <c r="X17" s="2">
        <f>VLOOKUP(A17,'Metric Reports Object Storage'!$A$1:$Z$53,19,FALSE)</f>
        <v>4581.9229999999998</v>
      </c>
      <c r="Y17" s="2">
        <f>VLOOKUP(A17,'Metric Reports Object Storage'!$A$1:$Z$53,20,FALSE)</f>
        <v>1056147</v>
      </c>
      <c r="Z17" s="2">
        <f>VLOOKUP(A17,'Metric Reports Object Storage'!$A$1:$Z$53,21,FALSE)</f>
        <v>9931</v>
      </c>
      <c r="AB17" s="11">
        <f>(U17/G17)*100</f>
        <v>94.611983488918867</v>
      </c>
      <c r="AC17" s="11">
        <f>(W17/G17)*100</f>
        <v>5.2939688250132431</v>
      </c>
      <c r="AD17" s="18">
        <f>((B17+1)*$B$6) + (X17*(E17/128)*$B$7)</f>
        <v>7.518077421875001E-2</v>
      </c>
      <c r="AE17" s="18">
        <f t="shared" si="6"/>
        <v>1.1705934000000002</v>
      </c>
    </row>
    <row r="18" spans="1:31" x14ac:dyDescent="0.2">
      <c r="A18" s="4" t="s">
        <v>103</v>
      </c>
      <c r="B18" s="19">
        <v>62</v>
      </c>
      <c r="C18" s="2">
        <v>4</v>
      </c>
      <c r="D18" s="2">
        <v>3</v>
      </c>
      <c r="E18" s="2">
        <v>1000</v>
      </c>
      <c r="G18" s="2">
        <f>VLOOKUP(A18,'Metric Reports Object Storage'!$A$1:$Z$53,15,FALSE)</f>
        <v>7867.4440000000004</v>
      </c>
      <c r="H18" s="11">
        <f t="shared" si="0"/>
        <v>126.89425806451614</v>
      </c>
      <c r="I18" s="15">
        <f t="shared" si="1"/>
        <v>1.2689425806451615E-2</v>
      </c>
      <c r="J18" s="11">
        <f t="shared" si="2"/>
        <v>2.3407127010937501</v>
      </c>
      <c r="K18" s="18">
        <f>J18/$B$1</f>
        <v>2.34071270109375E-4</v>
      </c>
      <c r="L18" s="18">
        <f t="shared" si="3"/>
        <v>1.3283942109375003E-5</v>
      </c>
      <c r="M18" s="18">
        <f t="shared" si="4"/>
        <v>2.2078732799999998E-4</v>
      </c>
      <c r="N18" s="18">
        <f t="shared" si="5"/>
        <v>1.3058243548387097E-2</v>
      </c>
      <c r="O18" s="1"/>
      <c r="P18" s="2">
        <f>VLOOKUP(A18,'Metric Reports Object Storage'!$A$1:$Z$53,10,FALSE)</f>
        <v>364521</v>
      </c>
      <c r="Q18" s="2">
        <f>VLOOKUP(A18,'Metric Reports Object Storage'!$A$1:$Z$53,11,FALSE)</f>
        <v>364449</v>
      </c>
      <c r="R18" s="2">
        <f>VLOOKUP(A18,'Metric Reports Object Storage'!$A$1:$Z$53,12,FALSE)</f>
        <v>1325980800</v>
      </c>
      <c r="S18" s="2">
        <f>VLOOKUP(A18,'Metric Reports Object Storage'!$A$1:$Z$53,13,FALSE)</f>
        <v>1325968900</v>
      </c>
      <c r="T18" s="2">
        <f>VLOOKUP(A18,'Metric Reports Object Storage'!$A$1:$Z$53,14,FALSE)</f>
        <v>23178</v>
      </c>
      <c r="U18" s="2">
        <f>VLOOKUP(A18,'Metric Reports Object Storage'!$A$1:$Z$53,16,FALSE)</f>
        <v>7343.0450000000001</v>
      </c>
      <c r="V18" s="2">
        <f>VLOOKUP(A18,'Metric Reports Object Storage'!$A$1:$Z$53,17,FALSE)</f>
        <v>1328.0978</v>
      </c>
      <c r="W18" s="2">
        <f>VLOOKUP(A18,'Metric Reports Object Storage'!$A$1:$Z$53,18,FALSE)</f>
        <v>517.05949999999996</v>
      </c>
      <c r="X18" s="2">
        <f>VLOOKUP(A18,'Metric Reports Object Storage'!$A$1:$Z$53,19,FALSE)</f>
        <v>8096.1109999999999</v>
      </c>
      <c r="Y18" s="2">
        <f>VLOOKUP(A18,'Metric Reports Object Storage'!$A$1:$Z$53,20,FALSE)</f>
        <v>728881</v>
      </c>
      <c r="Z18" s="2">
        <f>VLOOKUP(A18,'Metric Reports Object Storage'!$A$1:$Z$53,21,FALSE)</f>
        <v>9931</v>
      </c>
      <c r="AB18" s="11">
        <f>(U18/G18)*100</f>
        <v>93.334569651846266</v>
      </c>
      <c r="AC18" s="11">
        <f>(W18/G18)*100</f>
        <v>6.5721408376087576</v>
      </c>
      <c r="AD18" s="18">
        <f>((B18+1)*$B$6) + (X18*(E18/128)*$B$7)</f>
        <v>0.13283942109375002</v>
      </c>
      <c r="AE18" s="18">
        <f t="shared" si="6"/>
        <v>2.2078732799999998</v>
      </c>
    </row>
    <row r="19" spans="1:31" x14ac:dyDescent="0.2">
      <c r="H19" s="9"/>
      <c r="I19" s="13"/>
      <c r="J19" s="9"/>
      <c r="K19" s="16"/>
      <c r="L19" s="16"/>
      <c r="M19" s="16"/>
      <c r="N19" s="16"/>
      <c r="O19" s="1"/>
      <c r="U19" s="9"/>
      <c r="Y19" s="1"/>
      <c r="AB19" s="9"/>
      <c r="AD19" s="16"/>
    </row>
    <row r="20" spans="1:31" x14ac:dyDescent="0.2">
      <c r="B20" s="32" t="s">
        <v>55</v>
      </c>
      <c r="C20" s="32"/>
      <c r="D20" s="32"/>
      <c r="E20" s="32"/>
      <c r="H20" s="9"/>
      <c r="I20" s="13"/>
      <c r="J20" s="9"/>
      <c r="K20" s="16"/>
      <c r="L20" s="16"/>
      <c r="M20" s="16"/>
      <c r="N20" s="16"/>
      <c r="O20" s="1"/>
      <c r="U20" s="9"/>
      <c r="Y20" s="1"/>
      <c r="AB20" s="9"/>
      <c r="AD20" s="16"/>
    </row>
    <row r="21" spans="1:31" x14ac:dyDescent="0.2">
      <c r="B21" s="21" t="s">
        <v>0</v>
      </c>
      <c r="C21" s="5" t="s">
        <v>3</v>
      </c>
      <c r="D21" s="5" t="s">
        <v>2</v>
      </c>
      <c r="E21" s="5" t="s">
        <v>12</v>
      </c>
      <c r="H21" s="9"/>
      <c r="I21" s="13"/>
      <c r="J21" s="9"/>
      <c r="K21" s="16"/>
      <c r="L21" s="16"/>
      <c r="M21" s="16"/>
      <c r="N21" s="16"/>
      <c r="O21" s="1"/>
      <c r="U21" s="9"/>
      <c r="Y21" s="1"/>
      <c r="AB21" s="9"/>
      <c r="AD21" s="16"/>
    </row>
    <row r="22" spans="1:31" x14ac:dyDescent="0.2">
      <c r="A22" s="4" t="s">
        <v>100</v>
      </c>
      <c r="B22" s="19">
        <v>8</v>
      </c>
      <c r="C22" s="2">
        <v>8</v>
      </c>
      <c r="D22" s="2">
        <v>1</v>
      </c>
      <c r="E22" s="2">
        <v>1500</v>
      </c>
      <c r="G22" s="2">
        <f>VLOOKUP(A22,'Metric Reports Object Storage'!$A$1:$Z$53,15,FALSE)</f>
        <v>623.35064999999997</v>
      </c>
      <c r="H22" s="11">
        <f>G22/B22</f>
        <v>77.918831249999997</v>
      </c>
      <c r="I22" s="15">
        <f t="shared" ref="I22:I25" si="7">H22/$B$1</f>
        <v>7.7918831249999994E-3</v>
      </c>
      <c r="J22" s="11">
        <f>SUM(AD22:AE22)</f>
        <v>6.2643168093750007E-2</v>
      </c>
      <c r="K22" s="18">
        <f>J22/$B$1</f>
        <v>6.2643168093750007E-6</v>
      </c>
      <c r="L22" s="18">
        <f t="shared" ref="L22:L25" si="8">AD22/$B$1</f>
        <v>1.7382108093750002E-6</v>
      </c>
      <c r="M22" s="18">
        <f t="shared" ref="M22:M25" si="9">AE22/$B$1</f>
        <v>4.5261060000000003E-6</v>
      </c>
      <c r="N22" s="18">
        <f t="shared" ref="N22:N25" si="10">X22/$B$1/B22</f>
        <v>8.8280930000000004E-3</v>
      </c>
      <c r="O22" s="1"/>
      <c r="P22" s="2">
        <f>VLOOKUP(A22,'Metric Reports Object Storage'!$A$1:$Z$53,10,FALSE)</f>
        <v>6388</v>
      </c>
      <c r="Q22" s="2">
        <f>VLOOKUP(A22,'Metric Reports Object Storage'!$A$1:$Z$53,11,FALSE)</f>
        <v>6383</v>
      </c>
      <c r="R22" s="2">
        <f>VLOOKUP(A22,'Metric Reports Object Storage'!$A$1:$Z$53,12,FALSE)</f>
        <v>797351040</v>
      </c>
      <c r="S22" s="2">
        <f>VLOOKUP(A22,'Metric Reports Object Storage'!$A$1:$Z$53,13,FALSE)</f>
        <v>797351040</v>
      </c>
      <c r="T22" s="2">
        <f>VLOOKUP(A22,'Metric Reports Object Storage'!$A$1:$Z$53,14,FALSE)</f>
        <v>1646</v>
      </c>
      <c r="U22" s="2">
        <f>VLOOKUP(A22,'Metric Reports Object Storage'!$A$1:$Z$53,16,FALSE)</f>
        <v>557.58234000000004</v>
      </c>
      <c r="V22" s="2">
        <f>VLOOKUP(A22,'Metric Reports Object Storage'!$A$1:$Z$53,17,FALSE)</f>
        <v>179.23415</v>
      </c>
      <c r="W22" s="2">
        <f>VLOOKUP(A22,'Metric Reports Object Storage'!$A$1:$Z$53,18,FALSE)</f>
        <v>65.105149999999995</v>
      </c>
      <c r="X22" s="2">
        <f>VLOOKUP(A22,'Metric Reports Object Storage'!$A$1:$Z$53,19,FALSE)</f>
        <v>706.24743999999998</v>
      </c>
      <c r="Y22" s="2">
        <f>VLOOKUP(A22,'Metric Reports Object Storage'!$A$1:$Z$53,20,FALSE)</f>
        <v>3207895</v>
      </c>
      <c r="Z22" s="2">
        <f>VLOOKUP(A22,'Metric Reports Object Storage'!$A$1:$Z$53,21,FALSE)</f>
        <v>9857</v>
      </c>
      <c r="AB22" s="11">
        <f>(U22/G22)*100</f>
        <v>89.449227332962607</v>
      </c>
      <c r="AC22" s="11">
        <f>(W22/G22)*100</f>
        <v>10.444386317717003</v>
      </c>
      <c r="AD22" s="18">
        <f>((B22+1)*$B$6) + (X22*(E22/128)*$B$7)</f>
        <v>1.7382108093750001E-2</v>
      </c>
      <c r="AE22" s="18">
        <f>(P22*$B$2)+(Q22*$B$4) + (T22*$B$3)</f>
        <v>4.5261060000000006E-2</v>
      </c>
    </row>
    <row r="23" spans="1:31" x14ac:dyDescent="0.2">
      <c r="A23" s="4" t="s">
        <v>91</v>
      </c>
      <c r="B23" s="19">
        <v>20</v>
      </c>
      <c r="C23" s="2">
        <v>4</v>
      </c>
      <c r="D23" s="2">
        <v>2</v>
      </c>
      <c r="E23" s="2">
        <v>1500</v>
      </c>
      <c r="G23" s="2">
        <f>VLOOKUP(A23,'Metric Reports Object Storage'!$A$1:$Z$53,15,FALSE)</f>
        <v>1506.7130999999999</v>
      </c>
      <c r="H23" s="11">
        <f t="shared" ref="H23:H25" si="11">G23/B23</f>
        <v>75.335655000000003</v>
      </c>
      <c r="I23" s="15">
        <f t="shared" si="7"/>
        <v>7.5335655000000005E-3</v>
      </c>
      <c r="J23" s="11">
        <f t="shared" ref="J23:J25" si="12">SUM(AD23:AE23)</f>
        <v>0.31111914976562499</v>
      </c>
      <c r="K23" s="18">
        <f>J23/$B$1</f>
        <v>3.1111914976562501E-5</v>
      </c>
      <c r="L23" s="18">
        <f t="shared" si="8"/>
        <v>4.0437929765625003E-6</v>
      </c>
      <c r="M23" s="18">
        <f t="shared" si="9"/>
        <v>2.7068121999999999E-5</v>
      </c>
      <c r="N23" s="18">
        <f t="shared" si="10"/>
        <v>8.215107000000001E-3</v>
      </c>
      <c r="O23" s="1"/>
      <c r="P23" s="2">
        <f>VLOOKUP(A23,'Metric Reports Object Storage'!$A$1:$Z$53,10,FALSE)</f>
        <v>43145</v>
      </c>
      <c r="Q23" s="2">
        <f>VLOOKUP(A23,'Metric Reports Object Storage'!$A$1:$Z$53,11,FALSE)</f>
        <v>43131</v>
      </c>
      <c r="R23" s="2">
        <f>VLOOKUP(A23,'Metric Reports Object Storage'!$A$1:$Z$53,12,FALSE)</f>
        <v>1058971650</v>
      </c>
      <c r="S23" s="2">
        <f>VLOOKUP(A23,'Metric Reports Object Storage'!$A$1:$Z$53,13,FALSE)</f>
        <v>1058971100</v>
      </c>
      <c r="T23" s="2">
        <f>VLOOKUP(A23,'Metric Reports Object Storage'!$A$1:$Z$53,14,FALSE)</f>
        <v>4509</v>
      </c>
      <c r="U23" s="2">
        <f>VLOOKUP(A23,'Metric Reports Object Storage'!$A$1:$Z$53,16,FALSE)</f>
        <v>1386.338</v>
      </c>
      <c r="V23" s="2">
        <f>VLOOKUP(A23,'Metric Reports Object Storage'!$A$1:$Z$53,17,FALSE)</f>
        <v>230.03649999999999</v>
      </c>
      <c r="W23" s="2">
        <f>VLOOKUP(A23,'Metric Reports Object Storage'!$A$1:$Z$53,18,FALSE)</f>
        <v>118.66134</v>
      </c>
      <c r="X23" s="2">
        <f>VLOOKUP(A23,'Metric Reports Object Storage'!$A$1:$Z$53,19,FALSE)</f>
        <v>1643.0214000000001</v>
      </c>
      <c r="Y23" s="2">
        <f>VLOOKUP(A23,'Metric Reports Object Storage'!$A$1:$Z$53,20,FALSE)</f>
        <v>1528681</v>
      </c>
      <c r="Z23" s="2">
        <f>VLOOKUP(A23,'Metric Reports Object Storage'!$A$1:$Z$53,21,FALSE)</f>
        <v>9825</v>
      </c>
      <c r="AB23" s="11">
        <f>(U23/G23)*100</f>
        <v>92.010748429810562</v>
      </c>
      <c r="AC23" s="11">
        <f>(W23/G23)*100</f>
        <v>7.8755099428019832</v>
      </c>
      <c r="AD23" s="18">
        <f>((B23+1)*$B$6) + (X23*(E23/128)*$B$7)</f>
        <v>4.0437929765625005E-2</v>
      </c>
      <c r="AE23" s="18">
        <f t="shared" ref="AE23:AE25" si="13">(P23*$B$2)+(Q23*$B$4) + (T23*$B$3)</f>
        <v>0.27068122</v>
      </c>
    </row>
    <row r="24" spans="1:31" x14ac:dyDescent="0.2">
      <c r="A24" s="4" t="s">
        <v>92</v>
      </c>
      <c r="B24" s="19">
        <v>42</v>
      </c>
      <c r="C24" s="2">
        <v>6</v>
      </c>
      <c r="D24" s="2">
        <v>2</v>
      </c>
      <c r="E24" s="2">
        <v>1500</v>
      </c>
      <c r="G24" s="2">
        <f>VLOOKUP(A24,'Metric Reports Object Storage'!$A$1:$Z$53,15,FALSE)</f>
        <v>4851.8135000000002</v>
      </c>
      <c r="H24" s="11">
        <f t="shared" si="11"/>
        <v>115.51936904761905</v>
      </c>
      <c r="I24" s="15">
        <f t="shared" si="7"/>
        <v>1.1551936904761905E-2</v>
      </c>
      <c r="J24" s="11">
        <f t="shared" si="12"/>
        <v>1.3311001078125002</v>
      </c>
      <c r="K24" s="18">
        <f>J24/$B$1</f>
        <v>1.3311001078125003E-4</v>
      </c>
      <c r="L24" s="18">
        <f t="shared" si="8"/>
        <v>1.2602700781250001E-5</v>
      </c>
      <c r="M24" s="18">
        <f t="shared" si="9"/>
        <v>1.2050731000000001E-4</v>
      </c>
      <c r="N24" s="18">
        <f t="shared" si="10"/>
        <v>1.2192257142857141E-2</v>
      </c>
      <c r="O24" s="1"/>
      <c r="P24" s="2">
        <f>VLOOKUP(A24,'Metric Reports Object Storage'!$A$1:$Z$53,10,FALSE)</f>
        <v>194186</v>
      </c>
      <c r="Q24" s="2">
        <f>VLOOKUP(A24,'Metric Reports Object Storage'!$A$1:$Z$53,11,FALSE)</f>
        <v>194135</v>
      </c>
      <c r="R24" s="2">
        <f>VLOOKUP(A24,'Metric Reports Object Storage'!$A$1:$Z$53,12,FALSE)</f>
        <v>1634986000</v>
      </c>
      <c r="S24" s="2">
        <f>VLOOKUP(A24,'Metric Reports Object Storage'!$A$1:$Z$53,13,FALSE)</f>
        <v>1634991400</v>
      </c>
      <c r="T24" s="2">
        <f>VLOOKUP(A24,'Metric Reports Object Storage'!$A$1:$Z$53,14,FALSE)</f>
        <v>17802</v>
      </c>
      <c r="U24" s="2">
        <f>VLOOKUP(A24,'Metric Reports Object Storage'!$A$1:$Z$53,16,FALSE)</f>
        <v>4572.9575000000004</v>
      </c>
      <c r="V24" s="2">
        <f>VLOOKUP(A24,'Metric Reports Object Storage'!$A$1:$Z$53,17,FALSE)</f>
        <v>437.44630000000001</v>
      </c>
      <c r="W24" s="2">
        <f>VLOOKUP(A24,'Metric Reports Object Storage'!$A$1:$Z$53,18,FALSE)</f>
        <v>274.8125</v>
      </c>
      <c r="X24" s="2">
        <f>VLOOKUP(A24,'Metric Reports Object Storage'!$A$1:$Z$53,19,FALSE)</f>
        <v>5120.7479999999996</v>
      </c>
      <c r="Y24" s="2">
        <f>VLOOKUP(A24,'Metric Reports Object Storage'!$A$1:$Z$53,20,FALSE)</f>
        <v>1260025</v>
      </c>
      <c r="Z24" s="2">
        <f>VLOOKUP(A24,'Metric Reports Object Storage'!$A$1:$Z$53,21,FALSE)</f>
        <v>9860</v>
      </c>
      <c r="AB24" s="11">
        <f>(U24/G24)*100</f>
        <v>94.252540828290293</v>
      </c>
      <c r="AC24" s="11">
        <f>(W24/G24)*100</f>
        <v>5.6641191999651266</v>
      </c>
      <c r="AD24" s="18">
        <f>((B24+1)*$B$6) + (X24*(E24/128)*$B$7)</f>
        <v>0.12602700781250001</v>
      </c>
      <c r="AE24" s="18">
        <f t="shared" si="13"/>
        <v>1.2050731000000001</v>
      </c>
    </row>
    <row r="25" spans="1:31" x14ac:dyDescent="0.2">
      <c r="A25" s="4" t="s">
        <v>104</v>
      </c>
      <c r="B25" s="19">
        <v>62</v>
      </c>
      <c r="C25" s="2">
        <v>4</v>
      </c>
      <c r="D25" s="2">
        <v>3</v>
      </c>
      <c r="E25" s="2">
        <v>1500</v>
      </c>
      <c r="G25" s="2">
        <f>VLOOKUP(A25,'Metric Reports Object Storage'!$A$1:$Z$53,15,FALSE)</f>
        <v>9570.7540000000008</v>
      </c>
      <c r="H25" s="11">
        <f t="shared" si="11"/>
        <v>154.36700000000002</v>
      </c>
      <c r="I25" s="15">
        <f t="shared" si="7"/>
        <v>1.5436700000000001E-2</v>
      </c>
      <c r="J25" s="11">
        <f t="shared" si="12"/>
        <v>2.8279817409375001</v>
      </c>
      <c r="K25" s="18">
        <f>J25/$B$1</f>
        <v>2.8279817409375001E-4</v>
      </c>
      <c r="L25" s="18">
        <f t="shared" si="8"/>
        <v>2.4352266093750004E-5</v>
      </c>
      <c r="M25" s="18">
        <f t="shared" si="9"/>
        <v>2.58445908E-4</v>
      </c>
      <c r="N25" s="18">
        <f t="shared" si="10"/>
        <v>1.5959696774193548E-2</v>
      </c>
      <c r="O25" s="1"/>
      <c r="P25" s="2">
        <f>VLOOKUP(A25,'Metric Reports Object Storage'!$A$1:$Z$53,10,FALSE)</f>
        <v>422134</v>
      </c>
      <c r="Q25" s="2">
        <f>VLOOKUP(A25,'Metric Reports Object Storage'!$A$1:$Z$53,11,FALSE)</f>
        <v>422054</v>
      </c>
      <c r="R25" s="2">
        <f>VLOOKUP(A25,'Metric Reports Object Storage'!$A$1:$Z$53,12,FALSE)</f>
        <v>2264710700</v>
      </c>
      <c r="S25" s="2">
        <f>VLOOKUP(A25,'Metric Reports Object Storage'!$A$1:$Z$53,13,FALSE)</f>
        <v>2264709400</v>
      </c>
      <c r="T25" s="2">
        <f>VLOOKUP(A25,'Metric Reports Object Storage'!$A$1:$Z$53,14,FALSE)</f>
        <v>32054</v>
      </c>
      <c r="U25" s="2">
        <f>VLOOKUP(A25,'Metric Reports Object Storage'!$A$1:$Z$53,16,FALSE)</f>
        <v>9111.7950000000001</v>
      </c>
      <c r="V25" s="2">
        <f>VLOOKUP(A25,'Metric Reports Object Storage'!$A$1:$Z$53,17,FALSE)</f>
        <v>699.149</v>
      </c>
      <c r="W25" s="2">
        <f>VLOOKUP(A25,'Metric Reports Object Storage'!$A$1:$Z$53,18,FALSE)</f>
        <v>451.42187999999999</v>
      </c>
      <c r="X25" s="2">
        <f>VLOOKUP(A25,'Metric Reports Object Storage'!$A$1:$Z$53,19,FALSE)</f>
        <v>9895.0120000000006</v>
      </c>
      <c r="Y25" s="2">
        <f>VLOOKUP(A25,'Metric Reports Object Storage'!$A$1:$Z$53,20,FALSE)</f>
        <v>1393241</v>
      </c>
      <c r="Z25" s="2">
        <f>VLOOKUP(A25,'Metric Reports Object Storage'!$A$1:$Z$53,21,FALSE)</f>
        <v>9860</v>
      </c>
      <c r="AB25" s="11">
        <f>(U25/G25)*100</f>
        <v>95.204567999553632</v>
      </c>
      <c r="AC25" s="11">
        <f>(W25/G25)*100</f>
        <v>4.7166804203723132</v>
      </c>
      <c r="AD25" s="18">
        <f>((B25+1)*$B$6) + (X25*(E25/128)*$B$7)</f>
        <v>0.24352266093750005</v>
      </c>
      <c r="AE25" s="18">
        <f t="shared" si="13"/>
        <v>2.5844590800000002</v>
      </c>
    </row>
    <row r="26" spans="1:31" x14ac:dyDescent="0.2">
      <c r="H26" s="9"/>
      <c r="I26" s="13"/>
      <c r="J26" s="9"/>
      <c r="K26" s="16"/>
      <c r="L26" s="16"/>
      <c r="M26" s="16"/>
      <c r="N26" s="16"/>
      <c r="O26" s="1"/>
      <c r="U26" s="9"/>
      <c r="Y26" s="1"/>
      <c r="AB26" s="9"/>
      <c r="AD26" s="16"/>
    </row>
    <row r="27" spans="1:31" x14ac:dyDescent="0.2">
      <c r="B27" s="33" t="s">
        <v>56</v>
      </c>
      <c r="C27" s="33"/>
      <c r="D27" s="33"/>
      <c r="E27" s="33"/>
      <c r="H27" s="9"/>
      <c r="I27" s="13"/>
      <c r="J27" s="9"/>
      <c r="K27" s="16"/>
      <c r="L27" s="16"/>
      <c r="M27" s="16"/>
      <c r="N27" s="16"/>
      <c r="O27" s="1"/>
      <c r="U27" s="9"/>
      <c r="Y27" s="1"/>
      <c r="AB27" s="9"/>
      <c r="AD27" s="16"/>
    </row>
    <row r="28" spans="1:31" x14ac:dyDescent="0.2">
      <c r="B28" s="21" t="s">
        <v>0</v>
      </c>
      <c r="C28" s="5" t="s">
        <v>3</v>
      </c>
      <c r="D28" s="5" t="s">
        <v>2</v>
      </c>
      <c r="E28" s="5" t="s">
        <v>12</v>
      </c>
      <c r="H28" s="9"/>
      <c r="I28" s="13"/>
      <c r="J28" s="9"/>
      <c r="K28" s="16"/>
      <c r="L28" s="16"/>
      <c r="M28" s="16"/>
      <c r="N28" s="16"/>
      <c r="O28" s="1"/>
      <c r="U28" s="9"/>
      <c r="Y28" s="1"/>
      <c r="AB28" s="9"/>
      <c r="AD28" s="16"/>
    </row>
    <row r="29" spans="1:31" x14ac:dyDescent="0.2">
      <c r="A29" s="4" t="s">
        <v>101</v>
      </c>
      <c r="B29" s="19">
        <v>8</v>
      </c>
      <c r="C29" s="2">
        <v>8</v>
      </c>
      <c r="D29" s="2">
        <v>1</v>
      </c>
      <c r="E29" s="2">
        <v>2000</v>
      </c>
      <c r="G29" s="2">
        <f>VLOOKUP(A29,'Metric Reports Object Storage'!$A$1:$Z$53,15,FALSE)</f>
        <v>1233.5956000000001</v>
      </c>
      <c r="H29" s="11">
        <f>G29/B29</f>
        <v>154.19945000000001</v>
      </c>
      <c r="I29" s="15">
        <f t="shared" ref="I29:I32" si="14">H29/$B$1</f>
        <v>1.5419945000000001E-2</v>
      </c>
      <c r="J29" s="11">
        <f>SUM(AD29:AE29)</f>
        <v>9.3520520156250009E-2</v>
      </c>
      <c r="K29" s="18">
        <f>J29/$B$1</f>
        <v>9.3520520156250001E-6</v>
      </c>
      <c r="L29" s="18">
        <f t="shared" ref="L29:L32" si="15">AD29/$B$1</f>
        <v>4.7800100156250015E-6</v>
      </c>
      <c r="M29" s="18">
        <f t="shared" ref="M29:M32" si="16">AE29/$B$1</f>
        <v>4.5720419999999995E-6</v>
      </c>
      <c r="N29" s="18">
        <f t="shared" ref="N29:N33" si="17">X29/$B$1/B29</f>
        <v>1.8208876249999999E-2</v>
      </c>
      <c r="O29" s="1"/>
      <c r="P29" s="2">
        <f>VLOOKUP(A29,'Metric Reports Object Storage'!$A$1:$Z$53,10,FALSE)</f>
        <v>6351</v>
      </c>
      <c r="Q29" s="2">
        <f>VLOOKUP(A29,'Metric Reports Object Storage'!$A$1:$Z$53,11,FALSE)</f>
        <v>6341</v>
      </c>
      <c r="R29" s="2">
        <f>VLOOKUP(A29,'Metric Reports Object Storage'!$A$1:$Z$53,12,FALSE)</f>
        <v>2343962600</v>
      </c>
      <c r="S29" s="2">
        <f>VLOOKUP(A29,'Metric Reports Object Storage'!$A$1:$Z$53,13,FALSE)</f>
        <v>2343962600</v>
      </c>
      <c r="T29" s="2">
        <f>VLOOKUP(A29,'Metric Reports Object Storage'!$A$1:$Z$53,14,FALSE)</f>
        <v>1773</v>
      </c>
      <c r="U29" s="2">
        <f>VLOOKUP(A29,'Metric Reports Object Storage'!$A$1:$Z$53,16,FALSE)</f>
        <v>1021.91034</v>
      </c>
      <c r="V29" s="2">
        <f>VLOOKUP(A29,'Metric Reports Object Storage'!$A$1:$Z$53,17,FALSE)</f>
        <v>646.55820000000006</v>
      </c>
      <c r="W29" s="2">
        <f>VLOOKUP(A29,'Metric Reports Object Storage'!$A$1:$Z$53,18,FALSE)</f>
        <v>210.95501999999999</v>
      </c>
      <c r="X29" s="2">
        <f>VLOOKUP(A29,'Metric Reports Object Storage'!$A$1:$Z$53,19,FALSE)</f>
        <v>1456.7101</v>
      </c>
      <c r="Y29" s="2">
        <f>VLOOKUP(A29,'Metric Reports Object Storage'!$A$1:$Z$53,20,FALSE)</f>
        <v>7989115</v>
      </c>
      <c r="Z29" s="2">
        <f>VLOOKUP(A29,'Metric Reports Object Storage'!$A$1:$Z$53,21,FALSE)</f>
        <v>2226</v>
      </c>
      <c r="AB29" s="11">
        <f>(U29/G29)*100</f>
        <v>82.839979325477486</v>
      </c>
      <c r="AC29" s="11">
        <f>(W29/G29)*100</f>
        <v>17.100824613836167</v>
      </c>
      <c r="AD29" s="18">
        <f>((B29+1)*$B$6) + (X29*(E29/128)*$B$7)</f>
        <v>4.7800100156250011E-2</v>
      </c>
      <c r="AE29" s="18">
        <f>(P29*$B$2)+(Q29*$B$4) + (T29*$B$3)</f>
        <v>4.5720419999999998E-2</v>
      </c>
    </row>
    <row r="30" spans="1:31" x14ac:dyDescent="0.2">
      <c r="A30" s="4" t="s">
        <v>94</v>
      </c>
      <c r="B30" s="19">
        <v>20</v>
      </c>
      <c r="C30" s="2">
        <v>4</v>
      </c>
      <c r="D30" s="2">
        <v>2</v>
      </c>
      <c r="E30" s="2">
        <v>2000</v>
      </c>
      <c r="G30" s="2">
        <f>VLOOKUP(A30,'Metric Reports Object Storage'!$A$1:$Z$53,15,FALSE)</f>
        <v>2299.0576000000001</v>
      </c>
      <c r="H30" s="11">
        <f t="shared" ref="H30:H32" si="18">G30/B30</f>
        <v>114.95288000000001</v>
      </c>
      <c r="I30" s="15">
        <f t="shared" si="14"/>
        <v>1.1495288000000001E-2</v>
      </c>
      <c r="J30" s="15">
        <f t="shared" ref="J30:J32" si="19">SUM(AD30:AE30)</f>
        <v>0.35301310468750002</v>
      </c>
      <c r="K30" s="18">
        <f>J30/$B$1</f>
        <v>3.5301310468749999E-5</v>
      </c>
      <c r="L30" s="18">
        <f t="shared" si="15"/>
        <v>8.5864504687500013E-6</v>
      </c>
      <c r="M30" s="18">
        <f t="shared" si="16"/>
        <v>2.6714860000000001E-5</v>
      </c>
      <c r="N30" s="18">
        <f t="shared" si="17"/>
        <v>1.3083475000000001E-2</v>
      </c>
      <c r="O30" s="1"/>
      <c r="P30" s="2">
        <f>VLOOKUP(A30,'Metric Reports Object Storage'!$A$1:$Z$53,10,FALSE)</f>
        <v>42420</v>
      </c>
      <c r="Q30" s="2">
        <f>VLOOKUP(A30,'Metric Reports Object Storage'!$A$1:$Z$53,11,FALSE)</f>
        <v>42405</v>
      </c>
      <c r="R30" s="2">
        <f>VLOOKUP(A30,'Metric Reports Object Storage'!$A$1:$Z$53,12,FALSE)</f>
        <v>3475304000</v>
      </c>
      <c r="S30" s="2">
        <f>VLOOKUP(A30,'Metric Reports Object Storage'!$A$1:$Z$53,13,FALSE)</f>
        <v>3475304400</v>
      </c>
      <c r="T30" s="2">
        <f>VLOOKUP(A30,'Metric Reports Object Storage'!$A$1:$Z$53,14,FALSE)</f>
        <v>4625</v>
      </c>
      <c r="U30" s="2">
        <f>VLOOKUP(A30,'Metric Reports Object Storage'!$A$1:$Z$53,16,FALSE)</f>
        <v>1925.0596</v>
      </c>
      <c r="V30" s="2">
        <f>VLOOKUP(A30,'Metric Reports Object Storage'!$A$1:$Z$53,17,FALSE)</f>
        <v>654.32069999999999</v>
      </c>
      <c r="W30" s="2">
        <f>VLOOKUP(A30,'Metric Reports Object Storage'!$A$1:$Z$53,18,FALSE)</f>
        <v>372.40944999999999</v>
      </c>
      <c r="X30" s="2">
        <f>VLOOKUP(A30,'Metric Reports Object Storage'!$A$1:$Z$53,19,FALSE)</f>
        <v>2616.6950000000002</v>
      </c>
      <c r="Y30" s="2">
        <f>VLOOKUP(A30,'Metric Reports Object Storage'!$A$1:$Z$53,20,FALSE)</f>
        <v>4459959</v>
      </c>
      <c r="Z30" s="2">
        <f>VLOOKUP(A30,'Metric Reports Object Storage'!$A$1:$Z$53,21,FALSE)</f>
        <v>9786</v>
      </c>
      <c r="AB30" s="11">
        <f>(U30/G30)*100</f>
        <v>83.732551981298769</v>
      </c>
      <c r="AC30" s="11">
        <f>(W30/G30)*100</f>
        <v>16.198352316183811</v>
      </c>
      <c r="AD30" s="18">
        <f>((B30+1)*$B$6) + (X30*(E30/128)*$B$7)</f>
        <v>8.586450468750001E-2</v>
      </c>
      <c r="AE30" s="18">
        <f t="shared" ref="AE30:AE32" si="20">(P30*$B$2)+(Q30*$B$4) + (T30*$B$3)</f>
        <v>0.26714860000000001</v>
      </c>
    </row>
    <row r="31" spans="1:31" x14ac:dyDescent="0.2">
      <c r="A31" s="4" t="s">
        <v>95</v>
      </c>
      <c r="B31" s="19">
        <v>42</v>
      </c>
      <c r="C31" s="2">
        <v>6</v>
      </c>
      <c r="D31" s="2">
        <v>2</v>
      </c>
      <c r="E31" s="2">
        <v>2000</v>
      </c>
      <c r="G31" s="2">
        <f>VLOOKUP(A31,'Metric Reports Object Storage'!$A$1:$Z$53,15,FALSE)</f>
        <v>4946.5339999999997</v>
      </c>
      <c r="H31" s="11">
        <f t="shared" si="18"/>
        <v>117.77461904761904</v>
      </c>
      <c r="I31" s="15">
        <f t="shared" si="14"/>
        <v>1.1777461904761904E-2</v>
      </c>
      <c r="J31" s="11">
        <f t="shared" si="19"/>
        <v>1.3378268162500002</v>
      </c>
      <c r="K31" s="18">
        <f>J31/$B$1</f>
        <v>1.3378268162500003E-4</v>
      </c>
      <c r="L31" s="18">
        <f t="shared" si="15"/>
        <v>1.7873059625000002E-5</v>
      </c>
      <c r="M31" s="18">
        <f t="shared" si="16"/>
        <v>1.1590962200000001E-4</v>
      </c>
      <c r="N31" s="18">
        <f t="shared" si="17"/>
        <v>1.2968489523809523E-2</v>
      </c>
      <c r="O31" s="1"/>
      <c r="P31" s="2">
        <f>VLOOKUP(A31,'Metric Reports Object Storage'!$A$1:$Z$53,10,FALSE)</f>
        <v>190937</v>
      </c>
      <c r="Q31" s="2">
        <f>VLOOKUP(A31,'Metric Reports Object Storage'!$A$1:$Z$53,11,FALSE)</f>
        <v>190906</v>
      </c>
      <c r="R31" s="2">
        <f>VLOOKUP(A31,'Metric Reports Object Storage'!$A$1:$Z$53,12,FALSE)</f>
        <v>3895079200</v>
      </c>
      <c r="S31" s="2">
        <f>VLOOKUP(A31,'Metric Reports Object Storage'!$A$1:$Z$53,13,FALSE)</f>
        <v>3895079400</v>
      </c>
      <c r="T31" s="2">
        <f>VLOOKUP(A31,'Metric Reports Object Storage'!$A$1:$Z$53,14,FALSE)</f>
        <v>12632</v>
      </c>
      <c r="U31" s="2">
        <f>VLOOKUP(A31,'Metric Reports Object Storage'!$A$1:$Z$53,16,FALSE)</f>
        <v>4269.6986999999999</v>
      </c>
      <c r="V31" s="2">
        <f>VLOOKUP(A31,'Metric Reports Object Storage'!$A$1:$Z$53,17,FALSE)</f>
        <v>721.77290000000005</v>
      </c>
      <c r="W31" s="2">
        <f>VLOOKUP(A31,'Metric Reports Object Storage'!$A$1:$Z$53,18,FALSE)</f>
        <v>672.6739</v>
      </c>
      <c r="X31" s="2">
        <f>VLOOKUP(A31,'Metric Reports Object Storage'!$A$1:$Z$53,19,FALSE)</f>
        <v>5446.7655999999997</v>
      </c>
      <c r="Y31" s="2">
        <f>VLOOKUP(A31,'Metric Reports Object Storage'!$A$1:$Z$53,20,FALSE)</f>
        <v>1782017</v>
      </c>
      <c r="Z31" s="2">
        <f>VLOOKUP(A31,'Metric Reports Object Storage'!$A$1:$Z$53,21,FALSE)</f>
        <v>9818</v>
      </c>
      <c r="AB31" s="11">
        <f>(U31/G31)*100</f>
        <v>86.316978716814646</v>
      </c>
      <c r="AC31" s="11">
        <f>(W31/G31)*100</f>
        <v>13.598893690005973</v>
      </c>
      <c r="AD31" s="18">
        <f>((B31+1)*$B$6) + (X31*(E31/128)*$B$7)</f>
        <v>0.17873059625000001</v>
      </c>
      <c r="AE31" s="18">
        <f t="shared" si="20"/>
        <v>1.1590962200000001</v>
      </c>
    </row>
    <row r="32" spans="1:31" x14ac:dyDescent="0.2">
      <c r="A32" s="4" t="s">
        <v>105</v>
      </c>
      <c r="B32" s="19">
        <v>62</v>
      </c>
      <c r="C32" s="2">
        <v>4</v>
      </c>
      <c r="D32" s="2">
        <v>3</v>
      </c>
      <c r="E32" s="2">
        <v>2000</v>
      </c>
      <c r="G32" s="2">
        <f>VLOOKUP(A32,'Metric Reports Object Storage'!$A$1:$Z$53,15,FALSE)</f>
        <v>8549.0409999999993</v>
      </c>
      <c r="H32" s="11">
        <f t="shared" si="18"/>
        <v>137.88775806451611</v>
      </c>
      <c r="I32" s="15">
        <f t="shared" si="14"/>
        <v>1.378877580645161E-2</v>
      </c>
      <c r="J32" s="11">
        <f t="shared" si="19"/>
        <v>2.8018129015624997</v>
      </c>
      <c r="K32" s="18">
        <f>J32/$B$1</f>
        <v>2.8018129015625E-4</v>
      </c>
      <c r="L32" s="18">
        <f t="shared" si="15"/>
        <v>3.0139820156250003E-5</v>
      </c>
      <c r="M32" s="18">
        <f t="shared" si="16"/>
        <v>2.5004146999999997E-4</v>
      </c>
      <c r="N32" s="18">
        <f t="shared" si="17"/>
        <v>1.481465322580645E-2</v>
      </c>
      <c r="O32" s="1"/>
      <c r="P32" s="2">
        <f>VLOOKUP(A32,'Metric Reports Object Storage'!$A$1:$Z$53,10,FALSE)</f>
        <v>418292</v>
      </c>
      <c r="Q32" s="2">
        <f>VLOOKUP(A32,'Metric Reports Object Storage'!$A$1:$Z$53,11,FALSE)</f>
        <v>418225</v>
      </c>
      <c r="R32" s="2">
        <f>VLOOKUP(A32,'Metric Reports Object Storage'!$A$1:$Z$53,12,FALSE)</f>
        <v>4563685000</v>
      </c>
      <c r="S32" s="2">
        <f>VLOOKUP(A32,'Metric Reports Object Storage'!$A$1:$Z$53,13,FALSE)</f>
        <v>4563682300</v>
      </c>
      <c r="T32" s="2">
        <f>VLOOKUP(A32,'Metric Reports Object Storage'!$A$1:$Z$53,14,FALSE)</f>
        <v>20342</v>
      </c>
      <c r="U32" s="2">
        <f>VLOOKUP(A32,'Metric Reports Object Storage'!$A$1:$Z$53,16,FALSE)</f>
        <v>7427.4673000000003</v>
      </c>
      <c r="V32" s="2">
        <f>VLOOKUP(A32,'Metric Reports Object Storage'!$A$1:$Z$53,17,FALSE)</f>
        <v>968.5498</v>
      </c>
      <c r="W32" s="2">
        <f>VLOOKUP(A32,'Metric Reports Object Storage'!$A$1:$Z$53,18,FALSE)</f>
        <v>1114.2456</v>
      </c>
      <c r="X32" s="2">
        <f>VLOOKUP(A32,'Metric Reports Object Storage'!$A$1:$Z$53,19,FALSE)</f>
        <v>9185.0849999999991</v>
      </c>
      <c r="Y32" s="2">
        <f>VLOOKUP(A32,'Metric Reports Object Storage'!$A$1:$Z$53,20,FALSE)</f>
        <v>1725901</v>
      </c>
      <c r="Z32" s="2">
        <f>VLOOKUP(A32,'Metric Reports Object Storage'!$A$1:$Z$53,21,FALSE)</f>
        <v>9823</v>
      </c>
      <c r="AB32" s="11">
        <f>(U32/G32)*100</f>
        <v>86.880707438413268</v>
      </c>
      <c r="AC32" s="11">
        <f>(W32/G32)*100</f>
        <v>13.033574175161869</v>
      </c>
      <c r="AD32" s="18">
        <f>((B32+1)*$B$6) + (X32*(E32/128)*$B$7)</f>
        <v>0.30139820156250002</v>
      </c>
      <c r="AE32" s="18">
        <f t="shared" si="20"/>
        <v>2.5004146999999999</v>
      </c>
    </row>
    <row r="33" spans="1:32" s="37" customFormat="1" x14ac:dyDescent="0.2">
      <c r="A33" s="35" t="s">
        <v>143</v>
      </c>
      <c r="B33" s="43">
        <v>42</v>
      </c>
      <c r="C33" s="36">
        <v>6</v>
      </c>
      <c r="D33" s="36">
        <v>2</v>
      </c>
      <c r="E33" s="36">
        <v>2000</v>
      </c>
      <c r="G33" s="36">
        <f>VLOOKUP(A33,'Metric Reports Object Storage'!$A$1:$Z$53,15,FALSE)</f>
        <v>11720.831</v>
      </c>
      <c r="H33" s="38">
        <f t="shared" ref="H33" si="21">G33/B33</f>
        <v>279.06740476190475</v>
      </c>
      <c r="I33" s="39">
        <f t="shared" ref="I33" si="22">H33/$B$1</f>
        <v>2.7906740476190475E-2</v>
      </c>
      <c r="J33" s="38">
        <f t="shared" ref="J33" si="23">SUM(AD33:AE33)</f>
        <v>1.7082917781250002</v>
      </c>
      <c r="K33" s="40">
        <f>J33/$B$1</f>
        <v>1.7082917781250002E-4</v>
      </c>
      <c r="L33" s="40">
        <f t="shared" ref="L33" si="24">AD33/$B$1</f>
        <v>4.1534167812500006E-5</v>
      </c>
      <c r="M33" s="40">
        <f t="shared" ref="M33" si="25">AE33/$B$1</f>
        <v>1.2929501000000002E-4</v>
      </c>
      <c r="N33" s="40">
        <f t="shared" si="17"/>
        <v>3.0137547619047623E-2</v>
      </c>
      <c r="P33" s="36">
        <f>VLOOKUP(A33,'Metric Reports Object Storage'!$A$1:$Z$53,10,FALSE)</f>
        <v>206635</v>
      </c>
      <c r="Q33" s="36">
        <f>VLOOKUP(A33,'Metric Reports Object Storage'!$A$1:$Z$53,11,FALSE)</f>
        <v>206635</v>
      </c>
      <c r="R33" s="36">
        <f>VLOOKUP(A33,'Metric Reports Object Storage'!$A$1:$Z$53,12,FALSE)</f>
        <v>36374240000</v>
      </c>
      <c r="S33" s="36">
        <f>VLOOKUP(A33,'Metric Reports Object Storage'!$A$1:$Z$53,13,FALSE)</f>
        <v>36374303000</v>
      </c>
      <c r="T33" s="36">
        <f>VLOOKUP(A33,'Metric Reports Object Storage'!$A$1:$Z$53,14,FALSE)</f>
        <v>20943</v>
      </c>
      <c r="U33" s="36">
        <f>VLOOKUP(A33,'Metric Reports Object Storage'!$A$1:$Z$53,16,FALSE)</f>
        <v>10835.295</v>
      </c>
      <c r="V33" s="36">
        <f>VLOOKUP(A33,'Metric Reports Object Storage'!$A$1:$Z$53,17,FALSE)</f>
        <v>7021.9287000000004</v>
      </c>
      <c r="W33" s="36">
        <f>VLOOKUP(A33,'Metric Reports Object Storage'!$A$1:$Z$53,18,FALSE)</f>
        <v>910.17345999999998</v>
      </c>
      <c r="X33" s="36">
        <f>VLOOKUP(A33,'Metric Reports Object Storage'!$A$1:$Z$53,19,FALSE)</f>
        <v>12657.77</v>
      </c>
      <c r="Y33" s="36">
        <f>VLOOKUP(A33,'Metric Reports Object Storage'!$A$1:$Z$53,20,FALSE)</f>
        <v>3688351</v>
      </c>
      <c r="Z33" s="36">
        <f>VLOOKUP(A33,'Metric Reports Object Storage'!$A$1:$Z$53,21,FALSE)</f>
        <v>9824</v>
      </c>
      <c r="AB33" s="38">
        <f>(U33/G33)*100</f>
        <v>92.444767781397076</v>
      </c>
      <c r="AC33" s="38">
        <f>(W33/G33)*100</f>
        <v>7.7654345498198882</v>
      </c>
      <c r="AD33" s="40">
        <f>((B33+1)*$B$6) + (X33*(E33/128)*$B$7)</f>
        <v>0.41534167812500006</v>
      </c>
      <c r="AE33" s="40">
        <f t="shared" ref="AE33" si="26">(P33*$B$2)+(Q33*$B$4) + (T33*$B$3)</f>
        <v>1.2929501000000001</v>
      </c>
      <c r="AF33" s="41"/>
    </row>
    <row r="34" spans="1:32" x14ac:dyDescent="0.2">
      <c r="H34" s="9"/>
      <c r="I34" s="13"/>
      <c r="J34" s="9"/>
      <c r="K34" s="16"/>
      <c r="L34" s="16"/>
      <c r="M34" s="16"/>
      <c r="N34" s="16"/>
      <c r="O34" s="1"/>
      <c r="U34" s="9"/>
      <c r="Y34" s="1"/>
      <c r="AB34" s="9"/>
      <c r="AD34" s="16"/>
    </row>
    <row r="35" spans="1:32" x14ac:dyDescent="0.2">
      <c r="B35" s="34" t="s">
        <v>57</v>
      </c>
      <c r="C35" s="34"/>
      <c r="D35" s="34"/>
      <c r="E35" s="34"/>
      <c r="H35" s="9"/>
      <c r="I35" s="13"/>
      <c r="J35" s="9"/>
      <c r="K35" s="16"/>
      <c r="L35" s="16"/>
      <c r="M35" s="16"/>
      <c r="N35" s="16"/>
      <c r="O35" s="1"/>
      <c r="U35" s="9"/>
      <c r="Y35" s="1"/>
      <c r="AB35" s="9"/>
      <c r="AD35" s="16"/>
    </row>
    <row r="36" spans="1:32" x14ac:dyDescent="0.2">
      <c r="B36" s="22" t="s">
        <v>0</v>
      </c>
      <c r="C36" s="7" t="s">
        <v>3</v>
      </c>
      <c r="D36" s="7" t="s">
        <v>2</v>
      </c>
      <c r="E36" s="7" t="s">
        <v>12</v>
      </c>
      <c r="H36" s="9"/>
      <c r="I36" s="13"/>
      <c r="J36" s="9"/>
      <c r="K36" s="16"/>
      <c r="L36" s="16"/>
      <c r="M36" s="16"/>
      <c r="N36" s="16"/>
      <c r="O36" s="1"/>
      <c r="U36" s="9"/>
      <c r="Y36" s="1"/>
      <c r="AB36" s="9"/>
      <c r="AD36" s="16"/>
    </row>
    <row r="37" spans="1:32" x14ac:dyDescent="0.2">
      <c r="A37" s="4" t="s">
        <v>102</v>
      </c>
      <c r="B37" s="19">
        <v>8</v>
      </c>
      <c r="C37" s="2">
        <v>8</v>
      </c>
      <c r="D37" s="2">
        <v>1</v>
      </c>
      <c r="E37" s="2">
        <v>4000</v>
      </c>
      <c r="G37" s="2">
        <f>VLOOKUP(A37,'Metric Reports Object Storage'!$A$1:$Z$53,15,FALSE)</f>
        <v>3853.7004000000002</v>
      </c>
      <c r="H37" s="11">
        <f>G37/B37</f>
        <v>481.71255000000002</v>
      </c>
      <c r="I37" s="15">
        <f t="shared" ref="I37:I40" si="27">H37/$B$1</f>
        <v>4.8171255000000003E-2</v>
      </c>
      <c r="J37" s="11">
        <f>SUM(AD37:AE37)</f>
        <v>0.36482413937500002</v>
      </c>
      <c r="K37" s="18">
        <f>J37/$B$1</f>
        <v>3.64824139375E-5</v>
      </c>
      <c r="L37" s="18">
        <f t="shared" ref="L37:L40" si="28">AD37/$B$1</f>
        <v>3.0903615937500004E-5</v>
      </c>
      <c r="M37" s="18">
        <f t="shared" ref="M37:M40" si="29">AE37/$B$1</f>
        <v>5.5787979999999994E-6</v>
      </c>
      <c r="N37" s="18">
        <f t="shared" ref="N37:N40" si="30">X37/$B$1/B37</f>
        <v>5.8863687500000005E-2</v>
      </c>
      <c r="O37" s="1"/>
      <c r="P37" s="2">
        <f>VLOOKUP(A37,'Metric Reports Object Storage'!$A$1:$Z$53,10,FALSE)</f>
        <v>6209</v>
      </c>
      <c r="Q37" s="2">
        <f>VLOOKUP(A37,'Metric Reports Object Storage'!$A$1:$Z$53,11,FALSE)</f>
        <v>6209</v>
      </c>
      <c r="R37" s="2">
        <f>VLOOKUP(A37,'Metric Reports Object Storage'!$A$1:$Z$53,12,FALSE)</f>
        <v>8574274600</v>
      </c>
      <c r="S37" s="2">
        <f>VLOOKUP(A37,'Metric Reports Object Storage'!$A$1:$Z$53,13,FALSE)</f>
        <v>8574275000</v>
      </c>
      <c r="T37" s="2">
        <f>VLOOKUP(A37,'Metric Reports Object Storage'!$A$1:$Z$53,14,FALSE)</f>
        <v>3825</v>
      </c>
      <c r="U37" s="2">
        <f>VLOOKUP(A37,'Metric Reports Object Storage'!$A$1:$Z$53,16,FALSE)</f>
        <v>2958.7622000000001</v>
      </c>
      <c r="V37" s="2">
        <f>VLOOKUP(A37,'Metric Reports Object Storage'!$A$1:$Z$53,17,FALSE)</f>
        <v>1470.6519000000001</v>
      </c>
      <c r="W37" s="2">
        <f>VLOOKUP(A37,'Metric Reports Object Storage'!$A$1:$Z$53,18,FALSE)</f>
        <v>893.30706999999995</v>
      </c>
      <c r="X37" s="2">
        <f>VLOOKUP(A37,'Metric Reports Object Storage'!$A$1:$Z$53,19,FALSE)</f>
        <v>4709.0950000000003</v>
      </c>
      <c r="Y37" s="2">
        <f>VLOOKUP(A37,'Metric Reports Object Storage'!$A$1:$Z$53,20,FALSE)</f>
        <v>28837706</v>
      </c>
      <c r="Z37" s="2">
        <f>VLOOKUP(A37,'Metric Reports Object Storage'!$A$1:$Z$53,21,FALSE)</f>
        <v>8117</v>
      </c>
      <c r="AB37" s="11">
        <f>(U37/G37)*100</f>
        <v>76.777172402919547</v>
      </c>
      <c r="AC37" s="11">
        <f>(W37/G37)*100</f>
        <v>23.180501265744475</v>
      </c>
      <c r="AD37" s="18">
        <f>((B37+1)*$B$6) + (X37*(E37/128)*$B$7)</f>
        <v>0.30903615937500001</v>
      </c>
      <c r="AE37" s="18">
        <f>(P37*$B$2)+(Q37*$B$4) + (T37*$B$3)</f>
        <v>5.5787979999999994E-2</v>
      </c>
    </row>
    <row r="38" spans="1:32" x14ac:dyDescent="0.2">
      <c r="A38" s="4" t="s">
        <v>96</v>
      </c>
      <c r="B38" s="19">
        <v>20</v>
      </c>
      <c r="C38" s="2">
        <v>4</v>
      </c>
      <c r="D38" s="2">
        <v>2</v>
      </c>
      <c r="E38" s="2">
        <v>4000</v>
      </c>
      <c r="G38" s="2">
        <f>VLOOKUP(A38,'Metric Reports Object Storage'!$A$1:$Z$53,15,FALSE)</f>
        <v>5484.5337</v>
      </c>
      <c r="H38" s="11">
        <f t="shared" ref="H38:H40" si="31">G38/B38</f>
        <v>274.22668499999997</v>
      </c>
      <c r="I38" s="15">
        <f t="shared" si="27"/>
        <v>2.7422668499999997E-2</v>
      </c>
      <c r="J38" s="11">
        <f t="shared" ref="J38:J40" si="32">SUM(AD38:AE38)</f>
        <v>0.70079187375000007</v>
      </c>
      <c r="K38" s="18">
        <f>J38/$B$1</f>
        <v>7.0079187375000001E-5</v>
      </c>
      <c r="L38" s="18">
        <f t="shared" si="28"/>
        <v>4.3358529375000006E-5</v>
      </c>
      <c r="M38" s="18">
        <f t="shared" si="29"/>
        <v>2.6720657999999998E-5</v>
      </c>
      <c r="N38" s="18">
        <f t="shared" si="30"/>
        <v>3.3034750000000002E-2</v>
      </c>
      <c r="O38" s="1"/>
      <c r="P38" s="2">
        <f>VLOOKUP(A38,'Metric Reports Object Storage'!$A$1:$Z$53,10,FALSE)</f>
        <v>41605</v>
      </c>
      <c r="Q38" s="2">
        <f>VLOOKUP(A38,'Metric Reports Object Storage'!$A$1:$Z$53,11,FALSE)</f>
        <v>41584</v>
      </c>
      <c r="R38" s="2">
        <f>VLOOKUP(A38,'Metric Reports Object Storage'!$A$1:$Z$53,12,FALSE)</f>
        <v>11781847000</v>
      </c>
      <c r="S38" s="2">
        <f>VLOOKUP(A38,'Metric Reports Object Storage'!$A$1:$Z$53,13,FALSE)</f>
        <v>11781852000</v>
      </c>
      <c r="T38" s="2">
        <f>VLOOKUP(A38,'Metric Reports Object Storage'!$A$1:$Z$53,14,FALSE)</f>
        <v>5516</v>
      </c>
      <c r="U38" s="2">
        <f>VLOOKUP(A38,'Metric Reports Object Storage'!$A$1:$Z$53,16,FALSE)</f>
        <v>4020.0551999999998</v>
      </c>
      <c r="V38" s="2">
        <f>VLOOKUP(A38,'Metric Reports Object Storage'!$A$1:$Z$53,17,FALSE)</f>
        <v>1931.5161000000001</v>
      </c>
      <c r="W38" s="2">
        <f>VLOOKUP(A38,'Metric Reports Object Storage'!$A$1:$Z$53,18,FALSE)</f>
        <v>1458.4539</v>
      </c>
      <c r="X38" s="2">
        <f>VLOOKUP(A38,'Metric Reports Object Storage'!$A$1:$Z$53,19,FALSE)</f>
        <v>6606.95</v>
      </c>
      <c r="Y38" s="2">
        <f>VLOOKUP(A38,'Metric Reports Object Storage'!$A$1:$Z$53,20,FALSE)</f>
        <v>15239945</v>
      </c>
      <c r="Z38" s="2">
        <f>VLOOKUP(A38,'Metric Reports Object Storage'!$A$1:$Z$53,21,FALSE)</f>
        <v>9708</v>
      </c>
      <c r="AB38" s="11">
        <f>(U38/G38)*100</f>
        <v>73.298030787922769</v>
      </c>
      <c r="AC38" s="11">
        <f>(W38/G38)*100</f>
        <v>26.592122134284637</v>
      </c>
      <c r="AD38" s="18">
        <f>((B38+1)*$B$6) + (X38*(E38/128)*$B$7)</f>
        <v>0.43358529375000004</v>
      </c>
      <c r="AE38" s="18">
        <f t="shared" ref="AE38:AE40" si="33">(P38*$B$2)+(Q38*$B$4) + (T38*$B$3)</f>
        <v>0.26720657999999997</v>
      </c>
    </row>
    <row r="39" spans="1:32" x14ac:dyDescent="0.2">
      <c r="A39" s="4" t="s">
        <v>97</v>
      </c>
      <c r="B39" s="19">
        <v>42</v>
      </c>
      <c r="C39" s="2">
        <v>6</v>
      </c>
      <c r="D39" s="2">
        <v>2</v>
      </c>
      <c r="E39" s="2">
        <v>4000</v>
      </c>
      <c r="G39" s="2">
        <f>VLOOKUP(A39,'Metric Reports Object Storage'!$A$1:$Z$53,15,FALSE)</f>
        <v>8953.4570000000003</v>
      </c>
      <c r="H39" s="11">
        <f t="shared" si="31"/>
        <v>213.17754761904763</v>
      </c>
      <c r="I39" s="15">
        <f t="shared" si="27"/>
        <v>2.1317754761904763E-2</v>
      </c>
      <c r="J39" s="11">
        <f t="shared" si="32"/>
        <v>1.8335025625000003</v>
      </c>
      <c r="K39" s="18">
        <f>J39/$B$1</f>
        <v>1.8335025625000004E-4</v>
      </c>
      <c r="L39" s="18">
        <f t="shared" si="28"/>
        <v>6.952285625000001E-5</v>
      </c>
      <c r="M39" s="18">
        <f t="shared" si="29"/>
        <v>1.1382740000000002E-4</v>
      </c>
      <c r="N39" s="18">
        <f t="shared" si="30"/>
        <v>2.5223399999999997E-2</v>
      </c>
      <c r="O39" s="1"/>
      <c r="P39" s="2">
        <f>VLOOKUP(A39,'Metric Reports Object Storage'!$A$1:$Z$53,10,FALSE)</f>
        <v>187577</v>
      </c>
      <c r="Q39" s="2">
        <f>VLOOKUP(A39,'Metric Reports Object Storage'!$A$1:$Z$53,11,FALSE)</f>
        <v>187515</v>
      </c>
      <c r="R39" s="2">
        <f>VLOOKUP(A39,'Metric Reports Object Storage'!$A$1:$Z$53,12,FALSE)</f>
        <v>12466023000</v>
      </c>
      <c r="S39" s="2">
        <f>VLOOKUP(A39,'Metric Reports Object Storage'!$A$1:$Z$53,13,FALSE)</f>
        <v>12466026000</v>
      </c>
      <c r="T39" s="2">
        <f>VLOOKUP(A39,'Metric Reports Object Storage'!$A$1:$Z$53,14,FALSE)</f>
        <v>12332</v>
      </c>
      <c r="U39" s="2">
        <f>VLOOKUP(A39,'Metric Reports Object Storage'!$A$1:$Z$53,16,FALSE)</f>
        <v>6619.1875</v>
      </c>
      <c r="V39" s="2">
        <f>VLOOKUP(A39,'Metric Reports Object Storage'!$A$1:$Z$53,17,FALSE)</f>
        <v>2049.0940000000001</v>
      </c>
      <c r="W39" s="2">
        <f>VLOOKUP(A39,'Metric Reports Object Storage'!$A$1:$Z$53,18,FALSE)</f>
        <v>2328.2354</v>
      </c>
      <c r="X39" s="2">
        <f>VLOOKUP(A39,'Metric Reports Object Storage'!$A$1:$Z$53,19,FALSE)</f>
        <v>10593.828</v>
      </c>
      <c r="Y39" s="2">
        <f>VLOOKUP(A39,'Metric Reports Object Storage'!$A$1:$Z$53,20,FALSE)</f>
        <v>5733889</v>
      </c>
      <c r="Z39" s="2">
        <f>VLOOKUP(A39,'Metric Reports Object Storage'!$A$1:$Z$53,21,FALSE)</f>
        <v>9762</v>
      </c>
      <c r="AB39" s="11">
        <f>(U39/G39)*100</f>
        <v>73.928846701335587</v>
      </c>
      <c r="AC39" s="11">
        <f>(W39/G39)*100</f>
        <v>26.003759218366717</v>
      </c>
      <c r="AD39" s="18">
        <f>((B39+1)*$B$6) + (X39*(E39/128)*$B$7)</f>
        <v>0.69522856250000009</v>
      </c>
      <c r="AE39" s="18">
        <f t="shared" si="33"/>
        <v>1.1382740000000002</v>
      </c>
    </row>
    <row r="40" spans="1:32" x14ac:dyDescent="0.2">
      <c r="A40" s="4" t="s">
        <v>106</v>
      </c>
      <c r="B40" s="19">
        <v>62</v>
      </c>
      <c r="C40" s="2">
        <v>2</v>
      </c>
      <c r="D40" s="2">
        <v>5</v>
      </c>
      <c r="E40" s="2">
        <v>4000</v>
      </c>
      <c r="G40" s="2">
        <f>VLOOKUP(A40,'Metric Reports Object Storage'!$A$1:$Z$53,15,FALSE)</f>
        <v>12668.032999999999</v>
      </c>
      <c r="H40" s="11">
        <f t="shared" si="31"/>
        <v>204.32311290322579</v>
      </c>
      <c r="I40" s="15">
        <f t="shared" si="27"/>
        <v>2.043231129032258E-2</v>
      </c>
      <c r="J40" s="11">
        <f t="shared" si="32"/>
        <v>3.4280483962500004</v>
      </c>
      <c r="K40" s="18">
        <f>J40/$B$1</f>
        <v>3.4280483962500005E-4</v>
      </c>
      <c r="L40" s="18">
        <f t="shared" si="28"/>
        <v>9.572184562500001E-5</v>
      </c>
      <c r="M40" s="18">
        <f t="shared" si="29"/>
        <v>2.4708299400000002E-4</v>
      </c>
      <c r="N40" s="18">
        <f t="shared" si="30"/>
        <v>2.3525796774193548E-2</v>
      </c>
      <c r="O40" s="1"/>
      <c r="P40" s="2">
        <f>VLOOKUP(A40,'Metric Reports Object Storage'!$A$1:$Z$53,10,FALSE)</f>
        <v>410859</v>
      </c>
      <c r="Q40" s="2">
        <f>VLOOKUP(A40,'Metric Reports Object Storage'!$A$1:$Z$53,11,FALSE)</f>
        <v>410792</v>
      </c>
      <c r="R40" s="2">
        <f>VLOOKUP(A40,'Metric Reports Object Storage'!$A$1:$Z$53,12,FALSE)</f>
        <v>12967041000</v>
      </c>
      <c r="S40" s="2">
        <f>VLOOKUP(A40,'Metric Reports Object Storage'!$A$1:$Z$53,13,FALSE)</f>
        <v>12967044000</v>
      </c>
      <c r="T40" s="2">
        <f>VLOOKUP(A40,'Metric Reports Object Storage'!$A$1:$Z$53,14,FALSE)</f>
        <v>22782</v>
      </c>
      <c r="U40" s="2">
        <f>VLOOKUP(A40,'Metric Reports Object Storage'!$A$1:$Z$53,16,FALSE)</f>
        <v>9611.518</v>
      </c>
      <c r="V40" s="2">
        <f>VLOOKUP(A40,'Metric Reports Object Storage'!$A$1:$Z$53,17,FALSE)</f>
        <v>2283.808</v>
      </c>
      <c r="W40" s="2">
        <f>VLOOKUP(A40,'Metric Reports Object Storage'!$A$1:$Z$53,18,FALSE)</f>
        <v>3048.8622999999998</v>
      </c>
      <c r="X40" s="2">
        <f>VLOOKUP(A40,'Metric Reports Object Storage'!$A$1:$Z$53,19,FALSE)</f>
        <v>14585.994000000001</v>
      </c>
      <c r="Y40" s="2">
        <f>VLOOKUP(A40,'Metric Reports Object Storage'!$A$1:$Z$53,20,FALSE)</f>
        <v>4387029</v>
      </c>
      <c r="Z40" s="2">
        <f>VLOOKUP(A40,'Metric Reports Object Storage'!$A$1:$Z$53,21,FALSE)</f>
        <v>9778</v>
      </c>
      <c r="AB40" s="11">
        <f>(U40/G40)*100</f>
        <v>75.87222104647185</v>
      </c>
      <c r="AC40" s="11">
        <f>(W40/G40)*100</f>
        <v>24.067369417177868</v>
      </c>
      <c r="AD40" s="18">
        <f>((B40+1)*$B$6) + (X40*(E40/128)*$B$7)</f>
        <v>0.95721845625000013</v>
      </c>
      <c r="AE40" s="18">
        <f t="shared" si="33"/>
        <v>2.4708299400000002</v>
      </c>
    </row>
  </sheetData>
  <mergeCells count="4">
    <mergeCell ref="B13:E13"/>
    <mergeCell ref="B20:E20"/>
    <mergeCell ref="B27:E27"/>
    <mergeCell ref="B35:E35"/>
  </mergeCells>
  <pageMargins left="0.7" right="0.7" top="0.75" bottom="0.75" header="0.3" footer="0.3"/>
  <ignoredErrors>
    <ignoredError sqref="AD1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B620-0CD3-9E46-B5DC-4E9E3BB10843}">
  <dimension ref="A1:U22"/>
  <sheetViews>
    <sheetView zoomScale="130" zoomScaleNormal="130" workbookViewId="0">
      <selection activeCell="G34" sqref="G34"/>
    </sheetView>
  </sheetViews>
  <sheetFormatPr baseColWidth="10" defaultRowHeight="16" x14ac:dyDescent="0.2"/>
  <cols>
    <col min="1" max="1" width="26.83203125" bestFit="1" customWidth="1"/>
    <col min="2" max="2" width="4.5" bestFit="1" customWidth="1"/>
    <col min="3" max="3" width="8.33203125" bestFit="1" customWidth="1"/>
    <col min="4" max="4" width="17.5" bestFit="1" customWidth="1"/>
    <col min="5" max="5" width="15" bestFit="1" customWidth="1"/>
    <col min="6" max="6" width="12.6640625" bestFit="1" customWidth="1"/>
    <col min="7" max="7" width="11" bestFit="1" customWidth="1"/>
    <col min="8" max="8" width="11.1640625" bestFit="1" customWidth="1"/>
    <col min="9" max="9" width="14" bestFit="1" customWidth="1"/>
    <col min="10" max="10" width="23.6640625" bestFit="1" customWidth="1"/>
    <col min="11" max="11" width="22.6640625" bestFit="1" customWidth="1"/>
    <col min="12" max="12" width="21.83203125" bestFit="1" customWidth="1"/>
    <col min="13" max="13" width="20.6640625" bestFit="1" customWidth="1"/>
    <col min="14" max="14" width="24.83203125" bestFit="1" customWidth="1"/>
    <col min="15" max="15" width="28.1640625" bestFit="1" customWidth="1"/>
    <col min="16" max="16" width="38.83203125" bestFit="1" customWidth="1"/>
    <col min="17" max="17" width="35.5" bestFit="1" customWidth="1"/>
    <col min="18" max="18" width="36" bestFit="1" customWidth="1"/>
    <col min="19" max="19" width="25.5" bestFit="1" customWidth="1"/>
    <col min="20" max="20" width="21.5" bestFit="1" customWidth="1"/>
    <col min="21" max="21" width="22.6640625" bestFit="1" customWidth="1"/>
    <col min="22" max="22" width="38.1640625" bestFit="1" customWidth="1"/>
    <col min="23" max="23" width="39.33203125" bestFit="1" customWidth="1"/>
    <col min="24" max="24" width="22.6640625" bestFit="1" customWidth="1"/>
    <col min="25" max="25" width="26.33203125" bestFit="1" customWidth="1"/>
    <col min="26" max="26" width="29.1640625" bestFit="1" customWidth="1"/>
    <col min="27" max="27" width="7.1640625" bestFit="1" customWidth="1"/>
  </cols>
  <sheetData>
    <row r="1" spans="1:21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45</v>
      </c>
      <c r="Q1" t="s">
        <v>47</v>
      </c>
      <c r="R1" t="s">
        <v>46</v>
      </c>
      <c r="S1" t="s">
        <v>48</v>
      </c>
      <c r="T1" t="s">
        <v>76</v>
      </c>
      <c r="U1" t="s">
        <v>49</v>
      </c>
    </row>
    <row r="2" spans="1:21" x14ac:dyDescent="0.2">
      <c r="A2" t="s">
        <v>99</v>
      </c>
      <c r="B2">
        <v>8</v>
      </c>
      <c r="C2">
        <v>1</v>
      </c>
      <c r="D2">
        <v>8</v>
      </c>
      <c r="E2">
        <v>1024</v>
      </c>
      <c r="F2">
        <v>120</v>
      </c>
      <c r="G2">
        <v>10000</v>
      </c>
      <c r="H2">
        <v>10000</v>
      </c>
      <c r="I2">
        <v>1</v>
      </c>
      <c r="J2">
        <v>6452</v>
      </c>
      <c r="K2">
        <v>6450</v>
      </c>
      <c r="L2">
        <v>240694300</v>
      </c>
      <c r="M2">
        <v>240694370</v>
      </c>
      <c r="N2">
        <v>1615</v>
      </c>
      <c r="O2">
        <v>465.88544000000002</v>
      </c>
      <c r="P2">
        <v>445.53847999999999</v>
      </c>
      <c r="Q2">
        <v>68.629050000000007</v>
      </c>
      <c r="R2">
        <v>19.990715000000002</v>
      </c>
      <c r="S2">
        <v>514.65563999999995</v>
      </c>
      <c r="T2">
        <v>1966529</v>
      </c>
      <c r="U2">
        <v>9931</v>
      </c>
    </row>
    <row r="3" spans="1:21" x14ac:dyDescent="0.2">
      <c r="A3" t="s">
        <v>87</v>
      </c>
      <c r="B3">
        <v>3</v>
      </c>
      <c r="C3">
        <v>2</v>
      </c>
      <c r="D3">
        <v>12</v>
      </c>
      <c r="E3">
        <v>1024</v>
      </c>
      <c r="F3">
        <v>120</v>
      </c>
      <c r="G3">
        <v>10000</v>
      </c>
      <c r="H3">
        <v>10000</v>
      </c>
      <c r="I3">
        <v>1</v>
      </c>
      <c r="J3">
        <v>15250</v>
      </c>
      <c r="K3">
        <v>15246</v>
      </c>
      <c r="L3">
        <v>294856160</v>
      </c>
      <c r="M3">
        <v>294856260</v>
      </c>
      <c r="N3">
        <v>2434</v>
      </c>
      <c r="O3">
        <v>729.85253999999998</v>
      </c>
      <c r="P3">
        <v>700.80380000000002</v>
      </c>
      <c r="Q3">
        <v>113.466324</v>
      </c>
      <c r="R3">
        <v>28.225352999999998</v>
      </c>
      <c r="S3">
        <v>790.38433999999995</v>
      </c>
      <c r="T3">
        <v>1512410</v>
      </c>
      <c r="U3">
        <v>9921</v>
      </c>
    </row>
    <row r="4" spans="1:21" x14ac:dyDescent="0.2">
      <c r="A4" t="s">
        <v>88</v>
      </c>
      <c r="B4">
        <v>4</v>
      </c>
      <c r="C4">
        <v>2</v>
      </c>
      <c r="D4">
        <v>20</v>
      </c>
      <c r="E4">
        <v>1024</v>
      </c>
      <c r="F4">
        <v>120</v>
      </c>
      <c r="G4">
        <v>10000</v>
      </c>
      <c r="H4">
        <v>10000</v>
      </c>
      <c r="I4">
        <v>1</v>
      </c>
      <c r="J4">
        <v>43790</v>
      </c>
      <c r="K4">
        <v>43785</v>
      </c>
      <c r="L4">
        <v>449245400</v>
      </c>
      <c r="M4">
        <v>449245280</v>
      </c>
      <c r="N4">
        <v>4403</v>
      </c>
      <c r="O4">
        <v>1357.463</v>
      </c>
      <c r="P4">
        <v>1290.8815999999999</v>
      </c>
      <c r="Q4">
        <v>271.45960000000002</v>
      </c>
      <c r="R4">
        <v>64.848190000000002</v>
      </c>
      <c r="S4">
        <v>1442.6867999999999</v>
      </c>
      <c r="T4">
        <v>1875323</v>
      </c>
      <c r="U4">
        <v>9931</v>
      </c>
    </row>
    <row r="5" spans="1:21" x14ac:dyDescent="0.2">
      <c r="A5" t="s">
        <v>89</v>
      </c>
      <c r="B5">
        <v>6</v>
      </c>
      <c r="C5">
        <v>2</v>
      </c>
      <c r="D5">
        <v>42</v>
      </c>
      <c r="E5">
        <v>1024</v>
      </c>
      <c r="F5">
        <v>120</v>
      </c>
      <c r="G5">
        <v>10000</v>
      </c>
      <c r="H5">
        <v>10000</v>
      </c>
      <c r="I5">
        <v>1</v>
      </c>
      <c r="J5">
        <v>191257</v>
      </c>
      <c r="K5">
        <v>191225</v>
      </c>
      <c r="L5">
        <v>886372400</v>
      </c>
      <c r="M5">
        <v>886367040</v>
      </c>
      <c r="N5">
        <v>14456</v>
      </c>
      <c r="O5">
        <v>4422.9690000000001</v>
      </c>
      <c r="P5">
        <v>4184.6587</v>
      </c>
      <c r="Q5">
        <v>875.18804999999998</v>
      </c>
      <c r="R5">
        <v>234.1506</v>
      </c>
      <c r="S5">
        <v>4581.9229999999998</v>
      </c>
      <c r="T5">
        <v>1056147</v>
      </c>
      <c r="U5">
        <v>9931</v>
      </c>
    </row>
    <row r="6" spans="1:21" x14ac:dyDescent="0.2">
      <c r="A6" t="s">
        <v>103</v>
      </c>
      <c r="B6">
        <v>2</v>
      </c>
      <c r="C6">
        <v>5</v>
      </c>
      <c r="D6">
        <v>62</v>
      </c>
      <c r="E6">
        <v>1024</v>
      </c>
      <c r="F6">
        <v>120</v>
      </c>
      <c r="G6">
        <v>10000</v>
      </c>
      <c r="H6">
        <v>10000</v>
      </c>
      <c r="I6">
        <v>1</v>
      </c>
      <c r="J6">
        <v>364521</v>
      </c>
      <c r="K6">
        <v>364449</v>
      </c>
      <c r="L6">
        <v>1325980800</v>
      </c>
      <c r="M6">
        <v>1325968900</v>
      </c>
      <c r="N6">
        <v>23178</v>
      </c>
      <c r="O6">
        <v>7867.4440000000004</v>
      </c>
      <c r="P6">
        <v>7343.0450000000001</v>
      </c>
      <c r="Q6">
        <v>1328.0978</v>
      </c>
      <c r="R6">
        <v>517.05949999999996</v>
      </c>
      <c r="S6">
        <v>8096.1109999999999</v>
      </c>
      <c r="T6">
        <v>728881</v>
      </c>
      <c r="U6">
        <v>9931</v>
      </c>
    </row>
    <row r="7" spans="1:21" x14ac:dyDescent="0.2">
      <c r="A7" t="s">
        <v>100</v>
      </c>
      <c r="B7">
        <v>8</v>
      </c>
      <c r="C7">
        <v>1</v>
      </c>
      <c r="D7">
        <v>8</v>
      </c>
      <c r="E7">
        <v>4096</v>
      </c>
      <c r="F7">
        <v>120</v>
      </c>
      <c r="G7">
        <v>10000</v>
      </c>
      <c r="H7">
        <v>10000</v>
      </c>
      <c r="I7">
        <v>1</v>
      </c>
      <c r="J7">
        <v>6388</v>
      </c>
      <c r="K7">
        <v>6383</v>
      </c>
      <c r="L7">
        <v>797351040</v>
      </c>
      <c r="M7">
        <v>797351040</v>
      </c>
      <c r="N7">
        <v>1646</v>
      </c>
      <c r="O7">
        <v>623.35064999999997</v>
      </c>
      <c r="P7">
        <v>557.58234000000004</v>
      </c>
      <c r="Q7">
        <v>179.23415</v>
      </c>
      <c r="R7">
        <v>65.105149999999995</v>
      </c>
      <c r="S7">
        <v>706.24743999999998</v>
      </c>
      <c r="T7">
        <v>3207895</v>
      </c>
      <c r="U7">
        <v>9857</v>
      </c>
    </row>
    <row r="8" spans="1:21" x14ac:dyDescent="0.2">
      <c r="A8" t="s">
        <v>90</v>
      </c>
      <c r="B8">
        <v>3</v>
      </c>
      <c r="C8">
        <v>2</v>
      </c>
      <c r="D8">
        <v>12</v>
      </c>
      <c r="E8">
        <v>4096</v>
      </c>
      <c r="F8">
        <v>120</v>
      </c>
      <c r="G8">
        <v>10000</v>
      </c>
      <c r="H8">
        <v>10000</v>
      </c>
      <c r="I8">
        <v>1</v>
      </c>
      <c r="J8">
        <v>15028</v>
      </c>
      <c r="K8">
        <v>15018</v>
      </c>
      <c r="L8">
        <v>816040100</v>
      </c>
      <c r="M8">
        <v>816040100</v>
      </c>
      <c r="N8">
        <v>2646</v>
      </c>
      <c r="O8">
        <v>892.31079999999997</v>
      </c>
      <c r="P8">
        <v>809.96450000000004</v>
      </c>
      <c r="Q8">
        <v>171.5908</v>
      </c>
      <c r="R8">
        <v>81.927199999999999</v>
      </c>
      <c r="S8">
        <v>989.83889999999997</v>
      </c>
      <c r="T8">
        <v>2222930</v>
      </c>
      <c r="U8">
        <v>9794</v>
      </c>
    </row>
    <row r="9" spans="1:21" x14ac:dyDescent="0.2">
      <c r="A9" t="s">
        <v>91</v>
      </c>
      <c r="B9">
        <v>4</v>
      </c>
      <c r="C9">
        <v>2</v>
      </c>
      <c r="D9">
        <v>20</v>
      </c>
      <c r="E9">
        <v>4096</v>
      </c>
      <c r="F9">
        <v>120</v>
      </c>
      <c r="G9">
        <v>10000</v>
      </c>
      <c r="H9">
        <v>10000</v>
      </c>
      <c r="I9">
        <v>1</v>
      </c>
      <c r="J9">
        <v>43145</v>
      </c>
      <c r="K9">
        <v>43131</v>
      </c>
      <c r="L9">
        <v>1058971650</v>
      </c>
      <c r="M9">
        <v>1058971100</v>
      </c>
      <c r="N9">
        <v>4509</v>
      </c>
      <c r="O9">
        <v>1506.7130999999999</v>
      </c>
      <c r="P9">
        <v>1386.338</v>
      </c>
      <c r="Q9">
        <v>230.03649999999999</v>
      </c>
      <c r="R9">
        <v>118.66134</v>
      </c>
      <c r="S9">
        <v>1643.0214000000001</v>
      </c>
      <c r="T9">
        <v>1528681</v>
      </c>
      <c r="U9">
        <v>9825</v>
      </c>
    </row>
    <row r="10" spans="1:21" x14ac:dyDescent="0.2">
      <c r="A10" t="s">
        <v>92</v>
      </c>
      <c r="B10">
        <v>6</v>
      </c>
      <c r="C10">
        <v>2</v>
      </c>
      <c r="D10">
        <v>42</v>
      </c>
      <c r="E10">
        <v>4096</v>
      </c>
      <c r="F10">
        <v>120</v>
      </c>
      <c r="G10">
        <v>10000</v>
      </c>
      <c r="H10">
        <v>10000</v>
      </c>
      <c r="I10">
        <v>1</v>
      </c>
      <c r="J10">
        <v>194186</v>
      </c>
      <c r="K10">
        <v>194135</v>
      </c>
      <c r="L10">
        <v>1634986000</v>
      </c>
      <c r="M10">
        <v>1634991400</v>
      </c>
      <c r="N10">
        <v>17802</v>
      </c>
      <c r="O10">
        <v>4851.8135000000002</v>
      </c>
      <c r="P10">
        <v>4572.9575000000004</v>
      </c>
      <c r="Q10">
        <v>437.44630000000001</v>
      </c>
      <c r="R10">
        <v>274.8125</v>
      </c>
      <c r="S10">
        <v>5120.7479999999996</v>
      </c>
      <c r="T10">
        <v>1260025</v>
      </c>
      <c r="U10">
        <v>9860</v>
      </c>
    </row>
    <row r="11" spans="1:21" x14ac:dyDescent="0.2">
      <c r="A11" t="s">
        <v>104</v>
      </c>
      <c r="B11">
        <v>2</v>
      </c>
      <c r="C11">
        <v>5</v>
      </c>
      <c r="D11">
        <v>62</v>
      </c>
      <c r="E11">
        <v>4096</v>
      </c>
      <c r="F11">
        <v>120</v>
      </c>
      <c r="G11">
        <v>10000</v>
      </c>
      <c r="H11">
        <v>10000</v>
      </c>
      <c r="I11">
        <v>1</v>
      </c>
      <c r="J11">
        <v>422134</v>
      </c>
      <c r="K11">
        <v>422054</v>
      </c>
      <c r="L11">
        <v>2264710700</v>
      </c>
      <c r="M11">
        <v>2264709400</v>
      </c>
      <c r="N11">
        <v>32054</v>
      </c>
      <c r="O11">
        <v>9570.7540000000008</v>
      </c>
      <c r="P11">
        <v>9111.7950000000001</v>
      </c>
      <c r="Q11">
        <v>699.149</v>
      </c>
      <c r="R11">
        <v>451.42187999999999</v>
      </c>
      <c r="S11">
        <v>9895.0120000000006</v>
      </c>
      <c r="T11">
        <v>1393241</v>
      </c>
      <c r="U11">
        <v>9860</v>
      </c>
    </row>
    <row r="12" spans="1:21" x14ac:dyDescent="0.2">
      <c r="A12" t="s">
        <v>101</v>
      </c>
      <c r="B12">
        <v>8</v>
      </c>
      <c r="C12">
        <v>1</v>
      </c>
      <c r="D12">
        <v>8</v>
      </c>
      <c r="E12">
        <v>16384</v>
      </c>
      <c r="F12">
        <v>120</v>
      </c>
      <c r="G12">
        <v>10000</v>
      </c>
      <c r="H12">
        <v>10000</v>
      </c>
      <c r="I12">
        <v>1</v>
      </c>
      <c r="J12">
        <v>6351</v>
      </c>
      <c r="K12">
        <v>6341</v>
      </c>
      <c r="L12">
        <v>2343962600</v>
      </c>
      <c r="M12">
        <v>2343962600</v>
      </c>
      <c r="N12">
        <v>1773</v>
      </c>
      <c r="O12">
        <v>1233.5956000000001</v>
      </c>
      <c r="P12">
        <v>1021.91034</v>
      </c>
      <c r="Q12">
        <v>646.55820000000006</v>
      </c>
      <c r="R12">
        <v>210.95501999999999</v>
      </c>
      <c r="S12">
        <v>1456.7101</v>
      </c>
      <c r="T12">
        <v>7989115</v>
      </c>
      <c r="U12">
        <v>2226</v>
      </c>
    </row>
    <row r="13" spans="1:21" x14ac:dyDescent="0.2">
      <c r="A13" t="s">
        <v>93</v>
      </c>
      <c r="B13">
        <v>3</v>
      </c>
      <c r="C13">
        <v>2</v>
      </c>
      <c r="D13">
        <v>12</v>
      </c>
      <c r="E13">
        <v>16384</v>
      </c>
      <c r="F13">
        <v>120</v>
      </c>
      <c r="G13">
        <v>10000</v>
      </c>
      <c r="H13">
        <v>10000</v>
      </c>
      <c r="I13">
        <v>1</v>
      </c>
      <c r="J13">
        <v>14839</v>
      </c>
      <c r="K13">
        <v>14833</v>
      </c>
      <c r="L13">
        <v>2846036000</v>
      </c>
      <c r="M13">
        <v>2846037000</v>
      </c>
      <c r="N13">
        <v>2771</v>
      </c>
      <c r="O13">
        <v>1589.998</v>
      </c>
      <c r="P13">
        <v>1319.7933</v>
      </c>
      <c r="Q13">
        <v>704.8981</v>
      </c>
      <c r="R13">
        <v>267.91226</v>
      </c>
      <c r="S13">
        <v>1874.7701</v>
      </c>
      <c r="T13">
        <v>5322213</v>
      </c>
      <c r="U13">
        <v>9776</v>
      </c>
    </row>
    <row r="14" spans="1:21" x14ac:dyDescent="0.2">
      <c r="A14" t="s">
        <v>94</v>
      </c>
      <c r="B14">
        <v>4</v>
      </c>
      <c r="C14">
        <v>2</v>
      </c>
      <c r="D14">
        <v>20</v>
      </c>
      <c r="E14">
        <v>16384</v>
      </c>
      <c r="F14">
        <v>120</v>
      </c>
      <c r="G14">
        <v>10000</v>
      </c>
      <c r="H14">
        <v>10000</v>
      </c>
      <c r="I14">
        <v>1</v>
      </c>
      <c r="J14">
        <v>42420</v>
      </c>
      <c r="K14">
        <v>42405</v>
      </c>
      <c r="L14">
        <v>3475304000</v>
      </c>
      <c r="M14">
        <v>3475304400</v>
      </c>
      <c r="N14">
        <v>4625</v>
      </c>
      <c r="O14">
        <v>2299.0576000000001</v>
      </c>
      <c r="P14">
        <v>1925.0596</v>
      </c>
      <c r="Q14">
        <v>654.32069999999999</v>
      </c>
      <c r="R14">
        <v>372.40944999999999</v>
      </c>
      <c r="S14">
        <v>2616.6950000000002</v>
      </c>
      <c r="T14">
        <v>4459959</v>
      </c>
      <c r="U14">
        <v>9786</v>
      </c>
    </row>
    <row r="15" spans="1:21" x14ac:dyDescent="0.2">
      <c r="A15" t="s">
        <v>95</v>
      </c>
      <c r="B15">
        <v>6</v>
      </c>
      <c r="C15">
        <v>2</v>
      </c>
      <c r="D15">
        <v>42</v>
      </c>
      <c r="E15">
        <v>16384</v>
      </c>
      <c r="F15">
        <v>120</v>
      </c>
      <c r="G15">
        <v>10000</v>
      </c>
      <c r="H15">
        <v>10000</v>
      </c>
      <c r="I15">
        <v>1</v>
      </c>
      <c r="J15">
        <v>190937</v>
      </c>
      <c r="K15">
        <v>190906</v>
      </c>
      <c r="L15">
        <v>3895079200</v>
      </c>
      <c r="M15">
        <v>3895079400</v>
      </c>
      <c r="N15">
        <v>12632</v>
      </c>
      <c r="O15">
        <v>4946.5339999999997</v>
      </c>
      <c r="P15">
        <v>4269.6986999999999</v>
      </c>
      <c r="Q15">
        <v>721.77290000000005</v>
      </c>
      <c r="R15">
        <v>672.6739</v>
      </c>
      <c r="S15">
        <v>5446.7655999999997</v>
      </c>
      <c r="T15">
        <v>1782017</v>
      </c>
      <c r="U15">
        <v>9818</v>
      </c>
    </row>
    <row r="16" spans="1:21" x14ac:dyDescent="0.2">
      <c r="A16" t="s">
        <v>105</v>
      </c>
      <c r="B16">
        <v>2</v>
      </c>
      <c r="C16">
        <v>5</v>
      </c>
      <c r="D16">
        <v>62</v>
      </c>
      <c r="E16">
        <v>16384</v>
      </c>
      <c r="F16">
        <v>120</v>
      </c>
      <c r="G16">
        <v>10000</v>
      </c>
      <c r="H16">
        <v>10000</v>
      </c>
      <c r="I16">
        <v>1</v>
      </c>
      <c r="J16">
        <v>418292</v>
      </c>
      <c r="K16">
        <v>418225</v>
      </c>
      <c r="L16">
        <v>4563685000</v>
      </c>
      <c r="M16">
        <v>4563682300</v>
      </c>
      <c r="N16">
        <v>20342</v>
      </c>
      <c r="O16">
        <v>8549.0409999999993</v>
      </c>
      <c r="P16">
        <v>7427.4673000000003</v>
      </c>
      <c r="Q16">
        <v>968.5498</v>
      </c>
      <c r="R16">
        <v>1114.2456</v>
      </c>
      <c r="S16">
        <v>9185.0849999999991</v>
      </c>
      <c r="T16">
        <v>1725901</v>
      </c>
      <c r="U16">
        <v>9823</v>
      </c>
    </row>
    <row r="17" spans="1:21" x14ac:dyDescent="0.2">
      <c r="A17" t="s">
        <v>102</v>
      </c>
      <c r="B17">
        <v>8</v>
      </c>
      <c r="C17">
        <v>1</v>
      </c>
      <c r="D17">
        <v>8</v>
      </c>
      <c r="E17">
        <v>65536</v>
      </c>
      <c r="F17">
        <v>120</v>
      </c>
      <c r="G17">
        <v>10000</v>
      </c>
      <c r="H17">
        <v>10000</v>
      </c>
      <c r="I17">
        <v>1</v>
      </c>
      <c r="J17">
        <v>6209</v>
      </c>
      <c r="K17">
        <v>6209</v>
      </c>
      <c r="L17">
        <v>8574274600</v>
      </c>
      <c r="M17">
        <v>8574275000</v>
      </c>
      <c r="N17">
        <v>3825</v>
      </c>
      <c r="O17">
        <v>3853.7004000000002</v>
      </c>
      <c r="P17">
        <v>2958.7622000000001</v>
      </c>
      <c r="Q17">
        <v>1470.6519000000001</v>
      </c>
      <c r="R17">
        <v>893.30706999999995</v>
      </c>
      <c r="S17">
        <v>4709.0950000000003</v>
      </c>
      <c r="T17">
        <v>28837706</v>
      </c>
      <c r="U17">
        <v>8117</v>
      </c>
    </row>
    <row r="18" spans="1:21" x14ac:dyDescent="0.2">
      <c r="A18" t="s">
        <v>96</v>
      </c>
      <c r="B18">
        <v>4</v>
      </c>
      <c r="C18">
        <v>2</v>
      </c>
      <c r="D18">
        <v>20</v>
      </c>
      <c r="E18">
        <v>65536</v>
      </c>
      <c r="F18">
        <v>120</v>
      </c>
      <c r="G18">
        <v>10000</v>
      </c>
      <c r="H18">
        <v>10000</v>
      </c>
      <c r="I18">
        <v>1</v>
      </c>
      <c r="J18">
        <v>41605</v>
      </c>
      <c r="K18">
        <v>41584</v>
      </c>
      <c r="L18">
        <v>11781847000</v>
      </c>
      <c r="M18">
        <v>11781852000</v>
      </c>
      <c r="N18">
        <v>5516</v>
      </c>
      <c r="O18">
        <v>5484.5337</v>
      </c>
      <c r="P18">
        <v>4020.0551999999998</v>
      </c>
      <c r="Q18">
        <v>1931.5161000000001</v>
      </c>
      <c r="R18">
        <v>1458.4539</v>
      </c>
      <c r="S18">
        <v>6606.95</v>
      </c>
      <c r="T18">
        <v>15239945</v>
      </c>
      <c r="U18">
        <v>9708</v>
      </c>
    </row>
    <row r="19" spans="1:21" x14ac:dyDescent="0.2">
      <c r="A19" t="s">
        <v>97</v>
      </c>
      <c r="B19">
        <v>6</v>
      </c>
      <c r="C19">
        <v>2</v>
      </c>
      <c r="D19">
        <v>42</v>
      </c>
      <c r="E19">
        <v>65536</v>
      </c>
      <c r="F19">
        <v>120</v>
      </c>
      <c r="G19">
        <v>10000</v>
      </c>
      <c r="H19">
        <v>10000</v>
      </c>
      <c r="I19">
        <v>1</v>
      </c>
      <c r="J19">
        <v>187577</v>
      </c>
      <c r="K19">
        <v>187515</v>
      </c>
      <c r="L19">
        <v>12466023000</v>
      </c>
      <c r="M19">
        <v>12466026000</v>
      </c>
      <c r="N19">
        <v>12332</v>
      </c>
      <c r="O19">
        <v>8953.4570000000003</v>
      </c>
      <c r="P19">
        <v>6619.1875</v>
      </c>
      <c r="Q19">
        <v>2049.0940000000001</v>
      </c>
      <c r="R19">
        <v>2328.2354</v>
      </c>
      <c r="S19">
        <v>10593.828</v>
      </c>
      <c r="T19">
        <v>5733889</v>
      </c>
      <c r="U19">
        <v>9762</v>
      </c>
    </row>
    <row r="20" spans="1:21" x14ac:dyDescent="0.2">
      <c r="A20" t="s">
        <v>106</v>
      </c>
      <c r="B20">
        <v>2</v>
      </c>
      <c r="C20">
        <v>5</v>
      </c>
      <c r="D20">
        <v>62</v>
      </c>
      <c r="E20">
        <v>65536</v>
      </c>
      <c r="F20">
        <v>120</v>
      </c>
      <c r="G20">
        <v>10000</v>
      </c>
      <c r="H20">
        <v>10000</v>
      </c>
      <c r="I20">
        <v>1</v>
      </c>
      <c r="J20">
        <v>410859</v>
      </c>
      <c r="K20">
        <v>410792</v>
      </c>
      <c r="L20">
        <v>12967041000</v>
      </c>
      <c r="M20">
        <v>12967044000</v>
      </c>
      <c r="N20">
        <v>22782</v>
      </c>
      <c r="O20">
        <v>12668.032999999999</v>
      </c>
      <c r="P20">
        <v>9611.518</v>
      </c>
      <c r="Q20">
        <v>2283.808</v>
      </c>
      <c r="R20">
        <v>3048.8622999999998</v>
      </c>
      <c r="S20">
        <v>14585.994000000001</v>
      </c>
      <c r="T20">
        <v>4387029</v>
      </c>
      <c r="U20">
        <v>9778</v>
      </c>
    </row>
    <row r="21" spans="1:21" x14ac:dyDescent="0.2">
      <c r="A21" t="s">
        <v>98</v>
      </c>
      <c r="B21">
        <v>4</v>
      </c>
      <c r="C21">
        <v>3</v>
      </c>
      <c r="D21">
        <v>84</v>
      </c>
      <c r="E21">
        <v>65536</v>
      </c>
      <c r="F21">
        <v>120</v>
      </c>
      <c r="G21">
        <v>10000</v>
      </c>
      <c r="H21">
        <v>10000</v>
      </c>
      <c r="I21">
        <v>1</v>
      </c>
      <c r="J21">
        <v>756755</v>
      </c>
      <c r="K21">
        <v>756636</v>
      </c>
      <c r="L21">
        <v>13900484000</v>
      </c>
      <c r="M21">
        <v>13900479000</v>
      </c>
      <c r="N21">
        <v>34652</v>
      </c>
      <c r="O21">
        <v>19551.53</v>
      </c>
      <c r="P21">
        <v>15269.008</v>
      </c>
      <c r="Q21">
        <v>2460.2420000000002</v>
      </c>
      <c r="R21">
        <v>4267.7173000000003</v>
      </c>
      <c r="S21">
        <v>21925.138999999999</v>
      </c>
      <c r="T21">
        <v>2760649</v>
      </c>
      <c r="U21">
        <v>9778</v>
      </c>
    </row>
    <row r="22" spans="1:21" x14ac:dyDescent="0.2">
      <c r="A22" t="s">
        <v>119</v>
      </c>
      <c r="B22">
        <v>6</v>
      </c>
      <c r="C22">
        <v>2</v>
      </c>
      <c r="D22">
        <v>42</v>
      </c>
      <c r="E22">
        <v>16384</v>
      </c>
      <c r="F22">
        <v>120</v>
      </c>
      <c r="G22">
        <v>10000</v>
      </c>
      <c r="H22">
        <v>10000</v>
      </c>
      <c r="I22">
        <v>1</v>
      </c>
      <c r="J22">
        <v>206635</v>
      </c>
      <c r="K22">
        <v>206635</v>
      </c>
      <c r="L22">
        <v>36374240000</v>
      </c>
      <c r="M22">
        <v>36374303000</v>
      </c>
      <c r="N22">
        <v>20943</v>
      </c>
      <c r="O22">
        <v>11720.831</v>
      </c>
      <c r="P22">
        <v>10835.295</v>
      </c>
      <c r="Q22">
        <v>7021.9287000000004</v>
      </c>
      <c r="R22">
        <v>910.17345999999998</v>
      </c>
      <c r="S22">
        <v>12657.77</v>
      </c>
      <c r="T22">
        <v>3688351</v>
      </c>
      <c r="U22">
        <v>9824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A C A g A X X n 0 V E A O O k q o A A A A 9 w A A A B I A A A B D b 2 5 m a W c v U G F j a 2 F n Z S 5 4 b W y F j 8 E K g k A U R X 9 F Z u + 8 U c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T O I 4 Y n S F M L e Z K f 4 l w F K Y M 4 a f E V V / b v p N c a n + 9 R J g i w v s E f w J Q S w M E F A A A C A g A X X n 0 V I q M t X t B A Q A A 5 Q M A A B M A A A B G b 3 J t d W x h c y 9 T Z W N 0 a W 9 u M S 5 t d Z J N S w M x E I b v C / 0 P I b 2 0 s O 4 2 s f a D 4 m m L o I e K b n s S K d v t 1 K 5 m M 5 K P l l L 8 7 8 2 6 g i L M K b x 5 k s y 8 b 8 Z C 6 S r U L G 9 X M e t E n c j u C w N b 1 u V y 8 O C V l O s F H B 8 P Y H Y K j + t n r w V n t 0 y B i x j L 0 Z s S g s z s I Z l j 6 W v Q r n d X K U g y 1 C 4 I 2 + P p y o K x 6 T s C F h 8 K T u k c j 1 p h s b U p V S E p 7 Y H 3 Y / Y y B 1 X V l Q M T a v C Y x y x D 5 W t t g 5 S j m D 1 5 d J C 7 k 2 p 6 + B X J A j W 8 9 u P Q Y Z d n + 0 K / B T / l 9 0 3 m T p / Q G F g W m 3 B w a Q p t d 2 j q 9 t 1 l g L b X u o r Z + c z b b R E K 3 2 s 3 G i b N g a 9 A f o C k w D U F h h S 4 o c C I A m M K T C g w p Y A Y k I T 0 L k j z g n Q v S P u C 9 C + a A J p f Y 9 r X G z B / 0 Z h G E x p N S S Q H N K K H g A x C k k F I M g h J B i H / T U J A H P T V K u f 9 q N L k r M 8 u U E s D B B Q A A A g I A F 1 5 9 F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X X n 0 V E A O O k q o A A A A 9 w A A A B I A A A A A A A A A A A A A A A A A A A A A A E N v b m Z p Z y 9 Q Y W N r Y W d l L n h t b F B L A Q I U A x Q A A A g I A F 1 5 9 F S K j L V 7 Q Q E A A O U D A A A T A A A A A A A A A A A A A A A A A N g A A A B G b 3 J t d W x h c y 9 T Z W N 0 a W 9 u M S 5 t U E s B A h Q D F A A A C A g A X X n 0 V A / K 6 a u k A A A A 6 Q A A A B M A A A A A A A A A A A A A A A A A S g I A A F t D b 2 5 0 Z W 5 0 X 1 R 5 c G V z X S 5 4 b W x Q S w U G A A A A A A M A A w D C A A A A H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x k A A A A A A A C 1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y M E p 1 b D I y X 0 5 l d 0 9 2 Z X J m b G 9 3 X 1 J 1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w V D E 0 O j E w O j Q 4 L j k 1 O D A z O D B a I i A v P j x F b n R y e S B U e X B l P S J G a W x s Q 2 9 s d W 1 u V H l w Z X M i I F Z h b H V l P S J z Q X d N R E F 3 T U R B d 0 1 E Q X d N R E F 3 T U R C U V V G Q l F V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S n V s M j J f T m V 3 T 3 Z l c m Z s b 3 d f U n V u M S 9 B d X R v U m V t b 3 Z l Z E N v b H V t b n M x L n t D b 2 x 1 b W 4 x L D B 9 J n F 1 b 3 Q 7 L C Z x d W 9 0 O 1 N l Y 3 R p b 2 4 x L z I w S n V s M j J f T m V 3 T 3 Z l c m Z s b 3 d f U n V u M S 9 B d X R v U m V t b 3 Z l Z E N v b H V t b n M x L n t D b 2 x 1 b W 4 y L D F 9 J n F 1 b 3 Q 7 L C Z x d W 9 0 O 1 N l Y 3 R p b 2 4 x L z I w S n V s M j J f T m V 3 T 3 Z l c m Z s b 3 d f U n V u M S 9 B d X R v U m V t b 3 Z l Z E N v b H V t b n M x L n t D b 2 x 1 b W 4 z L D J 9 J n F 1 b 3 Q 7 L C Z x d W 9 0 O 1 N l Y 3 R p b 2 4 x L z I w S n V s M j J f T m V 3 T 3 Z l c m Z s b 3 d f U n V u M S 9 B d X R v U m V t b 3 Z l Z E N v b H V t b n M x L n t D b 2 x 1 b W 4 0 L D N 9 J n F 1 b 3 Q 7 L C Z x d W 9 0 O 1 N l Y 3 R p b 2 4 x L z I w S n V s M j J f T m V 3 T 3 Z l c m Z s b 3 d f U n V u M S 9 B d X R v U m V t b 3 Z l Z E N v b H V t b n M x L n t D b 2 x 1 b W 4 1 L D R 9 J n F 1 b 3 Q 7 L C Z x d W 9 0 O 1 N l Y 3 R p b 2 4 x L z I w S n V s M j J f T m V 3 T 3 Z l c m Z s b 3 d f U n V u M S 9 B d X R v U m V t b 3 Z l Z E N v b H V t b n M x L n t D b 2 x 1 b W 4 2 L D V 9 J n F 1 b 3 Q 7 L C Z x d W 9 0 O 1 N l Y 3 R p b 2 4 x L z I w S n V s M j J f T m V 3 T 3 Z l c m Z s b 3 d f U n V u M S 9 B d X R v U m V t b 3 Z l Z E N v b H V t b n M x L n t D b 2 x 1 b W 4 3 L D Z 9 J n F 1 b 3 Q 7 L C Z x d W 9 0 O 1 N l Y 3 R p b 2 4 x L z I w S n V s M j J f T m V 3 T 3 Z l c m Z s b 3 d f U n V u M S 9 B d X R v U m V t b 3 Z l Z E N v b H V t b n M x L n t D b 2 x 1 b W 4 4 L D d 9 J n F 1 b 3 Q 7 L C Z x d W 9 0 O 1 N l Y 3 R p b 2 4 x L z I w S n V s M j J f T m V 3 T 3 Z l c m Z s b 3 d f U n V u M S 9 B d X R v U m V t b 3 Z l Z E N v b H V t b n M x L n t D b 2 x 1 b W 4 5 L D h 9 J n F 1 b 3 Q 7 L C Z x d W 9 0 O 1 N l Y 3 R p b 2 4 x L z I w S n V s M j J f T m V 3 T 3 Z l c m Z s b 3 d f U n V u M S 9 B d X R v U m V t b 3 Z l Z E N v b H V t b n M x L n t D b 2 x 1 b W 4 x M C w 5 f S Z x d W 9 0 O y w m c X V v d D t T Z W N 0 a W 9 u M S 8 y M E p 1 b D I y X 0 5 l d 0 9 2 Z X J m b G 9 3 X 1 J 1 b j E v Q X V 0 b 1 J l b W 9 2 Z W R D b 2 x 1 b W 5 z M S 5 7 Q 2 9 s d W 1 u M T E s M T B 9 J n F 1 b 3 Q 7 L C Z x d W 9 0 O 1 N l Y 3 R p b 2 4 x L z I w S n V s M j J f T m V 3 T 3 Z l c m Z s b 3 d f U n V u M S 9 B d X R v U m V t b 3 Z l Z E N v b H V t b n M x L n t D b 2 x 1 b W 4 x M i w x M X 0 m c X V v d D s s J n F 1 b 3 Q 7 U 2 V j d G l v b j E v M j B K d W w y M l 9 O Z X d P d m V y Z m x v d 1 9 S d W 4 x L 0 F 1 d G 9 S Z W 1 v d m V k Q 2 9 s d W 1 u c z E u e 0 N v b H V t b j E z L D E y f S Z x d W 9 0 O y w m c X V v d D t T Z W N 0 a W 9 u M S 8 y M E p 1 b D I y X 0 5 l d 0 9 2 Z X J m b G 9 3 X 1 J 1 b j E v Q X V 0 b 1 J l b W 9 2 Z W R D b 2 x 1 b W 5 z M S 5 7 Q 2 9 s d W 1 u M T Q s M T N 9 J n F 1 b 3 Q 7 L C Z x d W 9 0 O 1 N l Y 3 R p b 2 4 x L z I w S n V s M j J f T m V 3 T 3 Z l c m Z s b 3 d f U n V u M S 9 B d X R v U m V t b 3 Z l Z E N v b H V t b n M x L n t D b 2 x 1 b W 4 x N S w x N H 0 m c X V v d D s s J n F 1 b 3 Q 7 U 2 V j d G l v b j E v M j B K d W w y M l 9 O Z X d P d m V y Z m x v d 1 9 S d W 4 x L 0 F 1 d G 9 S Z W 1 v d m V k Q 2 9 s d W 1 u c z E u e 0 N v b H V t b j E 2 L D E 1 f S Z x d W 9 0 O y w m c X V v d D t T Z W N 0 a W 9 u M S 8 y M E p 1 b D I y X 0 5 l d 0 9 2 Z X J m b G 9 3 X 1 J 1 b j E v Q X V 0 b 1 J l b W 9 2 Z W R D b 2 x 1 b W 5 z M S 5 7 Q 2 9 s d W 1 u M T c s M T Z 9 J n F 1 b 3 Q 7 L C Z x d W 9 0 O 1 N l Y 3 R p b 2 4 x L z I w S n V s M j J f T m V 3 T 3 Z l c m Z s b 3 d f U n V u M S 9 B d X R v U m V t b 3 Z l Z E N v b H V t b n M x L n t D b 2 x 1 b W 4 x O C w x N 3 0 m c X V v d D s s J n F 1 b 3 Q 7 U 2 V j d G l v b j E v M j B K d W w y M l 9 O Z X d P d m V y Z m x v d 1 9 S d W 4 x L 0 F 1 d G 9 S Z W 1 v d m V k Q 2 9 s d W 1 u c z E u e 0 N v b H V t b j E 5 L D E 4 f S Z x d W 9 0 O y w m c X V v d D t T Z W N 0 a W 9 u M S 8 y M E p 1 b D I y X 0 5 l d 0 9 2 Z X J m b G 9 3 X 1 J 1 b j E v Q X V 0 b 1 J l b W 9 2 Z W R D b 2 x 1 b W 5 z M S 5 7 Q 2 9 s d W 1 u M j A s M T l 9 J n F 1 b 3 Q 7 L C Z x d W 9 0 O 1 N l Y 3 R p b 2 4 x L z I w S n V s M j J f T m V 3 T 3 Z l c m Z s b 3 d f U n V u M S 9 B d X R v U m V t b 3 Z l Z E N v b H V t b n M x L n t D b 2 x 1 b W 4 y M S w y M H 0 m c X V v d D s s J n F 1 b 3 Q 7 U 2 V j d G l v b j E v M j B K d W w y M l 9 O Z X d P d m V y Z m x v d 1 9 S d W 4 x L 0 F 1 d G 9 S Z W 1 v d m V k Q 2 9 s d W 1 u c z E u e 0 N v b H V t b j I y L D I x f S Z x d W 9 0 O y w m c X V v d D t T Z W N 0 a W 9 u M S 8 y M E p 1 b D I y X 0 5 l d 0 9 2 Z X J m b G 9 3 X 1 J 1 b j E v Q X V 0 b 1 J l b W 9 2 Z W R D b 2 x 1 b W 5 z M S 5 7 Q 2 9 s d W 1 u M j M s M j J 9 J n F 1 b 3 Q 7 L C Z x d W 9 0 O 1 N l Y 3 R p b 2 4 x L z I w S n V s M j J f T m V 3 T 3 Z l c m Z s b 3 d f U n V u M S 9 B d X R v U m V t b 3 Z l Z E N v b H V t b n M x L n t D b 2 x 1 b W 4 y N C w y M 3 0 m c X V v d D s s J n F 1 b 3 Q 7 U 2 V j d G l v b j E v M j B K d W w y M l 9 O Z X d P d m V y Z m x v d 1 9 S d W 4 x L 0 F 1 d G 9 S Z W 1 v d m V k Q 2 9 s d W 1 u c z E u e 0 N v b H V t b j I 1 L D I 0 f S Z x d W 9 0 O y w m c X V v d D t T Z W N 0 a W 9 u M S 8 y M E p 1 b D I y X 0 5 l d 0 9 2 Z X J m b G 9 3 X 1 J 1 b j E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M E p 1 b D I y X 0 5 l d 0 9 2 Z X J m b G 9 3 X 1 J 1 b j E v Q X V 0 b 1 J l b W 9 2 Z W R D b 2 x 1 b W 5 z M S 5 7 Q 2 9 s d W 1 u M S w w f S Z x d W 9 0 O y w m c X V v d D t T Z W N 0 a W 9 u M S 8 y M E p 1 b D I y X 0 5 l d 0 9 2 Z X J m b G 9 3 X 1 J 1 b j E v Q X V 0 b 1 J l b W 9 2 Z W R D b 2 x 1 b W 5 z M S 5 7 Q 2 9 s d W 1 u M i w x f S Z x d W 9 0 O y w m c X V v d D t T Z W N 0 a W 9 u M S 8 y M E p 1 b D I y X 0 5 l d 0 9 2 Z X J m b G 9 3 X 1 J 1 b j E v Q X V 0 b 1 J l b W 9 2 Z W R D b 2 x 1 b W 5 z M S 5 7 Q 2 9 s d W 1 u M y w y f S Z x d W 9 0 O y w m c X V v d D t T Z W N 0 a W 9 u M S 8 y M E p 1 b D I y X 0 5 l d 0 9 2 Z X J m b G 9 3 X 1 J 1 b j E v Q X V 0 b 1 J l b W 9 2 Z W R D b 2 x 1 b W 5 z M S 5 7 Q 2 9 s d W 1 u N C w z f S Z x d W 9 0 O y w m c X V v d D t T Z W N 0 a W 9 u M S 8 y M E p 1 b D I y X 0 5 l d 0 9 2 Z X J m b G 9 3 X 1 J 1 b j E v Q X V 0 b 1 J l b W 9 2 Z W R D b 2 x 1 b W 5 z M S 5 7 Q 2 9 s d W 1 u N S w 0 f S Z x d W 9 0 O y w m c X V v d D t T Z W N 0 a W 9 u M S 8 y M E p 1 b D I y X 0 5 l d 0 9 2 Z X J m b G 9 3 X 1 J 1 b j E v Q X V 0 b 1 J l b W 9 2 Z W R D b 2 x 1 b W 5 z M S 5 7 Q 2 9 s d W 1 u N i w 1 f S Z x d W 9 0 O y w m c X V v d D t T Z W N 0 a W 9 u M S 8 y M E p 1 b D I y X 0 5 l d 0 9 2 Z X J m b G 9 3 X 1 J 1 b j E v Q X V 0 b 1 J l b W 9 2 Z W R D b 2 x 1 b W 5 z M S 5 7 Q 2 9 s d W 1 u N y w 2 f S Z x d W 9 0 O y w m c X V v d D t T Z W N 0 a W 9 u M S 8 y M E p 1 b D I y X 0 5 l d 0 9 2 Z X J m b G 9 3 X 1 J 1 b j E v Q X V 0 b 1 J l b W 9 2 Z W R D b 2 x 1 b W 5 z M S 5 7 Q 2 9 s d W 1 u O C w 3 f S Z x d W 9 0 O y w m c X V v d D t T Z W N 0 a W 9 u M S 8 y M E p 1 b D I y X 0 5 l d 0 9 2 Z X J m b G 9 3 X 1 J 1 b j E v Q X V 0 b 1 J l b W 9 2 Z W R D b 2 x 1 b W 5 z M S 5 7 Q 2 9 s d W 1 u O S w 4 f S Z x d W 9 0 O y w m c X V v d D t T Z W N 0 a W 9 u M S 8 y M E p 1 b D I y X 0 5 l d 0 9 2 Z X J m b G 9 3 X 1 J 1 b j E v Q X V 0 b 1 J l b W 9 2 Z W R D b 2 x 1 b W 5 z M S 5 7 Q 2 9 s d W 1 u M T A s O X 0 m c X V v d D s s J n F 1 b 3 Q 7 U 2 V j d G l v b j E v M j B K d W w y M l 9 O Z X d P d m V y Z m x v d 1 9 S d W 4 x L 0 F 1 d G 9 S Z W 1 v d m V k Q 2 9 s d W 1 u c z E u e 0 N v b H V t b j E x L D E w f S Z x d W 9 0 O y w m c X V v d D t T Z W N 0 a W 9 u M S 8 y M E p 1 b D I y X 0 5 l d 0 9 2 Z X J m b G 9 3 X 1 J 1 b j E v Q X V 0 b 1 J l b W 9 2 Z W R D b 2 x 1 b W 5 z M S 5 7 Q 2 9 s d W 1 u M T I s M T F 9 J n F 1 b 3 Q 7 L C Z x d W 9 0 O 1 N l Y 3 R p b 2 4 x L z I w S n V s M j J f T m V 3 T 3 Z l c m Z s b 3 d f U n V u M S 9 B d X R v U m V t b 3 Z l Z E N v b H V t b n M x L n t D b 2 x 1 b W 4 x M y w x M n 0 m c X V v d D s s J n F 1 b 3 Q 7 U 2 V j d G l v b j E v M j B K d W w y M l 9 O Z X d P d m V y Z m x v d 1 9 S d W 4 x L 0 F 1 d G 9 S Z W 1 v d m V k Q 2 9 s d W 1 u c z E u e 0 N v b H V t b j E 0 L D E z f S Z x d W 9 0 O y w m c X V v d D t T Z W N 0 a W 9 u M S 8 y M E p 1 b D I y X 0 5 l d 0 9 2 Z X J m b G 9 3 X 1 J 1 b j E v Q X V 0 b 1 J l b W 9 2 Z W R D b 2 x 1 b W 5 z M S 5 7 Q 2 9 s d W 1 u M T U s M T R 9 J n F 1 b 3 Q 7 L C Z x d W 9 0 O 1 N l Y 3 R p b 2 4 x L z I w S n V s M j J f T m V 3 T 3 Z l c m Z s b 3 d f U n V u M S 9 B d X R v U m V t b 3 Z l Z E N v b H V t b n M x L n t D b 2 x 1 b W 4 x N i w x N X 0 m c X V v d D s s J n F 1 b 3 Q 7 U 2 V j d G l v b j E v M j B K d W w y M l 9 O Z X d P d m V y Z m x v d 1 9 S d W 4 x L 0 F 1 d G 9 S Z W 1 v d m V k Q 2 9 s d W 1 u c z E u e 0 N v b H V t b j E 3 L D E 2 f S Z x d W 9 0 O y w m c X V v d D t T Z W N 0 a W 9 u M S 8 y M E p 1 b D I y X 0 5 l d 0 9 2 Z X J m b G 9 3 X 1 J 1 b j E v Q X V 0 b 1 J l b W 9 2 Z W R D b 2 x 1 b W 5 z M S 5 7 Q 2 9 s d W 1 u M T g s M T d 9 J n F 1 b 3 Q 7 L C Z x d W 9 0 O 1 N l Y 3 R p b 2 4 x L z I w S n V s M j J f T m V 3 T 3 Z l c m Z s b 3 d f U n V u M S 9 B d X R v U m V t b 3 Z l Z E N v b H V t b n M x L n t D b 2 x 1 b W 4 x O S w x O H 0 m c X V v d D s s J n F 1 b 3 Q 7 U 2 V j d G l v b j E v M j B K d W w y M l 9 O Z X d P d m V y Z m x v d 1 9 S d W 4 x L 0 F 1 d G 9 S Z W 1 v d m V k Q 2 9 s d W 1 u c z E u e 0 N v b H V t b j I w L D E 5 f S Z x d W 9 0 O y w m c X V v d D t T Z W N 0 a W 9 u M S 8 y M E p 1 b D I y X 0 5 l d 0 9 2 Z X J m b G 9 3 X 1 J 1 b j E v Q X V 0 b 1 J l b W 9 2 Z W R D b 2 x 1 b W 5 z M S 5 7 Q 2 9 s d W 1 u M j E s M j B 9 J n F 1 b 3 Q 7 L C Z x d W 9 0 O 1 N l Y 3 R p b 2 4 x L z I w S n V s M j J f T m V 3 T 3 Z l c m Z s b 3 d f U n V u M S 9 B d X R v U m V t b 3 Z l Z E N v b H V t b n M x L n t D b 2 x 1 b W 4 y M i w y M X 0 m c X V v d D s s J n F 1 b 3 Q 7 U 2 V j d G l v b j E v M j B K d W w y M l 9 O Z X d P d m V y Z m x v d 1 9 S d W 4 x L 0 F 1 d G 9 S Z W 1 v d m V k Q 2 9 s d W 1 u c z E u e 0 N v b H V t b j I z L D I y f S Z x d W 9 0 O y w m c X V v d D t T Z W N 0 a W 9 u M S 8 y M E p 1 b D I y X 0 5 l d 0 9 2 Z X J m b G 9 3 X 1 J 1 b j E v Q X V 0 b 1 J l b W 9 2 Z W R D b 2 x 1 b W 5 z M S 5 7 Q 2 9 s d W 1 u M j Q s M j N 9 J n F 1 b 3 Q 7 L C Z x d W 9 0 O 1 N l Y 3 R p b 2 4 x L z I w S n V s M j J f T m V 3 T 3 Z l c m Z s b 3 d f U n V u M S 9 B d X R v U m V t b 3 Z l Z E N v b H V t b n M x L n t D b 2 x 1 b W 4 y N S w y N H 0 m c X V v d D s s J n F 1 b 3 Q 7 U 2 V j d G l v b j E v M j B K d W w y M l 9 O Z X d P d m V y Z m x v d 1 9 S d W 4 x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B K d W w y M l 9 O Z X d P d m V y Z m x v d 1 9 S d W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S n V s M j J f T m V 3 T 3 Z l c m Z s b 3 d f U n V u M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1 4 l R 6 z m a O Q z A N B g k q h k i G 9 w 0 B A Q E F A A S C A g C a n m J o / + b K S V L p I 9 T A b M W e j 1 g x V 3 S M i G u E S c I R Y x a O U E o m m 9 l x v l t 2 I q j V a G r o Z R J 8 o / a j L k f g G d X W W c A 7 2 n p l 3 O 3 8 W / u N o h v 6 I b u Z 1 F 4 G L L f I Z 3 I j 4 F T Y a D h 9 4 Z K 2 f 8 C P J j X / Y p y o O c V O 6 N Z C m 3 J o b m 5 0 M C v 7 N c S 7 7 T 9 a V b L o Z g e j t N u + k j K 4 K J i O 3 Y 7 Y O y O H 9 s u X + z 1 x o T r s c 3 t w 6 1 P c Z Q e 4 b 5 P A g U K D o + v e H j I O t 4 s a O c B 1 G D b l b g T d 9 B w H L 1 J / p e k F g 1 r U 6 w 7 2 3 V Y 2 8 v 1 M j v O 4 l z B 5 j F d O 8 a 0 1 y e i S d 0 f + / s 5 9 9 Q O w g B C 5 b K 7 W 9 N p a P n d n R k R Z Z g l P 7 I 1 A E a p S P S Q n y d t U I o + f Z w z q t B B M V P z B z v p Q l w C a w x e + D 9 X 8 / T 6 Z l 7 9 8 F v D y N C a C Y U a 7 d c Y q p g M b d 7 l f c u d n 8 s o + I S k e L l h Y 5 K a M q Q 4 x h 1 H g D D H w G u f i e 0 w v g y G d Y u g P T u q C i s j T U e f E z Q N o V A Q E F Z K t 7 5 o w 5 3 v a L h V b 5 f n T t + J p r p f 2 L 7 S l 5 X t V E 9 0 B K v K u C E a z z q X r M V c Q a J z h F a R I W P p Y E Z j k Q w + M M m b B P N N a 2 x D f Y Q b P m A l I v 5 L u q a k 5 / G s q g J u S 0 B T a E 7 7 M e A o G w K 3 b R E e M A 0 U 4 Z 2 c m 8 c 7 7 P 0 3 L K J H G 1 S 6 A e c 4 y s 0 7 n H L y t U K w + a P A c N I q X 3 s 3 l v W n s R o J o d w 8 Z d G u V H T B 8 B g k q h k i G 9 w 0 B B w E w H Q Y J Y I Z I A W U D B A E q B B C P G M G M 5 e y u J j 5 j n T b 5 k + v d g F B A N H 2 q n b p N T p M J r I i o t O n M g w F u h 7 f B F d 4 s y B J R k w x 2 o 3 v r S N x h q r G 1 + c m M i T W T 4 e p 1 X H y 4 e 0 5 e D E h 0 a H K F R s m B p 3 j R d o L U f + 1 A d p Q N O Q A 9 W g = = < / D a t a M a s h u p > 
</file>

<file path=customXml/itemProps1.xml><?xml version="1.0" encoding="utf-8"?>
<ds:datastoreItem xmlns:ds="http://schemas.openxmlformats.org/officeDocument/2006/customXml" ds:itemID="{14D15931-25E5-4E43-8F66-834B8D0F9E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Expt Plan Pub-Sub MQ</vt:lpstr>
      <vt:lpstr>Metric Reports Pub-Sub MQ</vt:lpstr>
      <vt:lpstr>Expt Plan Object Storage</vt:lpstr>
      <vt:lpstr>Metric Reports Object Storage</vt:lpstr>
      <vt:lpstr>'Metric Reports Object Storage'!master_metrics_c1_1024n_4w_10000bs_2</vt:lpstr>
      <vt:lpstr>'Metric Reports Pub-Sub MQ'!master_metrics_c1_1024n_4w_10000bs_SQS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Oakley, Joe</dc:creator>
  <cp:lastModifiedBy>OAKLEY, JOE (PGR)</cp:lastModifiedBy>
  <dcterms:created xsi:type="dcterms:W3CDTF">2022-05-13T09:56:20Z</dcterms:created>
  <dcterms:modified xsi:type="dcterms:W3CDTF">2024-02-25T19:20:59Z</dcterms:modified>
</cp:coreProperties>
</file>