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0" yWindow="0" windowWidth="28800" windowHeight="180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K30" i="1"/>
  <c r="M30" i="1" s="1"/>
  <c r="K32" i="1"/>
  <c r="M32" i="1" s="1"/>
  <c r="M18" i="1"/>
  <c r="M17" i="1"/>
  <c r="C16" i="1" l="1"/>
  <c r="C19" i="1"/>
  <c r="C15" i="1"/>
  <c r="H4" i="1"/>
  <c r="H3" i="1"/>
  <c r="H8" i="1" l="1"/>
  <c r="H9" i="1"/>
  <c r="C17" i="1"/>
  <c r="P8" i="1" l="1"/>
  <c r="P9" i="1"/>
  <c r="P11" i="1"/>
  <c r="K31" i="1" l="1"/>
  <c r="P16" i="1"/>
  <c r="P15" i="1" l="1"/>
  <c r="S15" i="1" s="1"/>
  <c r="M31" i="1"/>
  <c r="Q15" i="1"/>
  <c r="S16" i="1"/>
  <c r="Q16" i="1" l="1"/>
  <c r="D23" i="1" l="1"/>
  <c r="C23" i="1"/>
  <c r="C27" i="1"/>
  <c r="P19" i="1"/>
  <c r="P18" i="1"/>
  <c r="Q18" i="1" l="1"/>
  <c r="R18" i="1"/>
  <c r="R19" i="1"/>
  <c r="Q19" i="1"/>
  <c r="B7" i="1"/>
  <c r="C7" i="1" s="1"/>
  <c r="G18" i="1"/>
  <c r="G23" i="1" s="1"/>
  <c r="B8" i="1" l="1"/>
  <c r="G19" i="1"/>
  <c r="B3" i="1"/>
  <c r="C3" i="1" s="1"/>
  <c r="B4" i="1"/>
  <c r="K20" i="1" s="1"/>
  <c r="C9" i="1"/>
  <c r="C8" i="1" l="1"/>
  <c r="B5" i="1"/>
  <c r="K21" i="1" s="1"/>
  <c r="C4" i="1"/>
  <c r="L20" i="1"/>
  <c r="B6" i="1"/>
  <c r="C6" i="1" s="1"/>
  <c r="G14" i="1"/>
  <c r="H23" i="1"/>
  <c r="G13" i="1" l="1"/>
  <c r="H14" i="1"/>
  <c r="L21" i="1"/>
  <c r="C5" i="1"/>
  <c r="G24" i="1"/>
  <c r="G25" i="1" l="1"/>
  <c r="H25" i="1" s="1"/>
  <c r="B18" i="1"/>
  <c r="H24" i="1"/>
  <c r="H13" i="1"/>
  <c r="G31" i="1"/>
  <c r="K3" i="1" s="1"/>
  <c r="G32" i="1"/>
  <c r="K6" i="1" l="1"/>
  <c r="H32" i="1"/>
  <c r="K10" i="1"/>
  <c r="H31" i="1"/>
  <c r="C18" i="1"/>
  <c r="K4" i="1"/>
  <c r="L4" i="1" s="1"/>
  <c r="K13" i="1"/>
  <c r="M13" i="1" s="1"/>
  <c r="L6" i="1"/>
  <c r="K5" i="1"/>
  <c r="L5" i="1" s="1"/>
  <c r="K25" i="1" l="1"/>
  <c r="H27" i="1" s="1"/>
  <c r="M10" i="1"/>
  <c r="L3" i="1"/>
  <c r="L25" i="1"/>
  <c r="K12" i="1"/>
  <c r="K11" i="1"/>
  <c r="M11" i="1" s="1"/>
  <c r="M25" i="1" l="1"/>
  <c r="K26" i="1"/>
  <c r="M26" i="1" s="1"/>
  <c r="M12" i="1"/>
  <c r="L26" i="1" l="1"/>
</calcChain>
</file>

<file path=xl/comments1.xml><?xml version="1.0" encoding="utf-8"?>
<comments xmlns="http://schemas.openxmlformats.org/spreadsheetml/2006/main">
  <authors>
    <author>Marc</author>
  </authors>
  <commentList>
    <comment ref="T1" authorId="0" shapeId="0">
      <text>
        <r>
          <rPr>
            <b/>
            <sz val="9"/>
            <color rgb="FF000000"/>
            <rFont val="Tahoma"/>
            <family val="2"/>
          </rPr>
          <t>Marc: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assumes no vehicle roll, hence an even (uniform) lateral distribution of aero loading.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Installation rate is not constant and varies slightly with suspension displacement but this uses an average.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This is the contribution of the anti-roll bar to the total car roll rate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Ycog = 0 by symmetry. (Under assumption that the car is symmetrical so this may cause small error.)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Tyre vertical rate is effectiely the spring constant if the tyre is treated as a spring.</t>
        </r>
      </text>
    </comment>
  </commentList>
</comments>
</file>

<file path=xl/sharedStrings.xml><?xml version="1.0" encoding="utf-8"?>
<sst xmlns="http://schemas.openxmlformats.org/spreadsheetml/2006/main" count="132" uniqueCount="104">
  <si>
    <t>Car Masses</t>
  </si>
  <si>
    <t>kg</t>
  </si>
  <si>
    <t>Roll Centre Heights</t>
  </si>
  <si>
    <t>m</t>
  </si>
  <si>
    <t>ft</t>
  </si>
  <si>
    <t>Mass RR</t>
  </si>
  <si>
    <t>Mass RL</t>
  </si>
  <si>
    <t>Mass FL</t>
  </si>
  <si>
    <t>Mass FR</t>
  </si>
  <si>
    <t>Dimensions</t>
  </si>
  <si>
    <t>Cornering Parameters</t>
  </si>
  <si>
    <t>Degrees</t>
  </si>
  <si>
    <t>mph</t>
  </si>
  <si>
    <t>m/s</t>
  </si>
  <si>
    <t>Torque Drive</t>
  </si>
  <si>
    <t>Longitudial acceleration</t>
  </si>
  <si>
    <t>Nm</t>
  </si>
  <si>
    <t>lb.ft</t>
  </si>
  <si>
    <t>m/s^2</t>
  </si>
  <si>
    <t>ft/s^2</t>
  </si>
  <si>
    <t>Nm/Deg</t>
  </si>
  <si>
    <t>Assumed Roll Rates</t>
  </si>
  <si>
    <t>Position of COG</t>
  </si>
  <si>
    <t>Lateral Acceleration</t>
  </si>
  <si>
    <t>G's</t>
  </si>
  <si>
    <r>
      <t xml:space="preserve">In car axis system, </t>
    </r>
    <r>
      <rPr>
        <b/>
        <sz val="11"/>
        <color theme="1"/>
        <rFont val="Calibri"/>
        <family val="2"/>
        <scheme val="minor"/>
      </rPr>
      <t>Ay</t>
    </r>
  </si>
  <si>
    <r>
      <t xml:space="preserve">Horizontal, </t>
    </r>
    <r>
      <rPr>
        <b/>
        <sz val="11"/>
        <color theme="1"/>
        <rFont val="Calibri"/>
        <family val="2"/>
        <scheme val="minor"/>
      </rPr>
      <t>Aα</t>
    </r>
  </si>
  <si>
    <r>
      <t>Radius,</t>
    </r>
    <r>
      <rPr>
        <b/>
        <sz val="11"/>
        <color theme="1"/>
        <rFont val="Calibri"/>
        <family val="2"/>
        <scheme val="minor"/>
      </rPr>
      <t xml:space="preserve"> R</t>
    </r>
  </si>
  <si>
    <r>
      <t xml:space="preserve">Camber, </t>
    </r>
    <r>
      <rPr>
        <b/>
        <sz val="11"/>
        <color theme="1"/>
        <rFont val="Calibri"/>
        <family val="2"/>
        <scheme val="minor"/>
      </rPr>
      <t>α</t>
    </r>
  </si>
  <si>
    <r>
      <t xml:space="preserve">Speed, </t>
    </r>
    <r>
      <rPr>
        <b/>
        <sz val="11"/>
        <color theme="1"/>
        <rFont val="Calibri"/>
        <family val="2"/>
        <scheme val="minor"/>
      </rPr>
      <t>V</t>
    </r>
  </si>
  <si>
    <t>cos(α)</t>
  </si>
  <si>
    <t>sin(α)</t>
  </si>
  <si>
    <t>lb</t>
  </si>
  <si>
    <r>
      <t xml:space="preserve">Effective total weight, </t>
    </r>
    <r>
      <rPr>
        <b/>
        <sz val="11"/>
        <color theme="1"/>
        <rFont val="Calibri"/>
        <family val="2"/>
        <scheme val="minor"/>
      </rPr>
      <t>W'</t>
    </r>
  </si>
  <si>
    <r>
      <t xml:space="preserve">Effective front weight, </t>
    </r>
    <r>
      <rPr>
        <b/>
        <sz val="11"/>
        <color theme="1"/>
        <rFont val="Calibri"/>
        <family val="2"/>
        <scheme val="minor"/>
      </rPr>
      <t>W'F</t>
    </r>
  </si>
  <si>
    <r>
      <t xml:space="preserve">Effective rear weight, </t>
    </r>
    <r>
      <rPr>
        <b/>
        <sz val="11"/>
        <color theme="1"/>
        <rFont val="Calibri"/>
        <family val="2"/>
        <scheme val="minor"/>
      </rPr>
      <t>W'R</t>
    </r>
  </si>
  <si>
    <r>
      <t xml:space="preserve">Front Track, </t>
    </r>
    <r>
      <rPr>
        <b/>
        <sz val="11"/>
        <color theme="1"/>
        <rFont val="Calibri"/>
        <family val="2"/>
        <scheme val="minor"/>
      </rPr>
      <t>tF</t>
    </r>
  </si>
  <si>
    <r>
      <t xml:space="preserve">Rear Track, </t>
    </r>
    <r>
      <rPr>
        <b/>
        <sz val="11"/>
        <color theme="1"/>
        <rFont val="Calibri"/>
        <family val="2"/>
        <scheme val="minor"/>
      </rPr>
      <t>tR</t>
    </r>
  </si>
  <si>
    <r>
      <t xml:space="preserve">CoG height, </t>
    </r>
    <r>
      <rPr>
        <b/>
        <sz val="11"/>
        <color theme="1"/>
        <rFont val="Calibri"/>
        <family val="2"/>
        <scheme val="minor"/>
      </rPr>
      <t>h</t>
    </r>
  </si>
  <si>
    <r>
      <t xml:space="preserve">Roll Axis to CoG, </t>
    </r>
    <r>
      <rPr>
        <b/>
        <sz val="11"/>
        <color theme="1"/>
        <rFont val="Calibri"/>
        <family val="2"/>
        <scheme val="minor"/>
      </rPr>
      <t>H</t>
    </r>
  </si>
  <si>
    <r>
      <t xml:space="preserve">Wheelbase Length, </t>
    </r>
    <r>
      <rPr>
        <b/>
        <sz val="11"/>
        <color theme="1"/>
        <rFont val="Calibri"/>
        <family val="2"/>
        <scheme val="minor"/>
      </rPr>
      <t>l</t>
    </r>
  </si>
  <si>
    <t>Deg/G</t>
  </si>
  <si>
    <t>Rad/G</t>
  </si>
  <si>
    <t>Roll Gradient</t>
  </si>
  <si>
    <t>Lateral Load Transfer</t>
  </si>
  <si>
    <r>
      <t xml:space="preserve">Front, </t>
    </r>
    <r>
      <rPr>
        <b/>
        <sz val="11"/>
        <color theme="1"/>
        <rFont val="Calibri"/>
        <family val="2"/>
        <scheme val="minor"/>
      </rPr>
      <t>ΔMF</t>
    </r>
  </si>
  <si>
    <r>
      <t xml:space="preserve">Mass Front, </t>
    </r>
    <r>
      <rPr>
        <b/>
        <sz val="11"/>
        <color theme="1"/>
        <rFont val="Calibri"/>
        <family val="2"/>
        <scheme val="minor"/>
      </rPr>
      <t>MF</t>
    </r>
  </si>
  <si>
    <r>
      <t xml:space="preserve">Mass Total, </t>
    </r>
    <r>
      <rPr>
        <b/>
        <sz val="11"/>
        <color theme="1"/>
        <rFont val="Calibri"/>
        <family val="2"/>
        <scheme val="minor"/>
      </rPr>
      <t>MT</t>
    </r>
  </si>
  <si>
    <r>
      <t xml:space="preserve">Rear, </t>
    </r>
    <r>
      <rPr>
        <b/>
        <sz val="11"/>
        <color theme="1"/>
        <rFont val="Calibri"/>
        <family val="2"/>
        <scheme val="minor"/>
      </rPr>
      <t>ΔMR</t>
    </r>
  </si>
  <si>
    <t>Front Outside</t>
  </si>
  <si>
    <t>Rear Outside</t>
  </si>
  <si>
    <t>Front Inside</t>
  </si>
  <si>
    <t>Rear Inside</t>
  </si>
  <si>
    <t>N/m</t>
  </si>
  <si>
    <t>lb/in</t>
  </si>
  <si>
    <t>Hz</t>
  </si>
  <si>
    <t>rad/s</t>
  </si>
  <si>
    <t>Wheel Ride Displacements</t>
  </si>
  <si>
    <t>cm</t>
  </si>
  <si>
    <t>Force / N</t>
  </si>
  <si>
    <t>Weight /N</t>
  </si>
  <si>
    <r>
      <rPr>
        <sz val="11"/>
        <color theme="1"/>
        <rFont val="Calibri"/>
        <family val="2"/>
        <scheme val="minor"/>
      </rPr>
      <t xml:space="preserve">RF ride rate, </t>
    </r>
    <r>
      <rPr>
        <b/>
        <sz val="11"/>
        <color theme="1"/>
        <rFont val="Calibri"/>
        <family val="2"/>
        <scheme val="minor"/>
      </rPr>
      <t>Krf</t>
    </r>
  </si>
  <si>
    <r>
      <rPr>
        <sz val="11"/>
        <color theme="1"/>
        <rFont val="Calibri"/>
        <family val="2"/>
        <scheme val="minor"/>
      </rPr>
      <t xml:space="preserve">RR ride rate, </t>
    </r>
    <r>
      <rPr>
        <b/>
        <sz val="11"/>
        <color theme="1"/>
        <rFont val="Calibri"/>
        <family val="2"/>
        <scheme val="minor"/>
      </rPr>
      <t>Krr</t>
    </r>
  </si>
  <si>
    <r>
      <rPr>
        <sz val="11"/>
        <color rgb="FF222222"/>
        <rFont val="Arial"/>
        <family val="2"/>
      </rPr>
      <t xml:space="preserve">Rear ride frequency, </t>
    </r>
    <r>
      <rPr>
        <b/>
        <sz val="11"/>
        <color rgb="FF222222"/>
        <rFont val="Arial"/>
        <family val="2"/>
      </rPr>
      <t>ωR</t>
    </r>
  </si>
  <si>
    <r>
      <rPr>
        <sz val="11"/>
        <color rgb="FF222222"/>
        <rFont val="Arial"/>
        <family val="2"/>
      </rPr>
      <t xml:space="preserve">Front ride frequency, </t>
    </r>
    <r>
      <rPr>
        <b/>
        <sz val="11"/>
        <color rgb="FF222222"/>
        <rFont val="Arial"/>
        <family val="2"/>
      </rPr>
      <t>ωF</t>
    </r>
  </si>
  <si>
    <r>
      <rPr>
        <sz val="11"/>
        <color rgb="FF222222"/>
        <rFont val="Arial"/>
        <family val="2"/>
      </rPr>
      <t xml:space="preserve">Rear displacement, </t>
    </r>
    <r>
      <rPr>
        <b/>
        <sz val="11"/>
        <color rgb="FF222222"/>
        <rFont val="Arial"/>
        <family val="2"/>
      </rPr>
      <t>δR</t>
    </r>
  </si>
  <si>
    <r>
      <rPr>
        <sz val="11"/>
        <color rgb="FF222222"/>
        <rFont val="Arial"/>
        <family val="2"/>
      </rPr>
      <t xml:space="preserve">Front displacement, </t>
    </r>
    <r>
      <rPr>
        <b/>
        <sz val="11"/>
        <color rgb="FF222222"/>
        <rFont val="Arial"/>
        <family val="2"/>
      </rPr>
      <t>δF</t>
    </r>
  </si>
  <si>
    <r>
      <t>Front RC height,</t>
    </r>
    <r>
      <rPr>
        <b/>
        <sz val="11"/>
        <color theme="1"/>
        <rFont val="Calibri"/>
        <family val="2"/>
        <scheme val="minor"/>
      </rPr>
      <t xml:space="preserve"> z RF</t>
    </r>
  </si>
  <si>
    <r>
      <t xml:space="preserve">Rear RC height, </t>
    </r>
    <r>
      <rPr>
        <b/>
        <sz val="11"/>
        <color theme="1"/>
        <rFont val="Calibri"/>
        <family val="2"/>
        <scheme val="minor"/>
      </rPr>
      <t>z RR</t>
    </r>
  </si>
  <si>
    <r>
      <t>Front roll rate,</t>
    </r>
    <r>
      <rPr>
        <b/>
        <sz val="11"/>
        <color theme="1"/>
        <rFont val="Calibri"/>
        <family val="2"/>
        <scheme val="minor"/>
      </rPr>
      <t xml:space="preserve"> K ΦF</t>
    </r>
  </si>
  <si>
    <r>
      <t xml:space="preserve">Rear roll rate, </t>
    </r>
    <r>
      <rPr>
        <b/>
        <sz val="11"/>
        <color theme="1"/>
        <rFont val="Calibri"/>
        <family val="2"/>
        <scheme val="minor"/>
      </rPr>
      <t>K ΦR</t>
    </r>
  </si>
  <si>
    <r>
      <t>Distance front front,</t>
    </r>
    <r>
      <rPr>
        <b/>
        <sz val="11"/>
        <color theme="1"/>
        <rFont val="Calibri"/>
        <family val="2"/>
        <scheme val="minor"/>
      </rPr>
      <t xml:space="preserve"> a</t>
    </r>
  </si>
  <si>
    <r>
      <t xml:space="preserve">Distance from rear, </t>
    </r>
    <r>
      <rPr>
        <b/>
        <sz val="11"/>
        <color theme="1"/>
        <rFont val="Calibri"/>
        <family val="2"/>
        <scheme val="minor"/>
      </rPr>
      <t>b</t>
    </r>
  </si>
  <si>
    <t>Wheel centre rates</t>
  </si>
  <si>
    <r>
      <t xml:space="preserve">Tyre vertical rate, </t>
    </r>
    <r>
      <rPr>
        <b/>
        <sz val="11"/>
        <color theme="1"/>
        <rFont val="Calibri"/>
        <family val="2"/>
        <scheme val="minor"/>
      </rPr>
      <t>Kt</t>
    </r>
  </si>
  <si>
    <r>
      <t xml:space="preserve">Front wheel centre rate, </t>
    </r>
    <r>
      <rPr>
        <b/>
        <sz val="11"/>
        <color theme="1"/>
        <rFont val="Calibri"/>
        <family val="2"/>
        <scheme val="minor"/>
      </rPr>
      <t>Kwf</t>
    </r>
  </si>
  <si>
    <r>
      <t xml:space="preserve">Rear whee centre rate, </t>
    </r>
    <r>
      <rPr>
        <b/>
        <sz val="11"/>
        <color theme="1"/>
        <rFont val="Calibri"/>
        <family val="2"/>
        <scheme val="minor"/>
      </rPr>
      <t>Kwr</t>
    </r>
  </si>
  <si>
    <t>Ride rates and ride frequencies</t>
  </si>
  <si>
    <t>Additional Car Data</t>
  </si>
  <si>
    <t>Dimensionless</t>
  </si>
  <si>
    <t>lb.ft/deg</t>
  </si>
  <si>
    <t>Nm/deg</t>
  </si>
  <si>
    <r>
      <t xml:space="preserve">Anti-roll bar roll rate front, </t>
    </r>
    <r>
      <rPr>
        <b/>
        <sz val="11"/>
        <color theme="1"/>
        <rFont val="Calibri"/>
        <family val="2"/>
        <scheme val="minor"/>
      </rPr>
      <t>KϕBF</t>
    </r>
  </si>
  <si>
    <r>
      <rPr>
        <sz val="11"/>
        <color theme="1"/>
        <rFont val="Calibri"/>
        <family val="2"/>
        <scheme val="minor"/>
      </rPr>
      <t>Anti-roll bar roll rate rear,</t>
    </r>
    <r>
      <rPr>
        <b/>
        <sz val="11"/>
        <color theme="1"/>
        <rFont val="Calibri"/>
        <family val="2"/>
        <scheme val="minor"/>
      </rPr>
      <t xml:space="preserve"> KϕBR</t>
    </r>
  </si>
  <si>
    <r>
      <t>Anti-roll bar angular (twist) rate front,</t>
    </r>
    <r>
      <rPr>
        <b/>
        <sz val="11"/>
        <color theme="1"/>
        <rFont val="Calibri"/>
        <family val="2"/>
        <scheme val="minor"/>
      </rPr>
      <t xml:space="preserve"> KθBf</t>
    </r>
  </si>
  <si>
    <r>
      <t>Anti-roll bar angular (twist) rate rear,</t>
    </r>
    <r>
      <rPr>
        <b/>
        <sz val="11"/>
        <color theme="1"/>
        <rFont val="Calibri"/>
        <family val="2"/>
        <scheme val="minor"/>
      </rPr>
      <t xml:space="preserve"> KθBr</t>
    </r>
  </si>
  <si>
    <r>
      <t>Installation ratio of front anti-roll bar,</t>
    </r>
    <r>
      <rPr>
        <b/>
        <sz val="11"/>
        <color theme="1"/>
        <rFont val="Calibri"/>
        <family val="2"/>
        <scheme val="minor"/>
      </rPr>
      <t xml:space="preserve"> IRbf</t>
    </r>
  </si>
  <si>
    <r>
      <t>Installation ratio of rear anti-roll bar,</t>
    </r>
    <r>
      <rPr>
        <b/>
        <sz val="11"/>
        <color theme="1"/>
        <rFont val="Calibri"/>
        <family val="2"/>
        <scheme val="minor"/>
      </rPr>
      <t xml:space="preserve"> IRbr</t>
    </r>
  </si>
  <si>
    <t>Spring rates and Anti-roll bar twist rates</t>
  </si>
  <si>
    <r>
      <t xml:space="preserve">Front Spring rate, </t>
    </r>
    <r>
      <rPr>
        <b/>
        <sz val="11"/>
        <color theme="1"/>
        <rFont val="Calibri"/>
        <family val="2"/>
        <scheme val="minor"/>
      </rPr>
      <t>Ksf</t>
    </r>
  </si>
  <si>
    <r>
      <t xml:space="preserve">Rear Spring rate, </t>
    </r>
    <r>
      <rPr>
        <b/>
        <sz val="11"/>
        <color theme="1"/>
        <rFont val="Calibri"/>
        <family val="2"/>
        <scheme val="minor"/>
      </rPr>
      <t>Ksr</t>
    </r>
  </si>
  <si>
    <r>
      <t xml:space="preserve">Anti-roll bar lever arm, </t>
    </r>
    <r>
      <rPr>
        <b/>
        <sz val="11"/>
        <color theme="1"/>
        <rFont val="Calibri"/>
        <family val="2"/>
        <scheme val="minor"/>
      </rPr>
      <t>L</t>
    </r>
  </si>
  <si>
    <t>Nm/rad</t>
  </si>
  <si>
    <t>Percentage</t>
  </si>
  <si>
    <r>
      <t xml:space="preserve">Mass Rear, </t>
    </r>
    <r>
      <rPr>
        <b/>
        <sz val="11"/>
        <color theme="1"/>
        <rFont val="Calibri"/>
        <family val="2"/>
        <scheme val="minor"/>
      </rPr>
      <t>MR</t>
    </r>
  </si>
  <si>
    <t>Change in Tyre Loads from static (mechanical)</t>
  </si>
  <si>
    <t>Tyre Loads (mechanical)</t>
  </si>
  <si>
    <t>N</t>
  </si>
  <si>
    <t>Effective Weights (mechanical) and Roll Gradient</t>
  </si>
  <si>
    <t>mm</t>
  </si>
  <si>
    <t>Weight distribution (% rear)</t>
  </si>
  <si>
    <t>N/mm</t>
  </si>
  <si>
    <r>
      <t xml:space="preserve">Motion ratio of rear spring, </t>
    </r>
    <r>
      <rPr>
        <b/>
        <sz val="11"/>
        <color theme="1"/>
        <rFont val="Calibri"/>
        <family val="2"/>
        <scheme val="minor"/>
      </rPr>
      <t>IRsr</t>
    </r>
  </si>
  <si>
    <r>
      <t xml:space="preserve">Motion ratio of front spring, </t>
    </r>
    <r>
      <rPr>
        <b/>
        <sz val="11"/>
        <color theme="1"/>
        <rFont val="Calibri"/>
        <family val="2"/>
        <scheme val="minor"/>
      </rPr>
      <t>IRsf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</si>
</sst>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6" xfId="0" applyFill="1" applyBorder="1"/>
    <xf numFmtId="0" fontId="1" fillId="0" borderId="6" xfId="0" applyFont="1" applyFill="1" applyBorder="1"/>
    <xf numFmtId="0" fontId="0" fillId="2" borderId="5" xfId="0" applyFont="1" applyFill="1" applyBorder="1"/>
    <xf numFmtId="0" fontId="0" fillId="0" borderId="5" xfId="0" applyFont="1" applyFill="1" applyBorder="1"/>
    <xf numFmtId="0" fontId="1" fillId="2" borderId="5" xfId="0" applyFont="1" applyFill="1" applyBorder="1"/>
    <xf numFmtId="0" fontId="0" fillId="0" borderId="7" xfId="0" applyFill="1" applyBorder="1"/>
    <xf numFmtId="0" fontId="4" fillId="0" borderId="5" xfId="0" applyFont="1" applyBorder="1"/>
    <xf numFmtId="0" fontId="4" fillId="0" borderId="7" xfId="0" applyFont="1" applyBorder="1"/>
    <xf numFmtId="0" fontId="1" fillId="0" borderId="5" xfId="0" applyFont="1" applyFill="1" applyBorder="1"/>
    <xf numFmtId="0" fontId="0" fillId="2" borderId="12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1" fillId="2" borderId="6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J4" sqref="J4"/>
    </sheetView>
  </sheetViews>
  <sheetFormatPr baseColWidth="10" defaultColWidth="8.83203125" defaultRowHeight="15" x14ac:dyDescent="0.2"/>
  <cols>
    <col min="1" max="1" width="26.6640625" bestFit="1" customWidth="1"/>
    <col min="2" max="2" width="15" customWidth="1"/>
    <col min="3" max="3" width="14.83203125" bestFit="1" customWidth="1"/>
    <col min="4" max="4" width="12.6640625" bestFit="1" customWidth="1"/>
    <col min="6" max="6" width="26.6640625" bestFit="1" customWidth="1"/>
    <col min="7" max="8" width="15.83203125" bestFit="1" customWidth="1"/>
    <col min="10" max="10" width="28.6640625" bestFit="1" customWidth="1"/>
    <col min="11" max="12" width="15.83203125" bestFit="1" customWidth="1"/>
    <col min="13" max="13" width="12.6640625" bestFit="1" customWidth="1"/>
    <col min="15" max="15" width="41.6640625" bestFit="1" customWidth="1"/>
    <col min="16" max="16" width="18.1640625" bestFit="1" customWidth="1"/>
    <col min="17" max="18" width="14.83203125" bestFit="1" customWidth="1"/>
    <col min="20" max="20" width="25.5" customWidth="1"/>
    <col min="21" max="21" width="25.33203125" customWidth="1"/>
    <col min="22" max="22" width="23.5" customWidth="1"/>
    <col min="23" max="23" width="12" bestFit="1" customWidth="1"/>
  </cols>
  <sheetData>
    <row r="1" spans="1:23" x14ac:dyDescent="0.2">
      <c r="A1" s="42" t="s">
        <v>0</v>
      </c>
      <c r="B1" s="43"/>
      <c r="C1" s="44"/>
      <c r="D1" s="26"/>
      <c r="F1" s="38" t="s">
        <v>2</v>
      </c>
      <c r="G1" s="39"/>
      <c r="H1" s="40"/>
      <c r="J1" s="51" t="s">
        <v>96</v>
      </c>
      <c r="K1" s="54"/>
      <c r="L1" s="55"/>
      <c r="M1" s="26"/>
      <c r="O1" s="42" t="s">
        <v>78</v>
      </c>
      <c r="P1" s="45"/>
      <c r="Q1" s="46"/>
      <c r="T1" s="41"/>
      <c r="U1" s="41"/>
      <c r="V1" s="41"/>
      <c r="W1" s="24"/>
    </row>
    <row r="2" spans="1:23" x14ac:dyDescent="0.2">
      <c r="A2" s="11"/>
      <c r="B2" s="3" t="s">
        <v>1</v>
      </c>
      <c r="C2" s="5" t="s">
        <v>60</v>
      </c>
      <c r="D2" s="29"/>
      <c r="F2" s="11"/>
      <c r="G2" s="3" t="s">
        <v>3</v>
      </c>
      <c r="H2" s="5" t="s">
        <v>99</v>
      </c>
      <c r="J2" s="11"/>
      <c r="K2" s="31" t="s">
        <v>1</v>
      </c>
      <c r="L2" s="32" t="s">
        <v>59</v>
      </c>
      <c r="M2" s="24"/>
      <c r="O2" s="11"/>
      <c r="P2" s="3" t="s">
        <v>79</v>
      </c>
      <c r="Q2" s="12"/>
      <c r="T2" s="29"/>
      <c r="U2" s="30"/>
      <c r="V2" s="30"/>
      <c r="W2" s="25"/>
    </row>
    <row r="3" spans="1:23" x14ac:dyDescent="0.2">
      <c r="A3" s="4" t="s">
        <v>7</v>
      </c>
      <c r="B3" s="2">
        <f>B7/2</f>
        <v>67.5</v>
      </c>
      <c r="C3" s="6">
        <f t="shared" ref="C3:C9" si="0">B3*9.80665</f>
        <v>661.94887499999993</v>
      </c>
      <c r="D3" s="29"/>
      <c r="F3" s="4" t="s">
        <v>67</v>
      </c>
      <c r="G3" s="37">
        <v>2.92E-2</v>
      </c>
      <c r="H3" s="6">
        <f>G3*1000</f>
        <v>29.2</v>
      </c>
      <c r="J3" s="4" t="s">
        <v>49</v>
      </c>
      <c r="K3" s="33">
        <f>(G24/2)-G31</f>
        <v>103.40977939573565</v>
      </c>
      <c r="L3" s="34">
        <f>K3*9.80665</f>
        <v>1014.103513111191</v>
      </c>
      <c r="M3" s="24"/>
      <c r="O3" s="4" t="s">
        <v>103</v>
      </c>
      <c r="P3" s="2">
        <v>0.69</v>
      </c>
      <c r="Q3" s="12"/>
      <c r="T3" s="29"/>
      <c r="U3" s="29"/>
      <c r="V3" s="29"/>
      <c r="W3" s="24"/>
    </row>
    <row r="4" spans="1:23" ht="16" thickBot="1" x14ac:dyDescent="0.25">
      <c r="A4" s="4" t="s">
        <v>8</v>
      </c>
      <c r="B4" s="2">
        <f>B7/2</f>
        <v>67.5</v>
      </c>
      <c r="C4" s="6">
        <f t="shared" si="0"/>
        <v>661.94887499999993</v>
      </c>
      <c r="D4" s="29"/>
      <c r="F4" s="7" t="s">
        <v>68</v>
      </c>
      <c r="G4" s="8">
        <v>3.7100000000000001E-2</v>
      </c>
      <c r="H4" s="9">
        <f>G4*1000</f>
        <v>37.1</v>
      </c>
      <c r="J4" s="4" t="s">
        <v>51</v>
      </c>
      <c r="K4" s="33">
        <f>(G24/2)+G31</f>
        <v>31.590220604264346</v>
      </c>
      <c r="L4" s="34">
        <f>K4*9.80665</f>
        <v>309.79423688880894</v>
      </c>
      <c r="M4" s="24"/>
      <c r="O4" s="4" t="s">
        <v>102</v>
      </c>
      <c r="P4" s="2">
        <v>0.7</v>
      </c>
      <c r="Q4" s="12"/>
      <c r="T4" s="29"/>
      <c r="U4" s="29"/>
      <c r="V4" s="29"/>
      <c r="W4" s="24"/>
    </row>
    <row r="5" spans="1:23" ht="16" thickBot="1" x14ac:dyDescent="0.25">
      <c r="A5" s="4" t="s">
        <v>6</v>
      </c>
      <c r="B5" s="2">
        <f>B8/2</f>
        <v>82.5</v>
      </c>
      <c r="C5" s="6">
        <f t="shared" si="0"/>
        <v>809.0486249999999</v>
      </c>
      <c r="D5" s="29"/>
      <c r="J5" s="4" t="s">
        <v>50</v>
      </c>
      <c r="K5" s="33">
        <f>(G25/2)-G32</f>
        <v>139.72319014549149</v>
      </c>
      <c r="L5" s="34">
        <f>K5*9.80665</f>
        <v>1370.216422640284</v>
      </c>
      <c r="M5" s="24"/>
      <c r="O5" s="4" t="s">
        <v>86</v>
      </c>
      <c r="P5" s="2">
        <v>0.3</v>
      </c>
      <c r="Q5" s="12"/>
      <c r="T5" s="29"/>
      <c r="U5" s="29"/>
      <c r="V5" s="29"/>
      <c r="W5" s="24"/>
    </row>
    <row r="6" spans="1:23" ht="16" thickBot="1" x14ac:dyDescent="0.25">
      <c r="A6" s="4" t="s">
        <v>5</v>
      </c>
      <c r="B6" s="2">
        <f>B8/2</f>
        <v>82.5</v>
      </c>
      <c r="C6" s="6">
        <f t="shared" si="0"/>
        <v>809.0486249999999</v>
      </c>
      <c r="D6" s="29"/>
      <c r="F6" s="38" t="s">
        <v>21</v>
      </c>
      <c r="G6" s="39"/>
      <c r="H6" s="40"/>
      <c r="J6" s="7" t="s">
        <v>52</v>
      </c>
      <c r="K6" s="35">
        <f>(G25/2)+G32</f>
        <v>25.276809854508507</v>
      </c>
      <c r="L6" s="36">
        <f>K6*9.80665</f>
        <v>247.88082735971582</v>
      </c>
      <c r="M6" s="24"/>
      <c r="O6" s="4" t="s">
        <v>87</v>
      </c>
      <c r="P6" s="2">
        <v>0.3</v>
      </c>
      <c r="Q6" s="12"/>
      <c r="T6" s="29"/>
      <c r="U6" s="29"/>
      <c r="V6" s="29"/>
      <c r="W6" s="24"/>
    </row>
    <row r="7" spans="1:23" ht="16" thickBot="1" x14ac:dyDescent="0.25">
      <c r="A7" s="4" t="s">
        <v>46</v>
      </c>
      <c r="B7" s="2">
        <f>B9*(100-B11)/100</f>
        <v>135</v>
      </c>
      <c r="C7" s="6">
        <f t="shared" si="0"/>
        <v>1323.8977499999999</v>
      </c>
      <c r="D7" s="29"/>
      <c r="F7" s="11"/>
      <c r="G7" s="3" t="s">
        <v>20</v>
      </c>
      <c r="H7" s="5" t="s">
        <v>92</v>
      </c>
      <c r="O7" s="11"/>
      <c r="P7" s="3" t="s">
        <v>81</v>
      </c>
      <c r="Q7" s="5" t="s">
        <v>80</v>
      </c>
      <c r="T7" s="29"/>
      <c r="U7" s="29"/>
      <c r="V7" s="29"/>
    </row>
    <row r="8" spans="1:23" x14ac:dyDescent="0.2">
      <c r="A8" s="4" t="s">
        <v>94</v>
      </c>
      <c r="B8" s="2">
        <f>B9*B11/100</f>
        <v>165</v>
      </c>
      <c r="C8" s="6">
        <f t="shared" si="0"/>
        <v>1618.0972499999998</v>
      </c>
      <c r="D8" s="29"/>
      <c r="F8" s="4" t="s">
        <v>69</v>
      </c>
      <c r="G8" s="2">
        <v>50</v>
      </c>
      <c r="H8" s="6">
        <f>G8*180/3.14159</f>
        <v>2864.7913954398887</v>
      </c>
      <c r="J8" s="51" t="s">
        <v>95</v>
      </c>
      <c r="K8" s="52"/>
      <c r="L8" s="52"/>
      <c r="M8" s="53"/>
      <c r="O8" s="4" t="s">
        <v>82</v>
      </c>
      <c r="P8" s="2">
        <f>Q8*1.35581795/9.80665</f>
        <v>48.015945713877834</v>
      </c>
      <c r="Q8" s="6">
        <v>347.3</v>
      </c>
      <c r="T8" s="41"/>
      <c r="U8" s="41"/>
      <c r="V8" s="41"/>
    </row>
    <row r="9" spans="1:23" ht="16" thickBot="1" x14ac:dyDescent="0.25">
      <c r="A9" s="4" t="s">
        <v>47</v>
      </c>
      <c r="B9" s="2">
        <v>300</v>
      </c>
      <c r="C9" s="6">
        <f t="shared" si="0"/>
        <v>2941.9949999999999</v>
      </c>
      <c r="D9" s="29"/>
      <c r="F9" s="7" t="s">
        <v>70</v>
      </c>
      <c r="G9" s="8">
        <v>80</v>
      </c>
      <c r="H9" s="9">
        <f>G9*180/3.14159</f>
        <v>4583.6662327038221</v>
      </c>
      <c r="J9" s="11"/>
      <c r="K9" s="31" t="s">
        <v>1</v>
      </c>
      <c r="L9" s="31" t="s">
        <v>32</v>
      </c>
      <c r="M9" s="32" t="s">
        <v>59</v>
      </c>
      <c r="O9" s="22" t="s">
        <v>83</v>
      </c>
      <c r="P9" s="2">
        <f>Q9*1.35581795/9.80665</f>
        <v>48.015945713877834</v>
      </c>
      <c r="Q9" s="6">
        <v>347.3</v>
      </c>
      <c r="T9" s="29"/>
      <c r="U9" s="30"/>
      <c r="V9" s="30"/>
    </row>
    <row r="10" spans="1:23" ht="16" thickBot="1" x14ac:dyDescent="0.25">
      <c r="A10" s="11"/>
      <c r="B10" s="27" t="s">
        <v>93</v>
      </c>
      <c r="C10" s="12"/>
      <c r="D10" s="29"/>
      <c r="J10" s="4" t="s">
        <v>49</v>
      </c>
      <c r="K10" s="33">
        <f>K3-B3</f>
        <v>35.909779395735654</v>
      </c>
      <c r="L10" s="33"/>
      <c r="M10" s="34">
        <f>K10*9.80665</f>
        <v>352.15463811119105</v>
      </c>
      <c r="O10" s="11"/>
      <c r="P10" s="3" t="s">
        <v>3</v>
      </c>
      <c r="Q10" s="5" t="s">
        <v>4</v>
      </c>
      <c r="T10" s="29"/>
      <c r="U10" s="29"/>
      <c r="V10" s="29"/>
    </row>
    <row r="11" spans="1:23" ht="16" thickBot="1" x14ac:dyDescent="0.25">
      <c r="A11" s="19" t="s">
        <v>100</v>
      </c>
      <c r="B11" s="8">
        <v>55</v>
      </c>
      <c r="C11" s="13"/>
      <c r="D11" s="29"/>
      <c r="F11" s="38" t="s">
        <v>22</v>
      </c>
      <c r="G11" s="48"/>
      <c r="H11" s="49"/>
      <c r="J11" s="4" t="s">
        <v>51</v>
      </c>
      <c r="K11" s="33">
        <f>K4-B4</f>
        <v>-35.909779395735654</v>
      </c>
      <c r="L11" s="33"/>
      <c r="M11" s="34">
        <f t="shared" ref="M11:M13" si="1">K11*9.80665</f>
        <v>-352.15463811119105</v>
      </c>
      <c r="O11" s="7" t="s">
        <v>91</v>
      </c>
      <c r="P11" s="8">
        <f>Q11*0.3048</f>
        <v>0.22860000000000003</v>
      </c>
      <c r="Q11" s="9">
        <v>0.75</v>
      </c>
      <c r="T11" s="29"/>
      <c r="U11" s="29"/>
      <c r="V11" s="29"/>
    </row>
    <row r="12" spans="1:23" ht="16" thickBot="1" x14ac:dyDescent="0.25">
      <c r="F12" s="11"/>
      <c r="G12" s="3" t="s">
        <v>3</v>
      </c>
      <c r="H12" s="5" t="s">
        <v>99</v>
      </c>
      <c r="J12" s="4" t="s">
        <v>50</v>
      </c>
      <c r="K12" s="33">
        <f>K5-B5</f>
        <v>57.223190145491486</v>
      </c>
      <c r="L12" s="33"/>
      <c r="M12" s="34">
        <f t="shared" si="1"/>
        <v>561.16779764028411</v>
      </c>
      <c r="T12" s="29"/>
      <c r="U12" s="29"/>
      <c r="V12" s="29"/>
    </row>
    <row r="13" spans="1:23" ht="16" thickBot="1" x14ac:dyDescent="0.25">
      <c r="A13" s="38" t="s">
        <v>9</v>
      </c>
      <c r="B13" s="39"/>
      <c r="C13" s="40"/>
      <c r="F13" s="4" t="s">
        <v>71</v>
      </c>
      <c r="G13" s="2">
        <f>B19-G14</f>
        <v>0.85250000000000004</v>
      </c>
      <c r="H13" s="6">
        <f>G13*1000</f>
        <v>852.5</v>
      </c>
      <c r="J13" s="7" t="s">
        <v>52</v>
      </c>
      <c r="K13" s="35">
        <f>K6-B6</f>
        <v>-57.223190145491493</v>
      </c>
      <c r="L13" s="35"/>
      <c r="M13" s="36">
        <f t="shared" si="1"/>
        <v>-561.16779764028411</v>
      </c>
      <c r="O13" s="42" t="s">
        <v>88</v>
      </c>
      <c r="P13" s="47"/>
      <c r="Q13" s="47"/>
      <c r="R13" s="23"/>
      <c r="T13" s="29"/>
      <c r="U13" s="29"/>
      <c r="V13" s="29"/>
    </row>
    <row r="14" spans="1:23" ht="16" thickBot="1" x14ac:dyDescent="0.25">
      <c r="A14" s="11"/>
      <c r="B14" s="3" t="s">
        <v>3</v>
      </c>
      <c r="C14" s="5" t="s">
        <v>99</v>
      </c>
      <c r="F14" s="7" t="s">
        <v>72</v>
      </c>
      <c r="G14" s="8">
        <f>B7*B19/B9</f>
        <v>0.69750000000000001</v>
      </c>
      <c r="H14" s="9">
        <f>G14*1000</f>
        <v>697.5</v>
      </c>
      <c r="O14" s="11"/>
      <c r="P14" s="3" t="s">
        <v>53</v>
      </c>
      <c r="Q14" s="3" t="s">
        <v>54</v>
      </c>
      <c r="R14" s="12"/>
      <c r="S14" t="s">
        <v>101</v>
      </c>
      <c r="T14" s="29"/>
      <c r="U14" s="29"/>
      <c r="V14" s="29"/>
    </row>
    <row r="15" spans="1:23" ht="16" thickBot="1" x14ac:dyDescent="0.25">
      <c r="A15" s="4" t="s">
        <v>36</v>
      </c>
      <c r="B15" s="2">
        <v>1.2</v>
      </c>
      <c r="C15" s="6">
        <f>B15*1000</f>
        <v>1200</v>
      </c>
      <c r="J15" s="42" t="s">
        <v>77</v>
      </c>
      <c r="K15" s="47"/>
      <c r="L15" s="50"/>
      <c r="O15" s="4" t="s">
        <v>89</v>
      </c>
      <c r="P15" s="2">
        <f>K31/(P3*P3)</f>
        <v>28446.670598419973</v>
      </c>
      <c r="Q15" s="2">
        <f>P15/9.80665*2.2*0.0254</f>
        <v>162.09408442635439</v>
      </c>
      <c r="R15" s="12"/>
      <c r="S15">
        <f>P15/1000</f>
        <v>28.446670598419974</v>
      </c>
      <c r="T15" s="41"/>
      <c r="U15" s="41"/>
      <c r="V15" s="41"/>
      <c r="W15" s="26"/>
    </row>
    <row r="16" spans="1:23" x14ac:dyDescent="0.2">
      <c r="A16" s="4" t="s">
        <v>37</v>
      </c>
      <c r="B16" s="2">
        <v>1.2</v>
      </c>
      <c r="C16" s="6">
        <f t="shared" ref="C16:C19" si="2">B16*1000</f>
        <v>1200</v>
      </c>
      <c r="F16" s="38" t="s">
        <v>23</v>
      </c>
      <c r="G16" s="49"/>
      <c r="J16" s="11"/>
      <c r="K16" s="3" t="s">
        <v>53</v>
      </c>
      <c r="L16" s="5" t="s">
        <v>54</v>
      </c>
      <c r="M16" t="s">
        <v>101</v>
      </c>
      <c r="O16" s="4" t="s">
        <v>90</v>
      </c>
      <c r="P16" s="2">
        <f>K32/(P4*P4)</f>
        <v>47312.720831831131</v>
      </c>
      <c r="Q16" s="2">
        <f>P16/9.80665*2.2*0.0254</f>
        <v>269.59612508682619</v>
      </c>
      <c r="R16" s="12"/>
      <c r="S16">
        <f>P16/1000</f>
        <v>47.312720831831129</v>
      </c>
      <c r="T16" s="29"/>
      <c r="U16" s="30"/>
      <c r="V16" s="30"/>
      <c r="W16" s="24"/>
    </row>
    <row r="17" spans="1:23" x14ac:dyDescent="0.2">
      <c r="A17" s="4" t="s">
        <v>38</v>
      </c>
      <c r="B17" s="2">
        <v>0.248</v>
      </c>
      <c r="C17" s="6">
        <f t="shared" si="2"/>
        <v>248</v>
      </c>
      <c r="F17" s="11"/>
      <c r="G17" s="5" t="s">
        <v>24</v>
      </c>
      <c r="H17" s="1"/>
      <c r="J17" s="10" t="s">
        <v>61</v>
      </c>
      <c r="K17" s="2">
        <v>12000</v>
      </c>
      <c r="L17" s="6">
        <v>1100</v>
      </c>
      <c r="M17">
        <f>K17/1000</f>
        <v>12</v>
      </c>
      <c r="O17" s="11"/>
      <c r="P17" s="3" t="s">
        <v>81</v>
      </c>
      <c r="Q17" s="3" t="s">
        <v>92</v>
      </c>
      <c r="R17" s="5" t="s">
        <v>80</v>
      </c>
      <c r="T17" s="29"/>
      <c r="U17" s="29"/>
      <c r="V17" s="29"/>
      <c r="W17" s="24"/>
    </row>
    <row r="18" spans="1:23" x14ac:dyDescent="0.2">
      <c r="A18" s="4" t="s">
        <v>39</v>
      </c>
      <c r="B18" s="2">
        <f>B17-G3-(G13*(G4-G3)/B19)</f>
        <v>0.21445500000000001</v>
      </c>
      <c r="C18" s="6">
        <f t="shared" si="2"/>
        <v>214.45500000000001</v>
      </c>
      <c r="F18" s="4" t="s">
        <v>26</v>
      </c>
      <c r="G18" s="6">
        <f>C27*C27/(B25*9.80665)</f>
        <v>-1.5021446700197927</v>
      </c>
      <c r="J18" s="10" t="s">
        <v>62</v>
      </c>
      <c r="K18" s="2">
        <v>19000</v>
      </c>
      <c r="L18" s="6">
        <v>900</v>
      </c>
      <c r="M18">
        <f>K18/1000</f>
        <v>19</v>
      </c>
      <c r="O18" s="4" t="s">
        <v>84</v>
      </c>
      <c r="P18" s="2">
        <f>P8*P11*P11/(P5*P5*B15*B15)</f>
        <v>19.361229710478394</v>
      </c>
      <c r="Q18" s="2">
        <f>P18*180/3.14159</f>
        <v>1109.3176855942727</v>
      </c>
      <c r="R18" s="6">
        <f>P18*9.80665/1.35581795</f>
        <v>140.04004250000003</v>
      </c>
      <c r="T18" s="29"/>
      <c r="U18" s="29"/>
      <c r="V18" s="29"/>
      <c r="W18" s="24"/>
    </row>
    <row r="19" spans="1:23" ht="16" thickBot="1" x14ac:dyDescent="0.25">
      <c r="A19" s="7" t="s">
        <v>40</v>
      </c>
      <c r="B19" s="8">
        <v>1.55</v>
      </c>
      <c r="C19" s="9">
        <f t="shared" si="2"/>
        <v>1550</v>
      </c>
      <c r="F19" s="7" t="s">
        <v>25</v>
      </c>
      <c r="G19" s="9">
        <f>(G18*C23)-D23</f>
        <v>-1.5021446700197927</v>
      </c>
      <c r="J19" s="11"/>
      <c r="K19" s="3" t="s">
        <v>55</v>
      </c>
      <c r="L19" s="5" t="s">
        <v>56</v>
      </c>
      <c r="O19" s="7" t="s">
        <v>85</v>
      </c>
      <c r="P19" s="8">
        <f>P9*P11*P11/(P6*P6*B16*B16)</f>
        <v>19.361229710478394</v>
      </c>
      <c r="Q19" s="8">
        <f>P19*180/3.14159</f>
        <v>1109.3176855942727</v>
      </c>
      <c r="R19" s="9">
        <f>P19*9.80665/1.35581795</f>
        <v>140.04004250000003</v>
      </c>
      <c r="T19" s="29"/>
      <c r="U19" s="29"/>
      <c r="V19" s="29"/>
      <c r="W19" s="24"/>
    </row>
    <row r="20" spans="1:23" ht="16" thickBot="1" x14ac:dyDescent="0.25">
      <c r="J20" s="20" t="s">
        <v>64</v>
      </c>
      <c r="K20" s="2">
        <f>(SQRT(K17/B4))/(2*3.14159)</f>
        <v>2.1220677003258435</v>
      </c>
      <c r="L20" s="6">
        <f>K20*2*3.14159</f>
        <v>13.333333333333332</v>
      </c>
      <c r="T20" s="29"/>
      <c r="U20" s="29"/>
      <c r="V20" s="29"/>
      <c r="W20" s="24"/>
    </row>
    <row r="21" spans="1:23" ht="16" thickBot="1" x14ac:dyDescent="0.25">
      <c r="A21" s="38" t="s">
        <v>10</v>
      </c>
      <c r="B21" s="39"/>
      <c r="C21" s="39"/>
      <c r="D21" s="40"/>
      <c r="F21" s="38" t="s">
        <v>98</v>
      </c>
      <c r="G21" s="48"/>
      <c r="H21" s="49"/>
      <c r="J21" s="21" t="s">
        <v>63</v>
      </c>
      <c r="K21" s="8">
        <f>(SQRT(K18/B5))/(2*3.14159)</f>
        <v>2.4152957917466256</v>
      </c>
      <c r="L21" s="9">
        <f>K21*2*3.14159</f>
        <v>15.175738212786563</v>
      </c>
      <c r="O21" s="41"/>
      <c r="P21" s="41"/>
      <c r="Q21" s="41"/>
    </row>
    <row r="22" spans="1:23" ht="16" thickBot="1" x14ac:dyDescent="0.25">
      <c r="A22" s="18"/>
      <c r="B22" s="3" t="s">
        <v>11</v>
      </c>
      <c r="C22" s="3" t="s">
        <v>30</v>
      </c>
      <c r="D22" s="15" t="s">
        <v>31</v>
      </c>
      <c r="F22" s="16"/>
      <c r="G22" s="3" t="s">
        <v>1</v>
      </c>
      <c r="H22" s="5" t="s">
        <v>97</v>
      </c>
      <c r="O22" s="30"/>
      <c r="P22" s="30"/>
      <c r="Q22" s="29"/>
    </row>
    <row r="23" spans="1:23" x14ac:dyDescent="0.2">
      <c r="A23" s="4" t="s">
        <v>28</v>
      </c>
      <c r="B23" s="2">
        <v>0</v>
      </c>
      <c r="C23" s="2">
        <f>COS(B23*3.14159/180)</f>
        <v>1</v>
      </c>
      <c r="D23" s="14">
        <f>SIN(B23*3.14159/180)</f>
        <v>0</v>
      </c>
      <c r="F23" s="4" t="s">
        <v>33</v>
      </c>
      <c r="G23" s="2">
        <f>B9*((G18*D23)+C23)</f>
        <v>300</v>
      </c>
      <c r="H23" s="6">
        <f>G23*9.80665</f>
        <v>2941.9949999999999</v>
      </c>
      <c r="J23" s="42" t="s">
        <v>57</v>
      </c>
      <c r="K23" s="47"/>
      <c r="L23" s="47"/>
      <c r="M23" s="46"/>
      <c r="O23" s="29"/>
      <c r="P23" s="29"/>
      <c r="Q23" s="29"/>
    </row>
    <row r="24" spans="1:23" x14ac:dyDescent="0.2">
      <c r="A24" s="11"/>
      <c r="B24" s="3" t="s">
        <v>3</v>
      </c>
      <c r="C24" s="3" t="s">
        <v>4</v>
      </c>
      <c r="D24" s="12"/>
      <c r="F24" s="17" t="s">
        <v>34</v>
      </c>
      <c r="G24" s="2">
        <f>G23*G14/B19</f>
        <v>135</v>
      </c>
      <c r="H24" s="6">
        <f t="shared" ref="H24:H25" si="3">G24*9.80665</f>
        <v>1323.8977499999999</v>
      </c>
      <c r="J24" s="11"/>
      <c r="K24" s="3" t="s">
        <v>3</v>
      </c>
      <c r="L24" s="3" t="s">
        <v>58</v>
      </c>
      <c r="M24" s="5" t="s">
        <v>99</v>
      </c>
      <c r="O24" s="30"/>
      <c r="P24" s="29"/>
      <c r="Q24" s="29"/>
    </row>
    <row r="25" spans="1:23" x14ac:dyDescent="0.2">
      <c r="A25" s="4" t="s">
        <v>27</v>
      </c>
      <c r="B25" s="2">
        <v>-10</v>
      </c>
      <c r="C25" s="2">
        <v>-356</v>
      </c>
      <c r="D25" s="12"/>
      <c r="F25" s="4" t="s">
        <v>35</v>
      </c>
      <c r="G25" s="2">
        <f>G23*G13/B19</f>
        <v>165</v>
      </c>
      <c r="H25" s="6">
        <f t="shared" si="3"/>
        <v>1618.0972499999998</v>
      </c>
      <c r="J25" s="20" t="s">
        <v>66</v>
      </c>
      <c r="K25" s="2">
        <f>K10*9.80665/K17</f>
        <v>2.9346219842599254E-2</v>
      </c>
      <c r="L25" s="2">
        <f>K25*100</f>
        <v>2.9346219842599255</v>
      </c>
      <c r="M25" s="6">
        <f>K25*1000</f>
        <v>29.346219842599254</v>
      </c>
      <c r="O25" s="29"/>
      <c r="P25" s="29"/>
      <c r="Q25" s="29"/>
    </row>
    <row r="26" spans="1:23" ht="16" thickBot="1" x14ac:dyDescent="0.25">
      <c r="A26" s="11"/>
      <c r="B26" s="3" t="s">
        <v>12</v>
      </c>
      <c r="C26" s="3" t="s">
        <v>13</v>
      </c>
      <c r="D26" s="28"/>
      <c r="F26" s="11"/>
      <c r="G26" s="3" t="s">
        <v>41</v>
      </c>
      <c r="H26" s="5" t="s">
        <v>42</v>
      </c>
      <c r="J26" s="21" t="s">
        <v>65</v>
      </c>
      <c r="K26" s="8">
        <f>K12*9.80665/K18</f>
        <v>2.9535147244225478E-2</v>
      </c>
      <c r="L26" s="8">
        <f>K26*100</f>
        <v>2.9535147244225479</v>
      </c>
      <c r="M26" s="9">
        <f>K26*1000</f>
        <v>29.535147244225477</v>
      </c>
      <c r="O26" s="29"/>
      <c r="P26" s="30"/>
      <c r="Q26" s="29"/>
    </row>
    <row r="27" spans="1:23" ht="16" thickBot="1" x14ac:dyDescent="0.25">
      <c r="A27" s="4" t="s">
        <v>29</v>
      </c>
      <c r="B27" s="2">
        <v>27.15</v>
      </c>
      <c r="C27" s="2">
        <f>B27*0.44704</f>
        <v>12.137136</v>
      </c>
      <c r="D27" s="12"/>
      <c r="F27" s="19" t="s">
        <v>43</v>
      </c>
      <c r="G27" s="8">
        <f>ATAN((K25+K26)/B15)*180/(PI()*G19)</f>
        <v>-1.8700763162506857</v>
      </c>
      <c r="H27" s="9">
        <f>G27*3.14159/180</f>
        <v>-3.263896141316662E-2</v>
      </c>
      <c r="O27" s="29"/>
      <c r="P27" s="29"/>
      <c r="Q27" s="29"/>
    </row>
    <row r="28" spans="1:23" ht="16" thickBot="1" x14ac:dyDescent="0.25">
      <c r="A28" s="11"/>
      <c r="B28" s="3" t="s">
        <v>16</v>
      </c>
      <c r="C28" s="3" t="s">
        <v>17</v>
      </c>
      <c r="D28" s="12"/>
      <c r="J28" s="42" t="s">
        <v>73</v>
      </c>
      <c r="K28" s="47"/>
      <c r="L28" s="50"/>
      <c r="O28" s="29"/>
      <c r="P28" s="30"/>
      <c r="Q28" s="30"/>
    </row>
    <row r="29" spans="1:23" x14ac:dyDescent="0.2">
      <c r="A29" s="4" t="s">
        <v>14</v>
      </c>
      <c r="B29" s="2">
        <v>0</v>
      </c>
      <c r="C29" s="2">
        <v>0</v>
      </c>
      <c r="D29" s="12"/>
      <c r="F29" s="38" t="s">
        <v>44</v>
      </c>
      <c r="G29" s="48"/>
      <c r="H29" s="49"/>
      <c r="J29" s="16"/>
      <c r="K29" s="3" t="s">
        <v>53</v>
      </c>
      <c r="L29" s="5" t="s">
        <v>54</v>
      </c>
      <c r="M29" t="s">
        <v>101</v>
      </c>
      <c r="O29" s="29"/>
      <c r="P29" s="29"/>
      <c r="Q29" s="29"/>
    </row>
    <row r="30" spans="1:23" x14ac:dyDescent="0.2">
      <c r="A30" s="11"/>
      <c r="B30" s="3" t="s">
        <v>18</v>
      </c>
      <c r="C30" s="3" t="s">
        <v>19</v>
      </c>
      <c r="D30" s="12"/>
      <c r="F30" s="18"/>
      <c r="G30" s="3" t="s">
        <v>1</v>
      </c>
      <c r="H30" s="5" t="s">
        <v>97</v>
      </c>
      <c r="J30" s="4" t="s">
        <v>74</v>
      </c>
      <c r="K30" s="2">
        <f>L30*9.80665/2.2/0.0254</f>
        <v>105296.88618468145</v>
      </c>
      <c r="L30" s="6">
        <v>600</v>
      </c>
      <c r="M30">
        <f>K30/1000</f>
        <v>105.29688618468145</v>
      </c>
      <c r="O30" s="29"/>
      <c r="P30" s="30"/>
      <c r="Q30" s="29"/>
    </row>
    <row r="31" spans="1:23" ht="16" thickBot="1" x14ac:dyDescent="0.25">
      <c r="A31" s="7" t="s">
        <v>15</v>
      </c>
      <c r="B31" s="8">
        <v>0</v>
      </c>
      <c r="C31" s="8">
        <v>0</v>
      </c>
      <c r="D31" s="13"/>
      <c r="F31" s="4" t="s">
        <v>45</v>
      </c>
      <c r="G31" s="2">
        <f>G19*(B9/B15)*((B18*G8/(G9+G8))+(G14*G3/B19))</f>
        <v>-35.909779395735654</v>
      </c>
      <c r="H31" s="6">
        <f>G31*9.80665</f>
        <v>-352.15463811119105</v>
      </c>
      <c r="J31" s="4" t="s">
        <v>75</v>
      </c>
      <c r="K31" s="2">
        <f>(K30*K17)/(K30-K17)</f>
        <v>13543.459871907746</v>
      </c>
      <c r="L31" s="6"/>
      <c r="M31">
        <f t="shared" ref="M31:M32" si="4">K31/1000</f>
        <v>13.543459871907746</v>
      </c>
      <c r="O31" s="29"/>
      <c r="P31" s="29"/>
      <c r="Q31" s="29"/>
    </row>
    <row r="32" spans="1:23" ht="16" thickBot="1" x14ac:dyDescent="0.25">
      <c r="F32" s="7" t="s">
        <v>48</v>
      </c>
      <c r="G32" s="8">
        <f>G19*(B9/B16)*((B18*G9/(G8+G9))+(G13*G4/B19))</f>
        <v>-57.223190145491493</v>
      </c>
      <c r="H32" s="9">
        <f>G32*9.80665</f>
        <v>-561.16779764028411</v>
      </c>
      <c r="J32" s="7" t="s">
        <v>76</v>
      </c>
      <c r="K32" s="8">
        <f>(K30*K18)/(K30-K18)</f>
        <v>23183.233207597252</v>
      </c>
      <c r="L32" s="9"/>
      <c r="M32">
        <f t="shared" si="4"/>
        <v>23.183233207597251</v>
      </c>
    </row>
  </sheetData>
  <mergeCells count="20">
    <mergeCell ref="F29:H29"/>
    <mergeCell ref="J15:L15"/>
    <mergeCell ref="J23:M23"/>
    <mergeCell ref="J8:M8"/>
    <mergeCell ref="F1:H1"/>
    <mergeCell ref="F6:H6"/>
    <mergeCell ref="F11:H11"/>
    <mergeCell ref="F16:G16"/>
    <mergeCell ref="J28:L28"/>
    <mergeCell ref="J1:L1"/>
    <mergeCell ref="F21:H21"/>
    <mergeCell ref="A13:C13"/>
    <mergeCell ref="A21:D21"/>
    <mergeCell ref="O21:Q21"/>
    <mergeCell ref="A1:C1"/>
    <mergeCell ref="T1:V1"/>
    <mergeCell ref="T8:V8"/>
    <mergeCell ref="T15:V15"/>
    <mergeCell ref="O1:Q1"/>
    <mergeCell ref="O13:Q1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Microsoft Office User</cp:lastModifiedBy>
  <dcterms:created xsi:type="dcterms:W3CDTF">2017-07-04T13:26:29Z</dcterms:created>
  <dcterms:modified xsi:type="dcterms:W3CDTF">2020-05-08T21:58:54Z</dcterms:modified>
</cp:coreProperties>
</file>