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florida-my.sharepoint.com/personal/joseph_hill_ufl_edu/Documents/Research/"/>
    </mc:Choice>
  </mc:AlternateContent>
  <xr:revisionPtr revIDLastSave="470" documentId="8_{71965F1F-EB7F-4575-B2AF-B6B116604150}" xr6:coauthVersionLast="47" xr6:coauthVersionMax="47" xr10:uidLastSave="{5C2673A7-ADCB-C645-876F-7879D3C6B9EB}"/>
  <bookViews>
    <workbookView xWindow="38280" yWindow="4005" windowWidth="25440" windowHeight="15390" activeTab="2" xr2:uid="{CB28FE5F-E758-4BC4-9FA3-D91670440849}"/>
  </bookViews>
  <sheets>
    <sheet name="Sheet1" sheetId="1" r:id="rId1"/>
    <sheet name="cam calculation" sheetId="2" r:id="rId2"/>
    <sheet name="thread calculation" sheetId="3" r:id="rId3"/>
  </sheet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3" l="1"/>
  <c r="D13" i="3"/>
  <c r="C20" i="1"/>
  <c r="C53" i="1"/>
  <c r="C58" i="1"/>
  <c r="D58" i="1"/>
  <c r="C22" i="1"/>
  <c r="C61" i="1"/>
  <c r="D61" i="1"/>
  <c r="C3" i="3"/>
  <c r="C10" i="3"/>
  <c r="C2" i="3"/>
  <c r="C13" i="3"/>
  <c r="E13" i="3"/>
  <c r="D3" i="3"/>
  <c r="C52" i="1"/>
  <c r="C57" i="1"/>
  <c r="D57" i="1"/>
  <c r="E57" i="1"/>
  <c r="C4" i="3"/>
  <c r="C15" i="3"/>
  <c r="D18" i="3"/>
  <c r="E18" i="3"/>
  <c r="C18" i="3"/>
  <c r="E4" i="3"/>
  <c r="D4" i="3"/>
  <c r="D2" i="3"/>
  <c r="D10" i="3"/>
  <c r="E10" i="3"/>
  <c r="D7" i="3"/>
  <c r="C8" i="2"/>
  <c r="C5" i="2"/>
  <c r="C9" i="2"/>
  <c r="D12" i="2"/>
  <c r="C12" i="2"/>
  <c r="C14" i="2"/>
  <c r="D8" i="2"/>
  <c r="E8" i="2"/>
  <c r="D9" i="2"/>
  <c r="E9" i="2"/>
  <c r="D13" i="1"/>
  <c r="C13" i="1"/>
  <c r="C23" i="1"/>
  <c r="H13" i="1"/>
  <c r="D15" i="1"/>
  <c r="C15" i="1"/>
  <c r="H15" i="1"/>
  <c r="H16" i="1"/>
  <c r="I16" i="1"/>
  <c r="L16" i="1"/>
  <c r="H8" i="1"/>
  <c r="H10" i="1"/>
  <c r="J10" i="1"/>
  <c r="K10" i="1"/>
  <c r="E14" i="1"/>
  <c r="D23" i="1"/>
  <c r="E61" i="1"/>
  <c r="E66" i="1"/>
  <c r="D66" i="1"/>
  <c r="E54" i="1"/>
  <c r="D54" i="1"/>
  <c r="E19" i="1"/>
  <c r="E20" i="1"/>
  <c r="E53" i="1"/>
  <c r="E58" i="1"/>
  <c r="E52" i="1"/>
  <c r="E49" i="1"/>
  <c r="C49" i="1"/>
  <c r="E48" i="1"/>
  <c r="C40" i="1"/>
  <c r="D25" i="1"/>
  <c r="J15" i="1"/>
  <c r="K15" i="1"/>
  <c r="D22" i="1"/>
  <c r="C21" i="1"/>
  <c r="E21" i="1"/>
  <c r="D19" i="1"/>
  <c r="D20" i="1"/>
  <c r="E18" i="1"/>
  <c r="D18" i="1"/>
  <c r="J7" i="1"/>
  <c r="K7" i="1"/>
  <c r="D6" i="1"/>
  <c r="E6" i="1"/>
  <c r="D5" i="1"/>
  <c r="E5" i="1"/>
  <c r="J8" i="1"/>
  <c r="K8" i="1"/>
  <c r="C8" i="1"/>
  <c r="C10" i="1"/>
  <c r="D10" i="1"/>
  <c r="C25" i="1"/>
  <c r="E25" i="1"/>
  <c r="D48" i="1"/>
  <c r="D52" i="1"/>
  <c r="D49" i="1"/>
  <c r="D53" i="1"/>
  <c r="C48" i="1"/>
  <c r="D21" i="1"/>
  <c r="D8" i="1"/>
  <c r="E8" i="1"/>
  <c r="E10" i="1"/>
  <c r="J13" i="1"/>
  <c r="H19" i="1"/>
  <c r="C39" i="1"/>
  <c r="D24" i="1"/>
  <c r="K13" i="1"/>
  <c r="K16" i="1"/>
  <c r="J16" i="1"/>
  <c r="E24" i="1"/>
  <c r="C24" i="1"/>
  <c r="D14" i="1"/>
  <c r="C14" i="1"/>
</calcChain>
</file>

<file path=xl/sharedStrings.xml><?xml version="1.0" encoding="utf-8"?>
<sst xmlns="http://schemas.openxmlformats.org/spreadsheetml/2006/main" count="109" uniqueCount="85">
  <si>
    <t>Resolution</t>
  </si>
  <si>
    <t xml:space="preserve">N per kg </t>
  </si>
  <si>
    <t>gm</t>
  </si>
  <si>
    <t>m</t>
  </si>
  <si>
    <t>g</t>
  </si>
  <si>
    <t>N</t>
  </si>
  <si>
    <t>Nm</t>
  </si>
  <si>
    <t>-</t>
  </si>
  <si>
    <t>Used Resolution</t>
  </si>
  <si>
    <t>kgm</t>
  </si>
  <si>
    <t>Resolution Counts Need [-]</t>
  </si>
  <si>
    <t>kg</t>
  </si>
  <si>
    <t>cm</t>
  </si>
  <si>
    <t>mm</t>
  </si>
  <si>
    <t>Nominal Plate Distance</t>
  </si>
  <si>
    <t>Plate Radius</t>
  </si>
  <si>
    <t>Min Ball Distance From Sensor</t>
  </si>
  <si>
    <t>Rolling Resolution @ Min Distance</t>
  </si>
  <si>
    <t>Min Ball Weight</t>
  </si>
  <si>
    <t>Plate Weight</t>
  </si>
  <si>
    <t>Plate COM</t>
  </si>
  <si>
    <t>Plate COM Gravity Torque</t>
  </si>
  <si>
    <t>Sensing FXY</t>
  </si>
  <si>
    <t>Sensing FZ</t>
  </si>
  <si>
    <t>Sensing TXYZ</t>
  </si>
  <si>
    <t>g/cm3</t>
  </si>
  <si>
    <t>cm3</t>
  </si>
  <si>
    <t>Max Ball Density</t>
  </si>
  <si>
    <t>Min Ball Density</t>
  </si>
  <si>
    <t>Min Ball Volume (Max Density)</t>
  </si>
  <si>
    <t>Max Ball Volume (Min Density)</t>
  </si>
  <si>
    <t>Max Ball Weight</t>
  </si>
  <si>
    <t>Max Ball Diameter (Min Density)</t>
  </si>
  <si>
    <t>Min Ball Diameter (Max Density)</t>
  </si>
  <si>
    <t>m/s2</t>
  </si>
  <si>
    <t>cm/s2</t>
  </si>
  <si>
    <t>mm/s2</t>
  </si>
  <si>
    <t>s</t>
  </si>
  <si>
    <t>Plate Diameter</t>
  </si>
  <si>
    <t>m/s</t>
  </si>
  <si>
    <t>cm/s</t>
  </si>
  <si>
    <t>mm/s</t>
  </si>
  <si>
    <t>Max Across Plate Time</t>
  </si>
  <si>
    <t>Min Across Plate Time</t>
  </si>
  <si>
    <t>Max Average Speed Across Plate (Min Time)</t>
  </si>
  <si>
    <t>Min Average Speed Across Plate (Max Time)</t>
  </si>
  <si>
    <t>Max Lateral Acceleration (Min Time)</t>
  </si>
  <si>
    <t>Min Lateral Acceleration (Max Time)</t>
  </si>
  <si>
    <t>https://www.desmos.com/calculator/kjvyyvxtiq</t>
  </si>
  <si>
    <t>Earth Gravity</t>
  </si>
  <si>
    <t>https://www.sensorsone.com/local-gravity-calculator/</t>
  </si>
  <si>
    <t>% of 90 degrees</t>
  </si>
  <si>
    <t>Min Plate Tilt</t>
  </si>
  <si>
    <t>Max Plate Tilt</t>
  </si>
  <si>
    <t>degrees</t>
  </si>
  <si>
    <t>radians</t>
  </si>
  <si>
    <t>% of Min Plate Tilt</t>
  </si>
  <si>
    <t>Gear Ratio</t>
  </si>
  <si>
    <t>Servo Rotation for Authority</t>
  </si>
  <si>
    <t>Max Ball Torque</t>
  </si>
  <si>
    <t>%FS Torque</t>
  </si>
  <si>
    <t>%</t>
  </si>
  <si>
    <t>Max System Torque</t>
  </si>
  <si>
    <t>Nm per in-lb</t>
  </si>
  <si>
    <t>in-lb</t>
  </si>
  <si>
    <t>Ncm</t>
  </si>
  <si>
    <t>min step</t>
  </si>
  <si>
    <t>steps per full circle</t>
  </si>
  <si>
    <t>total radius chage required</t>
  </si>
  <si>
    <t>radius chage per step</t>
  </si>
  <si>
    <t>angle change per step</t>
  </si>
  <si>
    <t>times greater than required</t>
  </si>
  <si>
    <t>Pushing Radius</t>
  </si>
  <si>
    <t>Thead Pitch (Height per Rev)</t>
  </si>
  <si>
    <t>Total Height Chage Required</t>
  </si>
  <si>
    <t>Degrees</t>
  </si>
  <si>
    <t>Min Stepper Motor Rotation Step</t>
  </si>
  <si>
    <t>Steps per Rev</t>
  </si>
  <si>
    <t>Plate Angle Change per Step</t>
  </si>
  <si>
    <t>Radians</t>
  </si>
  <si>
    <t>Thread Rev. for Total Height Chage</t>
  </si>
  <si>
    <t>Min Nut Height per Step</t>
  </si>
  <si>
    <t>Min Thread Length</t>
  </si>
  <si>
    <t>Angle Control Authority</t>
  </si>
  <si>
    <t>% Angle Control Authority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</si>
</sst>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E+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1" xfId="0" applyBorder="1"/>
    <xf numFmtId="0" fontId="0" fillId="3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CF4F8-A85A-4CA2-93F4-BF7B0D16E541}">
  <dimension ref="B4:L66"/>
  <sheetViews>
    <sheetView zoomScaleNormal="100" workbookViewId="0">
      <selection activeCell="E16" sqref="E16"/>
    </sheetView>
  </sheetViews>
  <sheetFormatPr defaultRowHeight="15" x14ac:dyDescent="0.25"/>
  <cols>
    <col min="1" max="1" width="120.7109375" customWidth="1"/>
    <col min="2" max="2" width="40.7109375" bestFit="1" customWidth="1"/>
    <col min="3" max="3" width="17.28515625" bestFit="1" customWidth="1"/>
    <col min="4" max="5" width="12" bestFit="1" customWidth="1"/>
    <col min="6" max="6" width="6.140625" bestFit="1" customWidth="1"/>
    <col min="7" max="7" width="24.140625" bestFit="1" customWidth="1"/>
    <col min="8" max="10" width="12" bestFit="1" customWidth="1"/>
    <col min="14" max="14" width="27.5703125" bestFit="1" customWidth="1"/>
    <col min="15" max="16" width="35.140625" bestFit="1" customWidth="1"/>
    <col min="17" max="17" width="26.7109375" bestFit="1" customWidth="1"/>
  </cols>
  <sheetData>
    <row r="4" spans="2:12" x14ac:dyDescent="0.25">
      <c r="C4" t="s">
        <v>5</v>
      </c>
      <c r="D4" t="s">
        <v>11</v>
      </c>
      <c r="E4" t="s">
        <v>4</v>
      </c>
      <c r="H4" t="s">
        <v>6</v>
      </c>
      <c r="I4" t="s">
        <v>65</v>
      </c>
      <c r="J4" t="s">
        <v>9</v>
      </c>
      <c r="K4" t="s">
        <v>2</v>
      </c>
      <c r="L4" t="s">
        <v>64</v>
      </c>
    </row>
    <row r="5" spans="2:12" x14ac:dyDescent="0.25">
      <c r="B5" t="s">
        <v>22</v>
      </c>
      <c r="C5">
        <v>150</v>
      </c>
      <c r="D5">
        <f>C5*C28</f>
        <v>15.295743194668949</v>
      </c>
      <c r="E5">
        <f>D5*1000</f>
        <v>15295.743194668948</v>
      </c>
    </row>
    <row r="6" spans="2:12" x14ac:dyDescent="0.25">
      <c r="B6" t="s">
        <v>23</v>
      </c>
      <c r="C6">
        <v>470</v>
      </c>
      <c r="D6">
        <f>C6*C28</f>
        <v>47.926662009962712</v>
      </c>
      <c r="E6">
        <f>D6*1000</f>
        <v>47926.662009962711</v>
      </c>
    </row>
    <row r="7" spans="2:12" x14ac:dyDescent="0.25">
      <c r="G7" t="s">
        <v>24</v>
      </c>
      <c r="H7">
        <v>8</v>
      </c>
      <c r="J7">
        <f>H7*C28</f>
        <v>0.81577297038234398</v>
      </c>
      <c r="K7">
        <f>J7*1000</f>
        <v>815.77297038234394</v>
      </c>
    </row>
    <row r="8" spans="2:12" x14ac:dyDescent="0.25">
      <c r="B8" t="s">
        <v>0</v>
      </c>
      <c r="C8">
        <f>1/25</f>
        <v>0.04</v>
      </c>
      <c r="D8">
        <f>C8*C28</f>
        <v>4.0788648519117197E-3</v>
      </c>
      <c r="E8">
        <f>D8*1000</f>
        <v>4.0788648519117201</v>
      </c>
      <c r="G8" t="s">
        <v>0</v>
      </c>
      <c r="H8">
        <f>1/500</f>
        <v>2E-3</v>
      </c>
      <c r="J8">
        <f>H8*$C$28</f>
        <v>2.03943242595586E-4</v>
      </c>
      <c r="K8">
        <f>J8*1000</f>
        <v>0.20394324259558599</v>
      </c>
    </row>
    <row r="10" spans="2:12" x14ac:dyDescent="0.25">
      <c r="B10" t="s">
        <v>8</v>
      </c>
      <c r="C10">
        <f>C8*C29</f>
        <v>0.12</v>
      </c>
      <c r="D10">
        <f>C10*C28</f>
        <v>1.2236594555735159E-2</v>
      </c>
      <c r="E10">
        <f>D10*1000</f>
        <v>12.236594555735159</v>
      </c>
      <c r="G10" t="s">
        <v>8</v>
      </c>
      <c r="H10" s="3">
        <f>H8*C29</f>
        <v>6.0000000000000001E-3</v>
      </c>
      <c r="J10">
        <f>H10*$C$28</f>
        <v>6.1182972778675798E-4</v>
      </c>
      <c r="K10">
        <f>J10*1000</f>
        <v>0.61182972778675804</v>
      </c>
    </row>
    <row r="13" spans="2:12" ht="15.75" thickBot="1" x14ac:dyDescent="0.3">
      <c r="B13" t="s">
        <v>19</v>
      </c>
      <c r="C13">
        <f>D13/$C$28</f>
        <v>2.941994999999995</v>
      </c>
      <c r="D13">
        <f>E13/1000</f>
        <v>0.3</v>
      </c>
      <c r="E13" s="1">
        <v>300</v>
      </c>
      <c r="G13" t="s">
        <v>21</v>
      </c>
      <c r="H13">
        <f>C13*C23</f>
        <v>2.9419949999999952E-2</v>
      </c>
      <c r="J13">
        <f>H13*$C$28</f>
        <v>3.0000000000000001E-3</v>
      </c>
      <c r="K13">
        <f>J13*1000</f>
        <v>3</v>
      </c>
    </row>
    <row r="14" spans="2:12" ht="15.75" thickBot="1" x14ac:dyDescent="0.3">
      <c r="B14" t="s">
        <v>18</v>
      </c>
      <c r="C14">
        <f>D14/$C$28</f>
        <v>2.0000000000000004</v>
      </c>
      <c r="D14">
        <f>E14/1000</f>
        <v>0.20394324259558602</v>
      </c>
      <c r="E14" s="2">
        <f>K10/C22</f>
        <v>203.94324259558601</v>
      </c>
    </row>
    <row r="15" spans="2:12" x14ac:dyDescent="0.25">
      <c r="B15" t="s">
        <v>31</v>
      </c>
      <c r="C15">
        <f>D15/$C$28</f>
        <v>2.4516624999999959</v>
      </c>
      <c r="D15">
        <f>E15/1000</f>
        <v>0.25</v>
      </c>
      <c r="E15" s="1">
        <v>250</v>
      </c>
      <c r="G15" t="s">
        <v>59</v>
      </c>
      <c r="H15">
        <f>C15*(C18+C19)</f>
        <v>0.49033249999999917</v>
      </c>
      <c r="J15">
        <f>H15*$C$28</f>
        <v>0.05</v>
      </c>
      <c r="K15">
        <f>J15*1000</f>
        <v>50</v>
      </c>
    </row>
    <row r="16" spans="2:12" x14ac:dyDescent="0.25">
      <c r="G16" t="s">
        <v>62</v>
      </c>
      <c r="H16">
        <f>H13+H15</f>
        <v>0.51975244999999914</v>
      </c>
      <c r="I16">
        <f>H16*100</f>
        <v>51.975244999999916</v>
      </c>
      <c r="J16">
        <f>J13+J15</f>
        <v>5.3000000000000005E-2</v>
      </c>
      <c r="K16">
        <f>K13+K15</f>
        <v>53</v>
      </c>
      <c r="L16">
        <f>H16*C30</f>
        <v>4.6001967970372224</v>
      </c>
    </row>
    <row r="17" spans="2:8" x14ac:dyDescent="0.25">
      <c r="C17" t="s">
        <v>3</v>
      </c>
      <c r="D17" t="s">
        <v>12</v>
      </c>
      <c r="E17" t="s">
        <v>13</v>
      </c>
    </row>
    <row r="18" spans="2:8" x14ac:dyDescent="0.25">
      <c r="B18" t="s">
        <v>14</v>
      </c>
      <c r="C18" s="1">
        <v>0</v>
      </c>
      <c r="D18">
        <f>C18*100</f>
        <v>0</v>
      </c>
      <c r="E18">
        <f>C18*1000</f>
        <v>0</v>
      </c>
      <c r="H18" t="s">
        <v>61</v>
      </c>
    </row>
    <row r="19" spans="2:8" x14ac:dyDescent="0.25">
      <c r="B19" t="s">
        <v>15</v>
      </c>
      <c r="C19" s="1">
        <v>0.2</v>
      </c>
      <c r="D19">
        <f>C19*100</f>
        <v>20</v>
      </c>
      <c r="E19">
        <f>C19*1000</f>
        <v>200</v>
      </c>
      <c r="G19" t="s">
        <v>60</v>
      </c>
      <c r="H19">
        <f>H16/H7*100</f>
        <v>6.4969056249999895</v>
      </c>
    </row>
    <row r="20" spans="2:8" x14ac:dyDescent="0.25">
      <c r="B20" t="s">
        <v>38</v>
      </c>
      <c r="C20">
        <f>C19*2</f>
        <v>0.4</v>
      </c>
      <c r="D20">
        <f t="shared" ref="D20:E20" si="0">D19*2</f>
        <v>40</v>
      </c>
      <c r="E20">
        <f t="shared" si="0"/>
        <v>400</v>
      </c>
    </row>
    <row r="21" spans="2:8" x14ac:dyDescent="0.25">
      <c r="B21" t="s">
        <v>16</v>
      </c>
      <c r="C21">
        <f>C18-C19</f>
        <v>-0.2</v>
      </c>
      <c r="D21">
        <f>C21*100</f>
        <v>-20</v>
      </c>
      <c r="E21">
        <f>C21*1000</f>
        <v>-200</v>
      </c>
    </row>
    <row r="22" spans="2:8" x14ac:dyDescent="0.25">
      <c r="B22" t="s">
        <v>17</v>
      </c>
      <c r="C22">
        <f>E22/1000</f>
        <v>3.0000000000000001E-3</v>
      </c>
      <c r="D22">
        <f>E22/10</f>
        <v>0.3</v>
      </c>
      <c r="E22" s="1">
        <v>3</v>
      </c>
    </row>
    <row r="23" spans="2:8" ht="15.75" thickBot="1" x14ac:dyDescent="0.3">
      <c r="B23" t="s">
        <v>20</v>
      </c>
      <c r="C23">
        <f>E23/1000</f>
        <v>0.01</v>
      </c>
      <c r="D23">
        <f>E23/10</f>
        <v>1</v>
      </c>
      <c r="E23" s="1">
        <v>10</v>
      </c>
    </row>
    <row r="24" spans="2:8" ht="15.75" thickBot="1" x14ac:dyDescent="0.3">
      <c r="B24" t="s">
        <v>32</v>
      </c>
      <c r="C24">
        <f>D24/100</f>
        <v>3.0595479442069223E-2</v>
      </c>
      <c r="D24">
        <f>POWER(C39*3/4/PI(),(1/3))</f>
        <v>3.0595479442069222</v>
      </c>
      <c r="E24" s="2">
        <f>D24*10</f>
        <v>30.595479442069223</v>
      </c>
    </row>
    <row r="25" spans="2:8" ht="15.75" thickBot="1" x14ac:dyDescent="0.3">
      <c r="B25" t="s">
        <v>33</v>
      </c>
      <c r="C25">
        <f>D25/100</f>
        <v>1.9705415601925246E-2</v>
      </c>
      <c r="D25">
        <f>POWER(C40*3/4/PI(),(1/3))</f>
        <v>1.9705415601925247</v>
      </c>
      <c r="E25" s="2">
        <f>D25*10</f>
        <v>19.705415601925246</v>
      </c>
    </row>
    <row r="27" spans="2:8" x14ac:dyDescent="0.25">
      <c r="C27" t="s">
        <v>7</v>
      </c>
    </row>
    <row r="28" spans="2:8" x14ac:dyDescent="0.25">
      <c r="B28" t="s">
        <v>1</v>
      </c>
      <c r="C28">
        <v>0.101971621297793</v>
      </c>
    </row>
    <row r="29" spans="2:8" x14ac:dyDescent="0.25">
      <c r="B29" t="s">
        <v>10</v>
      </c>
      <c r="C29" s="1">
        <v>3</v>
      </c>
    </row>
    <row r="30" spans="2:8" x14ac:dyDescent="0.25">
      <c r="B30" t="s">
        <v>63</v>
      </c>
      <c r="C30">
        <v>8.8507457675999994</v>
      </c>
    </row>
    <row r="33" spans="2:5" x14ac:dyDescent="0.25">
      <c r="C33" t="s">
        <v>25</v>
      </c>
    </row>
    <row r="34" spans="2:5" x14ac:dyDescent="0.25">
      <c r="B34" t="s">
        <v>28</v>
      </c>
      <c r="C34" s="1">
        <v>1.7</v>
      </c>
    </row>
    <row r="35" spans="2:5" x14ac:dyDescent="0.25">
      <c r="B35" t="s">
        <v>27</v>
      </c>
      <c r="C35" s="1">
        <v>7.8</v>
      </c>
    </row>
    <row r="38" spans="2:5" x14ac:dyDescent="0.25">
      <c r="C38" t="s">
        <v>26</v>
      </c>
    </row>
    <row r="39" spans="2:5" x14ac:dyDescent="0.25">
      <c r="B39" t="s">
        <v>30</v>
      </c>
      <c r="C39">
        <f>E14/C34</f>
        <v>119.96661329152118</v>
      </c>
    </row>
    <row r="40" spans="2:5" x14ac:dyDescent="0.25">
      <c r="B40" t="s">
        <v>29</v>
      </c>
      <c r="C40">
        <f>E15/C35</f>
        <v>32.051282051282051</v>
      </c>
    </row>
    <row r="42" spans="2:5" x14ac:dyDescent="0.25">
      <c r="C42" t="s">
        <v>37</v>
      </c>
    </row>
    <row r="43" spans="2:5" x14ac:dyDescent="0.25">
      <c r="B43" t="s">
        <v>43</v>
      </c>
      <c r="C43" s="1">
        <v>3</v>
      </c>
    </row>
    <row r="44" spans="2:5" x14ac:dyDescent="0.25">
      <c r="B44" t="s">
        <v>42</v>
      </c>
      <c r="C44" s="1">
        <v>6</v>
      </c>
    </row>
    <row r="47" spans="2:5" x14ac:dyDescent="0.25">
      <c r="C47" t="s">
        <v>39</v>
      </c>
      <c r="D47" t="s">
        <v>40</v>
      </c>
      <c r="E47" t="s">
        <v>41</v>
      </c>
    </row>
    <row r="48" spans="2:5" x14ac:dyDescent="0.25">
      <c r="B48" t="s">
        <v>44</v>
      </c>
      <c r="C48">
        <f>C20/$C$43</f>
        <v>0.13333333333333333</v>
      </c>
      <c r="D48">
        <f>D20/$C$43</f>
        <v>13.333333333333334</v>
      </c>
      <c r="E48">
        <f>E20/$C$43</f>
        <v>133.33333333333334</v>
      </c>
    </row>
    <row r="49" spans="2:7" x14ac:dyDescent="0.25">
      <c r="B49" t="s">
        <v>45</v>
      </c>
      <c r="C49">
        <f>C20/$C$44</f>
        <v>6.6666666666666666E-2</v>
      </c>
      <c r="D49">
        <f t="shared" ref="D49:E49" si="1">D20/$C$44</f>
        <v>6.666666666666667</v>
      </c>
      <c r="E49">
        <f t="shared" si="1"/>
        <v>66.666666666666671</v>
      </c>
    </row>
    <row r="51" spans="2:7" x14ac:dyDescent="0.25">
      <c r="C51" t="s">
        <v>34</v>
      </c>
      <c r="D51" t="s">
        <v>35</v>
      </c>
      <c r="E51" t="s">
        <v>36</v>
      </c>
    </row>
    <row r="52" spans="2:7" x14ac:dyDescent="0.25">
      <c r="B52" t="s">
        <v>46</v>
      </c>
      <c r="C52">
        <f>4*C20/POWER($C$43,2)</f>
        <v>0.17777777777777778</v>
      </c>
      <c r="D52">
        <f>4*D20/POWER($C$43,2)</f>
        <v>17.777777777777779</v>
      </c>
      <c r="E52">
        <f>4*E20/POWER($C$43,2)</f>
        <v>177.77777777777777</v>
      </c>
      <c r="G52" t="s">
        <v>48</v>
      </c>
    </row>
    <row r="53" spans="2:7" x14ac:dyDescent="0.25">
      <c r="B53" t="s">
        <v>47</v>
      </c>
      <c r="C53">
        <f>4*C20/POWER($C$44,2)</f>
        <v>4.4444444444444446E-2</v>
      </c>
      <c r="D53">
        <f>4*D20/POWER($C$44,2)</f>
        <v>4.4444444444444446</v>
      </c>
      <c r="E53">
        <f>4*E20/POWER($C$44,2)</f>
        <v>44.444444444444443</v>
      </c>
    </row>
    <row r="54" spans="2:7" x14ac:dyDescent="0.25">
      <c r="B54" t="s">
        <v>49</v>
      </c>
      <c r="C54">
        <v>9.7928599999999992</v>
      </c>
      <c r="D54">
        <f>C54*100</f>
        <v>979.28599999999994</v>
      </c>
      <c r="E54">
        <f>C54*1000</f>
        <v>9792.8599999999988</v>
      </c>
    </row>
    <row r="55" spans="2:7" x14ac:dyDescent="0.25">
      <c r="G55" t="s">
        <v>50</v>
      </c>
    </row>
    <row r="56" spans="2:7" x14ac:dyDescent="0.25">
      <c r="C56" t="s">
        <v>51</v>
      </c>
      <c r="D56" t="s">
        <v>54</v>
      </c>
      <c r="E56" t="s">
        <v>55</v>
      </c>
    </row>
    <row r="57" spans="2:7" x14ac:dyDescent="0.25">
      <c r="B57" t="s">
        <v>53</v>
      </c>
      <c r="C57">
        <f>C52/C54*100</f>
        <v>1.8153815920760412</v>
      </c>
      <c r="D57">
        <f>C57/100*90</f>
        <v>1.633843432868437</v>
      </c>
      <c r="E57">
        <f>RADIANS(D57)</f>
        <v>2.8515947365641166E-2</v>
      </c>
    </row>
    <row r="58" spans="2:7" x14ac:dyDescent="0.25">
      <c r="B58" t="s">
        <v>52</v>
      </c>
      <c r="C58">
        <f>C53/C54*100</f>
        <v>0.4538453980190103</v>
      </c>
      <c r="D58">
        <f>C58/100*90</f>
        <v>0.40846085821710926</v>
      </c>
      <c r="E58">
        <f>RADIANS(D58)</f>
        <v>7.1289868414102916E-3</v>
      </c>
    </row>
    <row r="60" spans="2:7" x14ac:dyDescent="0.25">
      <c r="C60" t="s">
        <v>56</v>
      </c>
      <c r="D60" t="s">
        <v>54</v>
      </c>
      <c r="E60" t="s">
        <v>55</v>
      </c>
    </row>
    <row r="61" spans="2:7" x14ac:dyDescent="0.25">
      <c r="B61" t="s">
        <v>83</v>
      </c>
      <c r="C61">
        <f>C20/C22</f>
        <v>133.33333333333334</v>
      </c>
      <c r="D61">
        <f>D58/C61</f>
        <v>3.063456436628319E-3</v>
      </c>
      <c r="E61">
        <f>RADIANS(D61)</f>
        <v>5.3467401310577185E-5</v>
      </c>
    </row>
    <row r="63" spans="2:7" x14ac:dyDescent="0.25">
      <c r="C63" t="s">
        <v>7</v>
      </c>
    </row>
    <row r="64" spans="2:7" x14ac:dyDescent="0.25">
      <c r="B64" t="s">
        <v>57</v>
      </c>
      <c r="C64" s="1">
        <v>600</v>
      </c>
    </row>
    <row r="65" spans="2:5" x14ac:dyDescent="0.25">
      <c r="D65" t="s">
        <v>54</v>
      </c>
      <c r="E65" t="s">
        <v>55</v>
      </c>
    </row>
    <row r="66" spans="2:5" x14ac:dyDescent="0.25">
      <c r="B66" t="s">
        <v>58</v>
      </c>
      <c r="D66">
        <f>D61*C64</f>
        <v>1.8380738619769914</v>
      </c>
      <c r="E66">
        <f>E61*C64</f>
        <v>3.2080440786346309E-2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A8179-179F-47C0-A95E-5ECF4F258592}">
  <dimension ref="B1:E14"/>
  <sheetViews>
    <sheetView zoomScaleNormal="100" zoomScaleSheetLayoutView="100" workbookViewId="0"/>
  </sheetViews>
  <sheetFormatPr defaultRowHeight="15" x14ac:dyDescent="0.25"/>
  <cols>
    <col min="2" max="2" width="25.85546875" bestFit="1" customWidth="1"/>
  </cols>
  <sheetData>
    <row r="1" spans="2:5" x14ac:dyDescent="0.25">
      <c r="C1" t="s">
        <v>54</v>
      </c>
    </row>
    <row r="2" spans="2:5" x14ac:dyDescent="0.25">
      <c r="B2" t="s">
        <v>66</v>
      </c>
      <c r="C2">
        <v>1.8</v>
      </c>
    </row>
    <row r="4" spans="2:5" x14ac:dyDescent="0.25">
      <c r="C4" t="s">
        <v>7</v>
      </c>
    </row>
    <row r="5" spans="2:5" x14ac:dyDescent="0.25">
      <c r="B5" t="s">
        <v>67</v>
      </c>
      <c r="C5">
        <f>360/C2</f>
        <v>200</v>
      </c>
    </row>
    <row r="7" spans="2:5" x14ac:dyDescent="0.25">
      <c r="C7" t="s">
        <v>3</v>
      </c>
      <c r="D7" t="s">
        <v>12</v>
      </c>
      <c r="E7" t="s">
        <v>13</v>
      </c>
    </row>
    <row r="8" spans="2:5" x14ac:dyDescent="0.25">
      <c r="B8" t="s">
        <v>68</v>
      </c>
      <c r="C8">
        <f>2*(2*Sheet1!C19*SIN(Sheet1!E57/2))</f>
        <v>1.1405992483409828E-2</v>
      </c>
      <c r="D8">
        <f>C8*100</f>
        <v>1.1405992483409828</v>
      </c>
      <c r="E8">
        <f>C8*1000</f>
        <v>11.405992483409827</v>
      </c>
    </row>
    <row r="9" spans="2:5" x14ac:dyDescent="0.25">
      <c r="B9" t="s">
        <v>69</v>
      </c>
      <c r="C9">
        <f>C8/$C$5</f>
        <v>5.7029962417049137E-5</v>
      </c>
      <c r="D9">
        <f>D8/$C$5</f>
        <v>5.702996241704914E-3</v>
      </c>
      <c r="E9">
        <f>E8/$C$5</f>
        <v>5.7029962417049135E-2</v>
      </c>
    </row>
    <row r="11" spans="2:5" x14ac:dyDescent="0.25">
      <c r="C11" t="s">
        <v>54</v>
      </c>
      <c r="D11" t="s">
        <v>55</v>
      </c>
    </row>
    <row r="12" spans="2:5" x14ac:dyDescent="0.25">
      <c r="B12" t="s">
        <v>70</v>
      </c>
      <c r="C12">
        <f>DEGREES(D12)</f>
        <v>1.6337881204246396E-2</v>
      </c>
      <c r="D12">
        <f>TAN(C9/Sheet1!C19)</f>
        <v>2.8514981981379579E-4</v>
      </c>
    </row>
    <row r="14" spans="2:5" x14ac:dyDescent="0.25">
      <c r="B14" t="s">
        <v>71</v>
      </c>
      <c r="C14">
        <f>C12/Sheet1!D61</f>
        <v>5.3331527776605459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F1E2F-21D8-40A4-9570-359B9FA7D358}">
  <dimension ref="B1:E23"/>
  <sheetViews>
    <sheetView tabSelected="1" topLeftCell="B7" zoomScaleNormal="100" zoomScaleSheetLayoutView="100" workbookViewId="0">
      <selection activeCell="B28" sqref="B28"/>
    </sheetView>
  </sheetViews>
  <sheetFormatPr defaultRowHeight="15" x14ac:dyDescent="0.25"/>
  <cols>
    <col min="2" max="2" width="29.85546875" bestFit="1" customWidth="1"/>
    <col min="3" max="3" width="12" bestFit="1" customWidth="1"/>
    <col min="4" max="4" width="9.140625" bestFit="1" customWidth="1"/>
  </cols>
  <sheetData>
    <row r="1" spans="2:5" x14ac:dyDescent="0.25">
      <c r="C1" t="s">
        <v>3</v>
      </c>
      <c r="D1" t="s">
        <v>12</v>
      </c>
      <c r="E1" t="s">
        <v>13</v>
      </c>
    </row>
    <row r="2" spans="2:5" x14ac:dyDescent="0.25">
      <c r="B2" t="s">
        <v>72</v>
      </c>
      <c r="C2">
        <f>E2/1000</f>
        <v>0.2</v>
      </c>
      <c r="D2">
        <f>E2/10</f>
        <v>20</v>
      </c>
      <c r="E2" s="1">
        <v>200</v>
      </c>
    </row>
    <row r="3" spans="2:5" x14ac:dyDescent="0.25">
      <c r="B3" t="s">
        <v>73</v>
      </c>
      <c r="C3">
        <f>E3/1000</f>
        <v>2E-3</v>
      </c>
      <c r="D3">
        <f>E3/10</f>
        <v>0.2</v>
      </c>
      <c r="E3" s="1">
        <v>2</v>
      </c>
    </row>
    <row r="4" spans="2:5" x14ac:dyDescent="0.25">
      <c r="B4" t="s">
        <v>74</v>
      </c>
      <c r="C4">
        <f>2*(2*C2*SIN(Sheet1!E57/2))</f>
        <v>1.1405992483409828E-2</v>
      </c>
      <c r="D4">
        <f>C4*100</f>
        <v>1.1405992483409828</v>
      </c>
      <c r="E4">
        <f>C4*1000</f>
        <v>11.405992483409827</v>
      </c>
    </row>
    <row r="6" spans="2:5" x14ac:dyDescent="0.25">
      <c r="C6" t="s">
        <v>75</v>
      </c>
      <c r="D6" t="s">
        <v>77</v>
      </c>
    </row>
    <row r="7" spans="2:5" x14ac:dyDescent="0.25">
      <c r="B7" t="s">
        <v>76</v>
      </c>
      <c r="C7">
        <v>1.8</v>
      </c>
      <c r="D7">
        <f>360/C7</f>
        <v>200</v>
      </c>
    </row>
    <row r="9" spans="2:5" x14ac:dyDescent="0.25">
      <c r="C9" t="s">
        <v>3</v>
      </c>
      <c r="D9" t="s">
        <v>12</v>
      </c>
      <c r="E9" t="s">
        <v>13</v>
      </c>
    </row>
    <row r="10" spans="2:5" x14ac:dyDescent="0.25">
      <c r="B10" t="s">
        <v>81</v>
      </c>
      <c r="C10">
        <f>C3/200</f>
        <v>1.0000000000000001E-5</v>
      </c>
      <c r="D10">
        <f>D3/200</f>
        <v>1E-3</v>
      </c>
      <c r="E10">
        <f>E3/200</f>
        <v>0.01</v>
      </c>
    </row>
    <row r="12" spans="2:5" x14ac:dyDescent="0.25">
      <c r="C12" t="s">
        <v>75</v>
      </c>
      <c r="D12" t="s">
        <v>79</v>
      </c>
      <c r="E12" t="s">
        <v>84</v>
      </c>
    </row>
    <row r="13" spans="2:5" x14ac:dyDescent="0.25">
      <c r="B13" t="s">
        <v>78</v>
      </c>
      <c r="C13">
        <f>DEGREES(D13)</f>
        <v>2.8647889732667919E-3</v>
      </c>
      <c r="D13" s="4">
        <f>ATAN(C10/C2)</f>
        <v>4.9999999958333334E-5</v>
      </c>
      <c r="E13" s="3">
        <f>Sheet1!D61/'thread calculation'!C13*100</f>
        <v>106.93480271026669</v>
      </c>
    </row>
    <row r="15" spans="2:5" x14ac:dyDescent="0.25">
      <c r="B15" t="s">
        <v>80</v>
      </c>
      <c r="C15">
        <f>C4/C3</f>
        <v>5.7029962417049136</v>
      </c>
    </row>
    <row r="17" spans="2:5" x14ac:dyDescent="0.25">
      <c r="C17" t="s">
        <v>3</v>
      </c>
      <c r="D17" t="s">
        <v>12</v>
      </c>
      <c r="E17" t="s">
        <v>13</v>
      </c>
    </row>
    <row r="18" spans="2:5" x14ac:dyDescent="0.25">
      <c r="B18" t="s">
        <v>82</v>
      </c>
      <c r="C18">
        <f>C3*$C$15</f>
        <v>1.1405992483409828E-2</v>
      </c>
      <c r="D18">
        <f>D3*$C$15</f>
        <v>1.1405992483409828</v>
      </c>
      <c r="E18">
        <f>E3*$C$15</f>
        <v>11.405992483409827</v>
      </c>
    </row>
    <row r="23" spans="2:5" x14ac:dyDescent="0.25">
      <c r="C23">
        <f>(C10/C2)</f>
        <v>5.0000000000000002E-5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cam calculation</vt:lpstr>
      <vt:lpstr>thread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Hill,Joseph Thomas</cp:lastModifiedBy>
  <dcterms:created xsi:type="dcterms:W3CDTF">2023-01-04T21:14:30Z</dcterms:created>
  <dcterms:modified xsi:type="dcterms:W3CDTF">2023-01-16T02:52:14Z</dcterms:modified>
</cp:coreProperties>
</file>