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150" windowWidth="18150" windowHeight="8475"/>
  </bookViews>
  <sheets>
    <sheet name="Hoja1" sheetId="1" r:id="rId1"/>
    <sheet name="Hoja2" sheetId="2" r:id="rId2"/>
  </sheets>
  <definedNames>
    <definedName name="_xlnm.Print_Area" localSheetId="0">Hoja1!$A$1:$Q$101</definedName>
  </definedNames>
  <calcPr calcId="125725"/>
</workbook>
</file>

<file path=xl/calcChain.xml><?xml version="1.0" encoding="utf-8"?>
<calcChain xmlns="http://schemas.openxmlformats.org/spreadsheetml/2006/main">
  <c r="G100" i="1"/>
  <c r="S54" l="1"/>
  <c r="M54"/>
  <c r="I54"/>
  <c r="I42"/>
  <c r="I41"/>
  <c r="Y97"/>
  <c r="X97"/>
  <c r="W97"/>
  <c r="V97"/>
  <c r="G99"/>
  <c r="R70"/>
  <c r="R74"/>
  <c r="AL97"/>
  <c r="AM97"/>
  <c r="M96"/>
  <c r="I96"/>
  <c r="M95"/>
  <c r="N95" s="1"/>
  <c r="R95" s="1"/>
  <c r="M94"/>
  <c r="I94"/>
  <c r="M93"/>
  <c r="I93"/>
  <c r="M92"/>
  <c r="N92" s="1"/>
  <c r="R92" s="1"/>
  <c r="M91"/>
  <c r="N91" s="1"/>
  <c r="R91" s="1"/>
  <c r="M90"/>
  <c r="N90" s="1"/>
  <c r="R90" s="1"/>
  <c r="M89"/>
  <c r="N89" s="1"/>
  <c r="R89" s="1"/>
  <c r="M88"/>
  <c r="N88" s="1"/>
  <c r="R88" s="1"/>
  <c r="M87"/>
  <c r="N87" s="1"/>
  <c r="R87" s="1"/>
  <c r="M86"/>
  <c r="N86" s="1"/>
  <c r="R86" s="1"/>
  <c r="M85"/>
  <c r="N85" s="1"/>
  <c r="R85" s="1"/>
  <c r="K84"/>
  <c r="M83"/>
  <c r="N83" s="1"/>
  <c r="R83" s="1"/>
  <c r="M82"/>
  <c r="I82"/>
  <c r="M81"/>
  <c r="N81" s="1"/>
  <c r="R81" s="1"/>
  <c r="I81"/>
  <c r="M80"/>
  <c r="N80" s="1"/>
  <c r="R80" s="1"/>
  <c r="M79"/>
  <c r="I79"/>
  <c r="M78"/>
  <c r="I78"/>
  <c r="M77"/>
  <c r="I77"/>
  <c r="M76"/>
  <c r="N76" s="1"/>
  <c r="R76" s="1"/>
  <c r="M75"/>
  <c r="N75" s="1"/>
  <c r="R75" s="1"/>
  <c r="M74"/>
  <c r="N74" s="1"/>
  <c r="M73"/>
  <c r="N73" s="1"/>
  <c r="R73" s="1"/>
  <c r="M72"/>
  <c r="N72" s="1"/>
  <c r="R72" s="1"/>
  <c r="M71"/>
  <c r="N71" s="1"/>
  <c r="R71" s="1"/>
  <c r="M70"/>
  <c r="N70" s="1"/>
  <c r="M69"/>
  <c r="N69" s="1"/>
  <c r="R69" s="1"/>
  <c r="M68"/>
  <c r="N68" s="1"/>
  <c r="R68" s="1"/>
  <c r="M67"/>
  <c r="N67" s="1"/>
  <c r="R67" s="1"/>
  <c r="M66"/>
  <c r="N66" s="1"/>
  <c r="R66" s="1"/>
  <c r="K65"/>
  <c r="AN98" l="1"/>
  <c r="N77"/>
  <c r="R77" s="1"/>
  <c r="N82"/>
  <c r="R82" s="1"/>
  <c r="N93"/>
  <c r="R93" s="1"/>
  <c r="N94"/>
  <c r="R94" s="1"/>
  <c r="N96"/>
  <c r="N79"/>
  <c r="R79" s="1"/>
  <c r="N78"/>
  <c r="R78" s="1"/>
  <c r="I84"/>
  <c r="I65"/>
  <c r="AN99"/>
  <c r="C99" l="1"/>
  <c r="C100" s="1"/>
  <c r="T67" s="1"/>
  <c r="N84"/>
  <c r="R96"/>
  <c r="N65"/>
  <c r="G98" l="1"/>
  <c r="R84"/>
  <c r="G101"/>
  <c r="K19"/>
  <c r="I19"/>
  <c r="W27" l="1"/>
  <c r="X27"/>
  <c r="Y27"/>
  <c r="Z27"/>
  <c r="AA27"/>
  <c r="AB27"/>
  <c r="AC27"/>
  <c r="V27"/>
  <c r="L54"/>
  <c r="M59"/>
  <c r="M57"/>
  <c r="H59"/>
  <c r="H58"/>
  <c r="H57"/>
  <c r="K39"/>
  <c r="G47" s="1"/>
  <c r="D44" s="1"/>
  <c r="K16"/>
  <c r="I16"/>
  <c r="L18"/>
  <c r="L17"/>
  <c r="G31"/>
  <c r="D28" s="1"/>
  <c r="G28" l="1"/>
  <c r="G32" s="1"/>
  <c r="G30" l="1"/>
  <c r="I40" s="1"/>
  <c r="I39" s="1"/>
  <c r="G44" s="1"/>
  <c r="G46" s="1"/>
  <c r="G48" l="1"/>
</calcChain>
</file>

<file path=xl/comments1.xml><?xml version="1.0" encoding="utf-8"?>
<comments xmlns="http://schemas.openxmlformats.org/spreadsheetml/2006/main">
  <authors>
    <author>splanas</author>
  </authors>
  <commentList>
    <comment ref="I54" authorId="0">
      <text>
        <r>
          <rPr>
            <b/>
            <sz val="9"/>
            <color indexed="81"/>
            <rFont val="Tahoma"/>
            <charset val="1"/>
          </rPr>
          <t>CALOR A DISIPAR POR OFERTA COSTAN</t>
        </r>
      </text>
    </comment>
  </commentList>
</comments>
</file>

<file path=xl/sharedStrings.xml><?xml version="1.0" encoding="utf-8"?>
<sst xmlns="http://schemas.openxmlformats.org/spreadsheetml/2006/main" count="411" uniqueCount="221">
  <si>
    <t>PROJECT:</t>
  </si>
  <si>
    <t>PROJECT ID:</t>
  </si>
  <si>
    <t>DATE:</t>
  </si>
  <si>
    <t>REV. #:</t>
  </si>
  <si>
    <t>RACK A</t>
  </si>
  <si>
    <t xml:space="preserve">Refrigerant: </t>
  </si>
  <si>
    <t>ID</t>
  </si>
  <si>
    <t>Load Description</t>
  </si>
  <si>
    <t>Defrost Type</t>
  </si>
  <si>
    <t>Remarks</t>
  </si>
  <si>
    <t>LOOP A</t>
  </si>
  <si>
    <t>A1</t>
  </si>
  <si>
    <t>N/A</t>
  </si>
  <si>
    <t>EL</t>
  </si>
  <si>
    <t>A2</t>
  </si>
  <si>
    <r>
      <t>Room Temp. (</t>
    </r>
    <r>
      <rPr>
        <b/>
        <sz val="8"/>
        <color indexed="8"/>
        <rFont val="Times New Roman"/>
        <family val="1"/>
      </rPr>
      <t>˚</t>
    </r>
    <r>
      <rPr>
        <b/>
        <sz val="8"/>
        <color indexed="8"/>
        <rFont val="Arial"/>
        <family val="2"/>
      </rPr>
      <t>F)</t>
    </r>
  </si>
  <si>
    <r>
      <t>Evap. Temp. (</t>
    </r>
    <r>
      <rPr>
        <b/>
        <sz val="8"/>
        <color indexed="8"/>
        <rFont val="Times New Roman"/>
        <family val="1"/>
      </rPr>
      <t>˚</t>
    </r>
    <r>
      <rPr>
        <b/>
        <sz val="8"/>
        <color indexed="8"/>
        <rFont val="Arial"/>
        <family val="2"/>
      </rPr>
      <t>F)</t>
    </r>
  </si>
  <si>
    <r>
      <t>TD (</t>
    </r>
    <r>
      <rPr>
        <b/>
        <sz val="8"/>
        <color indexed="8"/>
        <rFont val="Times New Roman"/>
        <family val="1"/>
      </rPr>
      <t>˚</t>
    </r>
    <r>
      <rPr>
        <b/>
        <sz val="8"/>
        <color indexed="8"/>
        <rFont val="Arial"/>
        <family val="2"/>
      </rPr>
      <t>F)</t>
    </r>
  </si>
  <si>
    <t>LOOP B</t>
  </si>
  <si>
    <t>B1</t>
  </si>
  <si>
    <t>LOOP C</t>
  </si>
  <si>
    <t>C1</t>
  </si>
  <si>
    <t>D1</t>
  </si>
  <si>
    <t>D2</t>
  </si>
  <si>
    <t>Stub Sizes</t>
  </si>
  <si>
    <t>Oil Type:</t>
  </si>
  <si>
    <t>POE</t>
  </si>
  <si>
    <t>Total Load:</t>
  </si>
  <si>
    <t>Power Voltage:</t>
  </si>
  <si>
    <t>Control Voltage:</t>
  </si>
  <si>
    <t>Controller Type:</t>
  </si>
  <si>
    <r>
      <t>Supply (</t>
    </r>
    <r>
      <rPr>
        <b/>
        <sz val="8"/>
        <color indexed="8"/>
        <rFont val="Times New Roman"/>
        <family val="1"/>
      </rPr>
      <t>˚</t>
    </r>
    <r>
      <rPr>
        <b/>
        <sz val="8"/>
        <color indexed="8"/>
        <rFont val="Arial"/>
        <family val="2"/>
      </rPr>
      <t>F)</t>
    </r>
  </si>
  <si>
    <t>Flow (GPM)</t>
  </si>
  <si>
    <r>
      <t>Return (</t>
    </r>
    <r>
      <rPr>
        <b/>
        <sz val="8"/>
        <color indexed="8"/>
        <rFont val="Times New Roman"/>
        <family val="1"/>
      </rPr>
      <t>˚</t>
    </r>
    <r>
      <rPr>
        <b/>
        <sz val="8"/>
        <color indexed="8"/>
        <rFont val="Arial"/>
        <family val="2"/>
      </rPr>
      <t>F)</t>
    </r>
  </si>
  <si>
    <t>OC</t>
  </si>
  <si>
    <t>Density:</t>
  </si>
  <si>
    <t>Specific Heat:</t>
  </si>
  <si>
    <t>lb/ft3</t>
  </si>
  <si>
    <t>BTU/lbF</t>
  </si>
  <si>
    <t>24' Deli Multideck</t>
  </si>
  <si>
    <t>Meat Cooler</t>
  </si>
  <si>
    <t>Supply Temp.:</t>
  </si>
  <si>
    <t>Total Flow:</t>
  </si>
  <si>
    <t>GPM</t>
  </si>
  <si>
    <t>B2</t>
  </si>
  <si>
    <t>C2</t>
  </si>
  <si>
    <t>D3</t>
  </si>
  <si>
    <t>Propylene Glycol 35% V/V</t>
  </si>
  <si>
    <t>B3</t>
  </si>
  <si>
    <t>B4</t>
  </si>
  <si>
    <t>-</t>
  </si>
  <si>
    <t>Evap.Temp.:</t>
  </si>
  <si>
    <t>C3</t>
  </si>
  <si>
    <t>C4</t>
  </si>
  <si>
    <t>C5</t>
  </si>
  <si>
    <t>C6</t>
  </si>
  <si>
    <t>C7</t>
  </si>
  <si>
    <t>C8</t>
  </si>
  <si>
    <t>C9</t>
  </si>
  <si>
    <t>C10</t>
  </si>
  <si>
    <t>LOOP D</t>
  </si>
  <si>
    <t>C11</t>
  </si>
  <si>
    <t>C12</t>
  </si>
  <si>
    <t>C13</t>
  </si>
  <si>
    <t>C14</t>
  </si>
  <si>
    <t>Deli Preparation Room</t>
  </si>
  <si>
    <t>Meat Preparation Room</t>
  </si>
  <si>
    <t>C15</t>
  </si>
  <si>
    <t>480/60/3</t>
  </si>
  <si>
    <t>Model</t>
  </si>
  <si>
    <t>Dimensions (ft)</t>
  </si>
  <si>
    <t>W</t>
  </si>
  <si>
    <t>L</t>
  </si>
  <si>
    <t>H</t>
  </si>
  <si>
    <t>(Include step-down transformer)</t>
  </si>
  <si>
    <t>Condensing Temperatue:</t>
  </si>
  <si>
    <t>12' Frozen Food Reach-In</t>
  </si>
  <si>
    <t xml:space="preserve">(1) Cayman H20, 1x375 </t>
  </si>
  <si>
    <t>Summary Suction Group</t>
  </si>
  <si>
    <r>
      <rPr>
        <b/>
        <sz val="8"/>
        <color indexed="8"/>
        <rFont val="Arial"/>
        <family val="2"/>
      </rPr>
      <t>°</t>
    </r>
    <r>
      <rPr>
        <b/>
        <i/>
        <sz val="8"/>
        <color indexed="8"/>
        <rFont val="Arial"/>
        <family val="2"/>
      </rPr>
      <t>F</t>
    </r>
  </si>
  <si>
    <t>kBTU/h</t>
  </si>
  <si>
    <t>Reserve:</t>
  </si>
  <si>
    <t>Required Cap.:</t>
  </si>
  <si>
    <t>Heat Rejection:</t>
  </si>
  <si>
    <t>R-404A</t>
  </si>
  <si>
    <t xml:space="preserve">Secondary Fluid: </t>
  </si>
  <si>
    <t>24' Dairy Multideck</t>
  </si>
  <si>
    <t>MT SECONDARY LOADS</t>
  </si>
  <si>
    <t>Description</t>
  </si>
  <si>
    <t>THR</t>
  </si>
  <si>
    <r>
      <t>Amb. Temp. (</t>
    </r>
    <r>
      <rPr>
        <b/>
        <sz val="8"/>
        <color indexed="8"/>
        <rFont val="Times New Roman"/>
        <family val="1"/>
      </rPr>
      <t>˚</t>
    </r>
    <r>
      <rPr>
        <b/>
        <sz val="8"/>
        <color indexed="8"/>
        <rFont val="Arial"/>
        <family val="2"/>
      </rPr>
      <t>F)</t>
    </r>
  </si>
  <si>
    <r>
      <t>Cond. Temp. (</t>
    </r>
    <r>
      <rPr>
        <b/>
        <sz val="8"/>
        <color indexed="8"/>
        <rFont val="Times New Roman"/>
        <family val="1"/>
      </rPr>
      <t>˚</t>
    </r>
    <r>
      <rPr>
        <b/>
        <sz val="8"/>
        <color indexed="8"/>
        <rFont val="Arial"/>
        <family val="2"/>
      </rPr>
      <t>F)</t>
    </r>
  </si>
  <si>
    <t>Capacity (MBH)</t>
  </si>
  <si>
    <t>Rack A Condenser</t>
  </si>
  <si>
    <t>+113ºF CONDENSING GROUP</t>
  </si>
  <si>
    <t>R-404A,DX</t>
  </si>
  <si>
    <t>Subcooled Liquid Temperature:</t>
  </si>
  <si>
    <t>65°F</t>
  </si>
  <si>
    <t>LT Liquid Subcooler</t>
  </si>
  <si>
    <t>+12F SUCTION GROUP</t>
  </si>
  <si>
    <t>113°F</t>
  </si>
  <si>
    <t>Liq.: 7/8"                 Suct.: 2 5/8"</t>
  </si>
  <si>
    <t>BIOMERCADOS SANTA CECILIA</t>
  </si>
  <si>
    <t>VALENCIA</t>
  </si>
  <si>
    <t>OM15-2441</t>
  </si>
  <si>
    <t>General Freezer</t>
  </si>
  <si>
    <t>Fish Freezer</t>
  </si>
  <si>
    <t>8' Frozen Food Reach-In</t>
  </si>
  <si>
    <t>(1) Cayman H20, 1x250</t>
  </si>
  <si>
    <t>Corridor, Section 1</t>
  </si>
  <si>
    <t>Fish Cooler</t>
  </si>
  <si>
    <t>Fish Preparation Room</t>
  </si>
  <si>
    <t>Fish Sale Area</t>
  </si>
  <si>
    <t>Deli Sale Area</t>
  </si>
  <si>
    <t>EVR</t>
  </si>
  <si>
    <t>V. Bola</t>
  </si>
  <si>
    <t>V. Sol</t>
  </si>
  <si>
    <t>Filtros</t>
  </si>
  <si>
    <t>DN32</t>
  </si>
  <si>
    <t>DN25</t>
  </si>
  <si>
    <t>DN20</t>
  </si>
  <si>
    <t>DN15</t>
  </si>
  <si>
    <t>TWA-Z</t>
  </si>
  <si>
    <t>AMI-140</t>
  </si>
  <si>
    <t>2 1/8" (2)</t>
  </si>
  <si>
    <t>V. Bola Suc.</t>
  </si>
  <si>
    <t>2 1/8" (1)</t>
  </si>
  <si>
    <t>V. Bola Liq.</t>
  </si>
  <si>
    <t>5/8" (2)</t>
  </si>
  <si>
    <t>5/8" (1)</t>
  </si>
  <si>
    <t>1 1/8" (1)</t>
  </si>
  <si>
    <t>1/2" (1)</t>
  </si>
  <si>
    <t>C-084 (1)</t>
  </si>
  <si>
    <t>(1) Giant BT 4P H20</t>
  </si>
  <si>
    <t>Frozen Food Reach-In</t>
  </si>
  <si>
    <t>B5</t>
  </si>
  <si>
    <t>B6</t>
  </si>
  <si>
    <t>B7</t>
  </si>
  <si>
    <t>Deli &amp; Dairy Cooler</t>
  </si>
  <si>
    <t>Returns Cooler</t>
  </si>
  <si>
    <t>12' Fish Curved Glass</t>
  </si>
  <si>
    <t>(1) Piazzolla 3M1 1x375</t>
  </si>
  <si>
    <t>(2) Lion Large H20 2V 3M2 2x375</t>
  </si>
  <si>
    <t>(1) Serval Large 2V 3M2 MT200</t>
  </si>
  <si>
    <t>(2) Serval Large 2V 3M2 2x375</t>
  </si>
  <si>
    <t>C16</t>
  </si>
  <si>
    <t>C17</t>
  </si>
  <si>
    <t>8' Deli Multideck</t>
  </si>
  <si>
    <t>Dimensions / Model</t>
  </si>
  <si>
    <t>MBH</t>
  </si>
  <si>
    <t>W (ft)</t>
  </si>
  <si>
    <t>L (ft)</t>
  </si>
  <si>
    <t>H (ft)</t>
  </si>
  <si>
    <t>Stubs Size: 3" NPT</t>
  </si>
  <si>
    <t>FLW-3405A</t>
  </si>
  <si>
    <t>EDW-2306C</t>
  </si>
  <si>
    <t>Corridor, Section 2</t>
  </si>
  <si>
    <t>EDW-2406C</t>
  </si>
  <si>
    <t>FLW-3406A C/R</t>
  </si>
  <si>
    <t>FLW-4405A C/R</t>
  </si>
  <si>
    <t>EDW-1406C</t>
  </si>
  <si>
    <t>Dock Area</t>
  </si>
  <si>
    <t>EDW-5306C</t>
  </si>
  <si>
    <t>EDW-1306C</t>
  </si>
  <si>
    <t>24' Deli Curved Glass</t>
  </si>
  <si>
    <t>(2) Piazzolla 3M2 2x375</t>
  </si>
  <si>
    <t>C18</t>
  </si>
  <si>
    <t>F &amp; V Preparation Room</t>
  </si>
  <si>
    <t>D4</t>
  </si>
  <si>
    <t>F &amp; V Cooler</t>
  </si>
  <si>
    <t>FLW-2303A</t>
  </si>
  <si>
    <t>D5</t>
  </si>
  <si>
    <t>12' Meat Multideck</t>
  </si>
  <si>
    <t>(1) Lion Large H20 2V 3M1 1x375</t>
  </si>
  <si>
    <t>D6</t>
  </si>
  <si>
    <t>MT Meat Island</t>
  </si>
  <si>
    <t>(1) Tortuga 3M1 1xMT</t>
  </si>
  <si>
    <t>D7</t>
  </si>
  <si>
    <t>12' Meat Island</t>
  </si>
  <si>
    <t>(1) Tortuga 3M1 1x375</t>
  </si>
  <si>
    <t>D8</t>
  </si>
  <si>
    <t>D9</t>
  </si>
  <si>
    <t>16' F &amp; V Multideck</t>
  </si>
  <si>
    <r>
      <t>(2) Lion 1V H20 3M2 2x</t>
    </r>
    <r>
      <rPr>
        <i/>
        <sz val="8"/>
        <color indexed="8"/>
        <rFont val="Arial"/>
        <family val="2"/>
      </rPr>
      <t>250</t>
    </r>
    <r>
      <rPr>
        <sz val="8"/>
        <color indexed="8"/>
        <rFont val="Arial"/>
        <family val="2"/>
      </rPr>
      <t/>
    </r>
  </si>
  <si>
    <t>D10</t>
  </si>
  <si>
    <t>24' F &amp; V Multideck</t>
  </si>
  <si>
    <t>(2) Lion 1V H20 3M2 2x375</t>
  </si>
  <si>
    <t>D11</t>
  </si>
  <si>
    <t>8' F &amp; V Multideck</t>
  </si>
  <si>
    <r>
      <t>(1) Lion 1V H20 3M2 1x</t>
    </r>
    <r>
      <rPr>
        <i/>
        <sz val="8"/>
        <color indexed="8"/>
        <rFont val="Arial"/>
        <family val="2"/>
      </rPr>
      <t>250</t>
    </r>
    <r>
      <rPr>
        <sz val="8"/>
        <color indexed="8"/>
        <rFont val="Arial"/>
        <family val="2"/>
      </rPr>
      <t/>
    </r>
  </si>
  <si>
    <t>D12</t>
  </si>
  <si>
    <t>20' F &amp; V Multideck</t>
  </si>
  <si>
    <r>
      <t>(2) Lion 1V H20 3M2 1x375+</t>
    </r>
    <r>
      <rPr>
        <i/>
        <sz val="8"/>
        <color indexed="8"/>
        <rFont val="Arial"/>
        <family val="2"/>
      </rPr>
      <t>250</t>
    </r>
    <r>
      <rPr>
        <sz val="8"/>
        <color indexed="8"/>
        <rFont val="Arial"/>
        <family val="2"/>
      </rPr>
      <t/>
    </r>
  </si>
  <si>
    <t>Summary HT Secondary Loads</t>
  </si>
  <si>
    <t>F</t>
  </si>
  <si>
    <t>DANFOSS AK-SM880 LON RS485</t>
  </si>
  <si>
    <t>208-230/60/1</t>
  </si>
  <si>
    <t>-34ºF SUCTION GROUP</t>
  </si>
  <si>
    <t xml:space="preserve">In </t>
  </si>
  <si>
    <t>Out</t>
  </si>
  <si>
    <t>M. Expansión</t>
  </si>
  <si>
    <t>Sensores</t>
  </si>
  <si>
    <t>Fuente de P.</t>
  </si>
  <si>
    <t>M. Com.</t>
  </si>
  <si>
    <t>(1) MPL-290</t>
  </si>
  <si>
    <t>TES5</t>
  </si>
  <si>
    <t>C-305 (1)</t>
  </si>
  <si>
    <t>1 1/8" (7)</t>
  </si>
  <si>
    <t>1/2" (7)</t>
  </si>
  <si>
    <t>C-084S (7)</t>
  </si>
  <si>
    <t>C-305S (2)</t>
  </si>
  <si>
    <t>EVR 6 (2)</t>
  </si>
  <si>
    <t>EVR 3 (7)</t>
  </si>
  <si>
    <t>Subtotal de Carga:</t>
  </si>
  <si>
    <t>Reserva (15%):</t>
  </si>
  <si>
    <t>Calor de Bombas:</t>
  </si>
  <si>
    <t>Returns Temp.:</t>
  </si>
  <si>
    <t>MT Glycol Chiller 1</t>
  </si>
  <si>
    <t>MT Glycol Chiller 2</t>
  </si>
  <si>
    <t>(2) ACC154-12D6A1A32B</t>
  </si>
  <si>
    <t>Reserva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</si>
</sst>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0.0"/>
    <numFmt numFmtId="166" formatCode="00"/>
  </numFmts>
  <fonts count="18">
    <font>
      <sz val="8"/>
      <color theme="1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8"/>
      <color indexed="8"/>
      <name val="Arial"/>
      <family val="2"/>
    </font>
    <font>
      <b/>
      <sz val="9"/>
      <color indexed="81"/>
      <name val="Tahoma"/>
      <charset val="1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b/>
      <i/>
      <sz val="12"/>
      <color theme="1"/>
      <name val="Arial"/>
      <family val="2"/>
    </font>
    <font>
      <i/>
      <sz val="8"/>
      <color theme="1"/>
      <name val="Arial"/>
      <family val="2"/>
    </font>
    <font>
      <b/>
      <i/>
      <sz val="9"/>
      <color theme="1"/>
      <name val="Arial"/>
      <family val="2"/>
    </font>
    <font>
      <b/>
      <i/>
      <u/>
      <sz val="10"/>
      <color theme="1"/>
      <name val="Arial"/>
      <family val="2"/>
    </font>
    <font>
      <b/>
      <sz val="8"/>
      <color rgb="FF0070C0"/>
      <name val="Arial"/>
      <family val="2"/>
    </font>
    <font>
      <b/>
      <sz val="8"/>
      <color rgb="FFFF0000"/>
      <name val="Arial"/>
      <family val="2"/>
    </font>
    <font>
      <sz val="8"/>
      <color theme="1"/>
      <name val="Calibri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164" fontId="8" fillId="0" borderId="7" xfId="0" applyNumberFormat="1" applyFont="1" applyBorder="1" applyAlignment="1">
      <alignment horizontal="right" vertical="center"/>
    </xf>
    <xf numFmtId="165" fontId="10" fillId="0" borderId="11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164" fontId="8" fillId="0" borderId="0" xfId="0" applyNumberFormat="1" applyFont="1" applyBorder="1" applyAlignment="1">
      <alignment horizontal="right" vertical="center"/>
    </xf>
    <xf numFmtId="0" fontId="8" fillId="0" borderId="18" xfId="0" applyFont="1" applyBorder="1" applyAlignment="1">
      <alignment horizontal="left" vertical="center"/>
    </xf>
    <xf numFmtId="165" fontId="8" fillId="0" borderId="1" xfId="0" applyNumberFormat="1" applyFont="1" applyBorder="1" applyAlignment="1">
      <alignment horizontal="right" vertical="center"/>
    </xf>
    <xf numFmtId="164" fontId="0" fillId="0" borderId="3" xfId="0" applyNumberFormat="1" applyFill="1" applyBorder="1" applyAlignment="1">
      <alignment horizontal="center" vertical="center"/>
    </xf>
    <xf numFmtId="164" fontId="0" fillId="0" borderId="11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4" borderId="12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8" fillId="0" borderId="0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164" fontId="8" fillId="0" borderId="0" xfId="0" applyNumberFormat="1" applyFont="1" applyBorder="1" applyAlignment="1">
      <alignment horizontal="center" vertical="center"/>
    </xf>
    <xf numFmtId="1" fontId="8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9" fontId="12" fillId="0" borderId="0" xfId="0" applyNumberFormat="1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64" fontId="10" fillId="0" borderId="11" xfId="0" applyNumberFormat="1" applyFont="1" applyBorder="1" applyAlignment="1">
      <alignment horizontal="left" vertical="center"/>
    </xf>
    <xf numFmtId="0" fontId="11" fillId="0" borderId="23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9" fontId="8" fillId="0" borderId="0" xfId="0" applyNumberFormat="1" applyFont="1" applyBorder="1" applyAlignment="1">
      <alignment horizontal="right" vertical="center"/>
    </xf>
    <xf numFmtId="165" fontId="8" fillId="0" borderId="0" xfId="0" applyNumberFormat="1" applyFont="1" applyBorder="1" applyAlignment="1">
      <alignment horizontal="right" vertical="center"/>
    </xf>
    <xf numFmtId="0" fontId="7" fillId="0" borderId="2" xfId="0" applyFont="1" applyFill="1" applyBorder="1" applyAlignment="1">
      <alignment vertical="center" wrapText="1"/>
    </xf>
    <xf numFmtId="0" fontId="7" fillId="7" borderId="16" xfId="0" applyFont="1" applyFill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7" fillId="6" borderId="3" xfId="0" applyFont="1" applyFill="1" applyBorder="1" applyAlignment="1">
      <alignment horizontal="center" vertical="center"/>
    </xf>
    <xf numFmtId="164" fontId="10" fillId="0" borderId="3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64" fontId="8" fillId="0" borderId="3" xfId="0" applyNumberFormat="1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17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0" fillId="0" borderId="9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7" fillId="3" borderId="13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3" borderId="5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left" vertical="center"/>
    </xf>
    <xf numFmtId="165" fontId="10" fillId="0" borderId="3" xfId="0" applyNumberFormat="1" applyFont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6" borderId="24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6" borderId="24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7" fillId="0" borderId="6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7" fillId="6" borderId="25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165" fontId="10" fillId="0" borderId="6" xfId="0" applyNumberFormat="1" applyFont="1" applyBorder="1" applyAlignment="1">
      <alignment horizontal="left" vertical="center"/>
    </xf>
    <xf numFmtId="165" fontId="10" fillId="0" borderId="7" xfId="0" applyNumberFormat="1" applyFont="1" applyBorder="1" applyAlignment="1">
      <alignment horizontal="left" vertical="center"/>
    </xf>
    <xf numFmtId="165" fontId="10" fillId="0" borderId="8" xfId="0" applyNumberFormat="1" applyFont="1" applyBorder="1" applyAlignment="1">
      <alignment horizontal="left" vertical="center"/>
    </xf>
    <xf numFmtId="0" fontId="11" fillId="0" borderId="23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14" fontId="8" fillId="0" borderId="1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7" fillId="4" borderId="14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0" fontId="7" fillId="6" borderId="26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left" vertical="center"/>
    </xf>
    <xf numFmtId="0" fontId="7" fillId="5" borderId="14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left" vertical="center"/>
    </xf>
    <xf numFmtId="0" fontId="7" fillId="0" borderId="28" xfId="0" applyFont="1" applyFill="1" applyBorder="1" applyAlignment="1">
      <alignment horizontal="center" vertical="center" wrapText="1"/>
    </xf>
    <xf numFmtId="0" fontId="7" fillId="0" borderId="29" xfId="0" applyFont="1" applyFill="1" applyBorder="1" applyAlignment="1">
      <alignment horizontal="center" vertical="center" wrapText="1"/>
    </xf>
    <xf numFmtId="0" fontId="7" fillId="6" borderId="30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/>
    </xf>
    <xf numFmtId="0" fontId="7" fillId="6" borderId="25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7" fillId="0" borderId="35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36" xfId="0" applyFont="1" applyFill="1" applyBorder="1" applyAlignment="1">
      <alignment horizontal="center" vertical="center" wrapText="1"/>
    </xf>
    <xf numFmtId="165" fontId="10" fillId="0" borderId="19" xfId="0" applyNumberFormat="1" applyFont="1" applyBorder="1" applyAlignment="1">
      <alignment horizontal="left" vertical="center"/>
    </xf>
    <xf numFmtId="165" fontId="10" fillId="0" borderId="37" xfId="0" applyNumberFormat="1" applyFont="1" applyBorder="1" applyAlignment="1">
      <alignment horizontal="left" vertical="center"/>
    </xf>
    <xf numFmtId="165" fontId="10" fillId="0" borderId="38" xfId="0" applyNumberFormat="1" applyFont="1" applyBorder="1" applyAlignment="1">
      <alignment horizontal="left" vertical="center"/>
    </xf>
    <xf numFmtId="165" fontId="4" fillId="0" borderId="22" xfId="0" applyNumberFormat="1" applyFont="1" applyBorder="1" applyAlignment="1">
      <alignment horizontal="center" vertical="center" wrapText="1"/>
    </xf>
    <xf numFmtId="165" fontId="4" fillId="0" borderId="39" xfId="0" applyNumberFormat="1" applyFont="1" applyBorder="1" applyAlignment="1">
      <alignment horizontal="center" vertical="center" wrapText="1"/>
    </xf>
    <xf numFmtId="0" fontId="7" fillId="6" borderId="4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horizontal="center" vertical="center" wrapText="1"/>
    </xf>
    <xf numFmtId="0" fontId="7" fillId="6" borderId="41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/>
    </xf>
    <xf numFmtId="0" fontId="7" fillId="6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/>
    </xf>
    <xf numFmtId="0" fontId="7" fillId="6" borderId="40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7" fillId="6" borderId="41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left" vertical="center"/>
    </xf>
    <xf numFmtId="0" fontId="7" fillId="7" borderId="37" xfId="0" applyFont="1" applyFill="1" applyBorder="1" applyAlignment="1">
      <alignment horizontal="left" vertical="center"/>
    </xf>
    <xf numFmtId="0" fontId="7" fillId="7" borderId="3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28575</xdr:rowOff>
    </xdr:from>
    <xdr:to>
      <xdr:col>2</xdr:col>
      <xdr:colOff>438150</xdr:colOff>
      <xdr:row>58</xdr:row>
      <xdr:rowOff>123825</xdr:rowOff>
    </xdr:to>
    <xdr:pic>
      <xdr:nvPicPr>
        <xdr:cNvPr id="2079" name="7 Imagen" descr="Logo TSM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26370" r="22716"/>
        <a:stretch>
          <a:fillRect/>
        </a:stretch>
      </xdr:blipFill>
      <xdr:spPr bwMode="auto">
        <a:xfrm>
          <a:off x="0" y="7820025"/>
          <a:ext cx="13716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9525</xdr:rowOff>
    </xdr:from>
    <xdr:to>
      <xdr:col>2</xdr:col>
      <xdr:colOff>438150</xdr:colOff>
      <xdr:row>3</xdr:row>
      <xdr:rowOff>104775</xdr:rowOff>
    </xdr:to>
    <xdr:pic>
      <xdr:nvPicPr>
        <xdr:cNvPr id="2080" name="8 Imagen" descr="Logo TSM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26370" r="22716"/>
        <a:stretch>
          <a:fillRect/>
        </a:stretch>
      </xdr:blipFill>
      <xdr:spPr bwMode="auto">
        <a:xfrm>
          <a:off x="0" y="9525"/>
          <a:ext cx="13716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AN127"/>
  <sheetViews>
    <sheetView tabSelected="1" view="pageBreakPreview" topLeftCell="A46" zoomScaleNormal="100" zoomScaleSheetLayoutView="100" workbookViewId="0">
      <selection activeCell="T67" sqref="T67"/>
    </sheetView>
  </sheetViews>
  <sheetFormatPr baseColWidth="10" defaultRowHeight="11.25"/>
  <cols>
    <col min="1" max="1" width="8" style="1" customWidth="1"/>
    <col min="2" max="2" width="8.33203125" style="1" customWidth="1"/>
    <col min="3" max="3" width="10.1640625" style="1" customWidth="1"/>
    <col min="4" max="4" width="9.33203125" style="1" customWidth="1"/>
    <col min="5" max="7" width="6.6640625" style="1" customWidth="1"/>
    <col min="8" max="8" width="18.1640625" style="1" customWidth="1"/>
    <col min="9" max="9" width="8.33203125" style="1" customWidth="1"/>
    <col min="10" max="10" width="8.1640625" style="1" customWidth="1"/>
    <col min="11" max="11" width="7.6640625" style="1" customWidth="1"/>
    <col min="12" max="18" width="8.33203125" style="1" customWidth="1"/>
    <col min="19" max="19" width="12.33203125" style="1" bestFit="1" customWidth="1"/>
    <col min="20" max="21" width="8.33203125" style="1" customWidth="1"/>
    <col min="22" max="22" width="7.5" style="1" customWidth="1"/>
    <col min="23" max="23" width="6.1640625" style="1" customWidth="1"/>
    <col min="24" max="24" width="6.83203125" style="1" customWidth="1"/>
    <col min="25" max="26" width="7.1640625" style="1" customWidth="1"/>
    <col min="27" max="27" width="8.6640625" style="1" customWidth="1"/>
    <col min="28" max="28" width="9" style="1" customWidth="1"/>
    <col min="29" max="29" width="9.5" style="1" customWidth="1"/>
    <col min="30" max="30" width="7.33203125" customWidth="1"/>
    <col min="31" max="31" width="10" customWidth="1"/>
    <col min="32" max="32" width="9.5" customWidth="1"/>
    <col min="33" max="33" width="8.6640625" customWidth="1"/>
    <col min="34" max="37" width="12" customWidth="1"/>
  </cols>
  <sheetData>
    <row r="2" spans="1:39">
      <c r="F2" s="2" t="s">
        <v>0</v>
      </c>
      <c r="H2" s="152" t="s">
        <v>102</v>
      </c>
      <c r="I2" s="152"/>
      <c r="J2" s="152"/>
      <c r="K2" s="152"/>
      <c r="L2" s="2" t="s">
        <v>2</v>
      </c>
      <c r="M2" s="149">
        <v>42796</v>
      </c>
      <c r="N2" s="149"/>
      <c r="AB2"/>
      <c r="AC2"/>
    </row>
    <row r="3" spans="1:39">
      <c r="F3" s="2"/>
      <c r="G3" s="4"/>
      <c r="H3" s="141" t="s">
        <v>103</v>
      </c>
      <c r="I3" s="141"/>
      <c r="J3" s="141"/>
      <c r="K3" s="6"/>
      <c r="L3" s="2"/>
      <c r="M3" s="150"/>
      <c r="N3" s="150"/>
      <c r="AB3"/>
      <c r="AC3"/>
    </row>
    <row r="4" spans="1:39">
      <c r="F4" s="2" t="s">
        <v>1</v>
      </c>
      <c r="G4" s="4"/>
      <c r="H4" s="141" t="s">
        <v>104</v>
      </c>
      <c r="I4" s="141"/>
      <c r="J4" s="141"/>
      <c r="K4" s="6"/>
      <c r="L4" s="2" t="s">
        <v>3</v>
      </c>
      <c r="M4" s="151">
        <v>0</v>
      </c>
      <c r="N4" s="151"/>
    </row>
    <row r="6" spans="1:39" ht="15">
      <c r="A6" s="17" t="s">
        <v>4</v>
      </c>
    </row>
    <row r="7" spans="1:39">
      <c r="A7" s="22" t="s">
        <v>5</v>
      </c>
      <c r="C7" s="80" t="s">
        <v>84</v>
      </c>
      <c r="E7" s="22" t="s">
        <v>28</v>
      </c>
      <c r="H7" s="83" t="s">
        <v>68</v>
      </c>
      <c r="I7" s="83"/>
      <c r="J7" s="4" t="s">
        <v>30</v>
      </c>
      <c r="L7" s="119" t="s">
        <v>195</v>
      </c>
      <c r="M7" s="119"/>
      <c r="N7" s="119"/>
      <c r="O7" s="119"/>
    </row>
    <row r="8" spans="1:39">
      <c r="A8" s="22" t="s">
        <v>25</v>
      </c>
      <c r="C8" s="23" t="s">
        <v>26</v>
      </c>
      <c r="E8" s="22" t="s">
        <v>29</v>
      </c>
      <c r="H8" s="120" t="s">
        <v>196</v>
      </c>
      <c r="I8" s="120"/>
      <c r="J8" s="120"/>
    </row>
    <row r="9" spans="1:39">
      <c r="A9" s="4"/>
      <c r="C9" s="7"/>
      <c r="G9" s="83"/>
      <c r="H9" s="84" t="s">
        <v>74</v>
      </c>
      <c r="I9" s="83"/>
    </row>
    <row r="10" spans="1:39" ht="12.75">
      <c r="A10" s="31" t="s">
        <v>197</v>
      </c>
      <c r="C10" s="7"/>
    </row>
    <row r="11" spans="1:39">
      <c r="A11" s="22" t="s">
        <v>5</v>
      </c>
      <c r="C11" s="80" t="s">
        <v>95</v>
      </c>
    </row>
    <row r="12" spans="1:39">
      <c r="A12" s="4" t="s">
        <v>75</v>
      </c>
      <c r="D12" s="80" t="s">
        <v>100</v>
      </c>
    </row>
    <row r="13" spans="1:39" ht="12" thickBot="1">
      <c r="A13" s="4" t="s">
        <v>96</v>
      </c>
      <c r="D13" s="80" t="s">
        <v>97</v>
      </c>
    </row>
    <row r="14" spans="1:39" ht="12" customHeight="1" thickTop="1">
      <c r="A14" s="164" t="s">
        <v>6</v>
      </c>
      <c r="B14" s="129" t="s">
        <v>7</v>
      </c>
      <c r="C14" s="129"/>
      <c r="D14" s="129"/>
      <c r="E14" s="129" t="s">
        <v>70</v>
      </c>
      <c r="F14" s="129"/>
      <c r="G14" s="129"/>
      <c r="H14" s="142" t="s">
        <v>69</v>
      </c>
      <c r="I14" s="129" t="s">
        <v>80</v>
      </c>
      <c r="J14" s="127" t="s">
        <v>15</v>
      </c>
      <c r="K14" s="127" t="s">
        <v>16</v>
      </c>
      <c r="L14" s="129" t="s">
        <v>17</v>
      </c>
      <c r="M14" s="127" t="s">
        <v>8</v>
      </c>
      <c r="N14" s="129" t="s">
        <v>24</v>
      </c>
      <c r="O14" s="129"/>
      <c r="P14" s="129" t="s">
        <v>9</v>
      </c>
      <c r="Q14" s="156"/>
    </row>
    <row r="15" spans="1:39">
      <c r="A15" s="165"/>
      <c r="B15" s="130"/>
      <c r="C15" s="130"/>
      <c r="D15" s="130"/>
      <c r="E15" s="75" t="s">
        <v>72</v>
      </c>
      <c r="F15" s="75" t="s">
        <v>71</v>
      </c>
      <c r="G15" s="75" t="s">
        <v>73</v>
      </c>
      <c r="H15" s="143"/>
      <c r="I15" s="130"/>
      <c r="J15" s="128"/>
      <c r="K15" s="128"/>
      <c r="L15" s="130"/>
      <c r="M15" s="128"/>
      <c r="N15" s="130"/>
      <c r="O15" s="130"/>
      <c r="P15" s="130"/>
      <c r="Q15" s="157"/>
      <c r="AL15" s="1"/>
      <c r="AM15" s="1"/>
    </row>
    <row r="16" spans="1:39" ht="12" customHeight="1">
      <c r="A16" s="147" t="s">
        <v>10</v>
      </c>
      <c r="B16" s="148"/>
      <c r="C16" s="148"/>
      <c r="D16" s="148"/>
      <c r="E16" s="148"/>
      <c r="F16" s="148"/>
      <c r="G16" s="148"/>
      <c r="H16" s="148"/>
      <c r="I16" s="11">
        <f>SUM(I17:I18)</f>
        <v>59</v>
      </c>
      <c r="J16" s="6"/>
      <c r="K16" s="12">
        <f>MIN(K17:K18)</f>
        <v>-16</v>
      </c>
      <c r="L16" s="6"/>
      <c r="M16" s="6"/>
      <c r="N16" s="132" t="s">
        <v>101</v>
      </c>
      <c r="O16" s="133"/>
      <c r="P16" s="132"/>
      <c r="Q16" s="162"/>
      <c r="V16" s="90" t="s">
        <v>205</v>
      </c>
      <c r="W16" s="1">
        <v>0</v>
      </c>
      <c r="X16" s="1">
        <v>1</v>
      </c>
      <c r="Y16" s="1">
        <v>2</v>
      </c>
      <c r="Z16" s="1">
        <v>3</v>
      </c>
      <c r="AA16" s="72">
        <v>4</v>
      </c>
      <c r="AB16" s="72">
        <v>5</v>
      </c>
      <c r="AC16" s="72">
        <v>6</v>
      </c>
      <c r="AD16" s="91" t="s">
        <v>114</v>
      </c>
      <c r="AE16" s="91" t="s">
        <v>125</v>
      </c>
      <c r="AF16" s="91" t="s">
        <v>127</v>
      </c>
      <c r="AG16" s="91" t="s">
        <v>117</v>
      </c>
      <c r="AI16" s="91" t="s">
        <v>115</v>
      </c>
      <c r="AJ16" s="91" t="s">
        <v>116</v>
      </c>
      <c r="AK16" s="91" t="s">
        <v>117</v>
      </c>
      <c r="AL16" s="1" t="s">
        <v>198</v>
      </c>
      <c r="AM16" s="1" t="s">
        <v>199</v>
      </c>
    </row>
    <row r="17" spans="1:39">
      <c r="A17" s="58" t="s">
        <v>11</v>
      </c>
      <c r="B17" s="158" t="s">
        <v>105</v>
      </c>
      <c r="C17" s="158"/>
      <c r="D17" s="158"/>
      <c r="E17" s="33">
        <v>28.2</v>
      </c>
      <c r="F17" s="33">
        <v>19.7</v>
      </c>
      <c r="G17" s="33">
        <v>9.8000000000000007</v>
      </c>
      <c r="H17" s="81" t="s">
        <v>204</v>
      </c>
      <c r="I17" s="44">
        <v>28.9</v>
      </c>
      <c r="J17" s="8">
        <v>-4</v>
      </c>
      <c r="K17" s="10">
        <v>-16</v>
      </c>
      <c r="L17" s="10">
        <f>J17-K17</f>
        <v>12</v>
      </c>
      <c r="M17" s="37" t="s">
        <v>13</v>
      </c>
      <c r="N17" s="134"/>
      <c r="O17" s="135"/>
      <c r="P17" s="134"/>
      <c r="Q17" s="163"/>
      <c r="R17" s="3"/>
      <c r="V17" s="1">
        <v>1</v>
      </c>
      <c r="X17" s="1">
        <v>1</v>
      </c>
      <c r="AD17" s="90">
        <v>6</v>
      </c>
      <c r="AE17" s="90" t="s">
        <v>126</v>
      </c>
      <c r="AF17" s="90" t="s">
        <v>129</v>
      </c>
      <c r="AG17" s="90" t="s">
        <v>206</v>
      </c>
      <c r="AI17" s="90" t="s">
        <v>124</v>
      </c>
      <c r="AJ17" s="90" t="s">
        <v>211</v>
      </c>
      <c r="AK17" s="90" t="s">
        <v>209</v>
      </c>
      <c r="AL17" s="1">
        <v>2</v>
      </c>
      <c r="AM17" s="1">
        <v>3</v>
      </c>
    </row>
    <row r="18" spans="1:39">
      <c r="A18" s="59" t="s">
        <v>14</v>
      </c>
      <c r="B18" s="159" t="s">
        <v>106</v>
      </c>
      <c r="C18" s="160"/>
      <c r="D18" s="161"/>
      <c r="E18" s="33">
        <v>16.100000000000001</v>
      </c>
      <c r="F18" s="33">
        <v>13.1</v>
      </c>
      <c r="G18" s="33">
        <v>9.8000000000000007</v>
      </c>
      <c r="H18" s="81" t="s">
        <v>204</v>
      </c>
      <c r="I18" s="45">
        <v>30.1</v>
      </c>
      <c r="J18" s="34">
        <v>-4</v>
      </c>
      <c r="K18" s="35">
        <v>-16</v>
      </c>
      <c r="L18" s="10">
        <f>J18-K18</f>
        <v>12</v>
      </c>
      <c r="M18" s="37" t="s">
        <v>13</v>
      </c>
      <c r="N18" s="134"/>
      <c r="O18" s="135"/>
      <c r="P18" s="134"/>
      <c r="Q18" s="163"/>
      <c r="V18" s="1">
        <v>1</v>
      </c>
      <c r="X18" s="1">
        <v>1</v>
      </c>
      <c r="AD18" s="90">
        <v>6</v>
      </c>
      <c r="AE18" s="90" t="s">
        <v>126</v>
      </c>
      <c r="AF18" s="90" t="s">
        <v>129</v>
      </c>
      <c r="AG18" s="90" t="s">
        <v>206</v>
      </c>
      <c r="AI18" s="90" t="s">
        <v>207</v>
      </c>
      <c r="AJ18" s="90" t="s">
        <v>212</v>
      </c>
      <c r="AK18" s="90" t="s">
        <v>210</v>
      </c>
      <c r="AL18" s="1">
        <v>2</v>
      </c>
      <c r="AM18" s="1">
        <v>3</v>
      </c>
    </row>
    <row r="19" spans="1:39" ht="12" customHeight="1">
      <c r="A19" s="147" t="s">
        <v>18</v>
      </c>
      <c r="B19" s="148"/>
      <c r="C19" s="148"/>
      <c r="D19" s="148"/>
      <c r="E19" s="148"/>
      <c r="F19" s="148"/>
      <c r="G19" s="148"/>
      <c r="H19" s="148"/>
      <c r="I19" s="11">
        <f>SUM(I20:I26)</f>
        <v>49</v>
      </c>
      <c r="J19" s="6"/>
      <c r="K19" s="12">
        <f>MIN(K20:K26)</f>
        <v>-31</v>
      </c>
      <c r="L19" s="6"/>
      <c r="M19" s="6"/>
      <c r="N19" s="132" t="s">
        <v>101</v>
      </c>
      <c r="O19" s="133"/>
      <c r="P19" s="166"/>
      <c r="Q19" s="162"/>
      <c r="AI19" s="90" t="s">
        <v>128</v>
      </c>
      <c r="AJ19" s="90"/>
      <c r="AL19" s="1"/>
      <c r="AM19" s="1"/>
    </row>
    <row r="20" spans="1:39" ht="12" customHeight="1">
      <c r="A20" s="53" t="s">
        <v>19</v>
      </c>
      <c r="B20" s="153" t="s">
        <v>134</v>
      </c>
      <c r="C20" s="154"/>
      <c r="D20" s="155"/>
      <c r="E20" s="144" t="s">
        <v>133</v>
      </c>
      <c r="F20" s="145"/>
      <c r="G20" s="145"/>
      <c r="H20" s="146"/>
      <c r="I20" s="45">
        <v>8</v>
      </c>
      <c r="J20" s="34" t="s">
        <v>12</v>
      </c>
      <c r="K20" s="35">
        <v>-29</v>
      </c>
      <c r="L20" s="35" t="s">
        <v>12</v>
      </c>
      <c r="M20" s="37" t="s">
        <v>13</v>
      </c>
      <c r="N20" s="134"/>
      <c r="O20" s="135"/>
      <c r="P20" s="167"/>
      <c r="Q20" s="163"/>
      <c r="AD20" s="90">
        <v>3</v>
      </c>
      <c r="AE20" s="90" t="s">
        <v>130</v>
      </c>
      <c r="AF20" s="90" t="s">
        <v>131</v>
      </c>
      <c r="AG20" s="90" t="s">
        <v>132</v>
      </c>
      <c r="AI20" s="90" t="s">
        <v>208</v>
      </c>
      <c r="AJ20" s="90"/>
      <c r="AL20" s="1">
        <v>2</v>
      </c>
      <c r="AM20" s="1">
        <v>3</v>
      </c>
    </row>
    <row r="21" spans="1:39" ht="12" customHeight="1">
      <c r="A21" s="53" t="s">
        <v>44</v>
      </c>
      <c r="B21" s="153" t="s">
        <v>134</v>
      </c>
      <c r="C21" s="154"/>
      <c r="D21" s="155"/>
      <c r="E21" s="144" t="s">
        <v>133</v>
      </c>
      <c r="F21" s="145"/>
      <c r="G21" s="145"/>
      <c r="H21" s="146"/>
      <c r="I21" s="45">
        <v>8</v>
      </c>
      <c r="J21" s="34" t="s">
        <v>12</v>
      </c>
      <c r="K21" s="35">
        <v>-29</v>
      </c>
      <c r="L21" s="35" t="s">
        <v>12</v>
      </c>
      <c r="M21" s="37" t="s">
        <v>13</v>
      </c>
      <c r="N21" s="134"/>
      <c r="O21" s="135"/>
      <c r="P21" s="167"/>
      <c r="Q21" s="163"/>
      <c r="AD21" s="90">
        <v>3</v>
      </c>
      <c r="AE21" s="90" t="s">
        <v>130</v>
      </c>
      <c r="AF21" s="90" t="s">
        <v>131</v>
      </c>
      <c r="AG21" s="90" t="s">
        <v>132</v>
      </c>
      <c r="AI21" s="90"/>
      <c r="AJ21" s="90"/>
      <c r="AL21" s="1">
        <v>2</v>
      </c>
      <c r="AM21" s="1">
        <v>3</v>
      </c>
    </row>
    <row r="22" spans="1:39" ht="12" customHeight="1">
      <c r="A22" s="53" t="s">
        <v>48</v>
      </c>
      <c r="B22" s="153" t="s">
        <v>107</v>
      </c>
      <c r="C22" s="154"/>
      <c r="D22" s="155"/>
      <c r="E22" s="144" t="s">
        <v>108</v>
      </c>
      <c r="F22" s="145"/>
      <c r="G22" s="145"/>
      <c r="H22" s="146"/>
      <c r="I22" s="45">
        <v>6</v>
      </c>
      <c r="J22" s="34" t="s">
        <v>12</v>
      </c>
      <c r="K22" s="35">
        <v>-31</v>
      </c>
      <c r="L22" s="35" t="s">
        <v>12</v>
      </c>
      <c r="M22" s="37" t="s">
        <v>13</v>
      </c>
      <c r="N22" s="134"/>
      <c r="O22" s="135"/>
      <c r="P22" s="167"/>
      <c r="Q22" s="163"/>
      <c r="AD22" s="90">
        <v>3</v>
      </c>
      <c r="AE22" s="90" t="s">
        <v>130</v>
      </c>
      <c r="AF22" s="90" t="s">
        <v>131</v>
      </c>
      <c r="AG22" s="90" t="s">
        <v>132</v>
      </c>
      <c r="AI22" s="90"/>
      <c r="AJ22" s="90"/>
      <c r="AL22" s="1">
        <v>2</v>
      </c>
      <c r="AM22" s="1">
        <v>3</v>
      </c>
    </row>
    <row r="23" spans="1:39" ht="12" customHeight="1">
      <c r="A23" s="53" t="s">
        <v>49</v>
      </c>
      <c r="B23" s="153" t="s">
        <v>107</v>
      </c>
      <c r="C23" s="154"/>
      <c r="D23" s="155"/>
      <c r="E23" s="144" t="s">
        <v>108</v>
      </c>
      <c r="F23" s="145"/>
      <c r="G23" s="145"/>
      <c r="H23" s="146"/>
      <c r="I23" s="45">
        <v>6</v>
      </c>
      <c r="J23" s="34" t="s">
        <v>12</v>
      </c>
      <c r="K23" s="35">
        <v>-31</v>
      </c>
      <c r="L23" s="35" t="s">
        <v>12</v>
      </c>
      <c r="M23" s="37" t="s">
        <v>13</v>
      </c>
      <c r="N23" s="134"/>
      <c r="O23" s="135"/>
      <c r="P23" s="167"/>
      <c r="Q23" s="163"/>
      <c r="W23" s="74"/>
      <c r="AD23" s="90">
        <v>3</v>
      </c>
      <c r="AE23" s="90" t="s">
        <v>130</v>
      </c>
      <c r="AF23" s="90" t="s">
        <v>131</v>
      </c>
      <c r="AG23" s="90" t="s">
        <v>132</v>
      </c>
      <c r="AI23" s="90"/>
      <c r="AL23" s="1">
        <v>2</v>
      </c>
      <c r="AM23" s="1">
        <v>3</v>
      </c>
    </row>
    <row r="24" spans="1:39">
      <c r="A24" s="53" t="s">
        <v>135</v>
      </c>
      <c r="B24" s="168" t="s">
        <v>76</v>
      </c>
      <c r="C24" s="169"/>
      <c r="D24" s="170"/>
      <c r="E24" s="144" t="s">
        <v>77</v>
      </c>
      <c r="F24" s="145"/>
      <c r="G24" s="145"/>
      <c r="H24" s="146"/>
      <c r="I24" s="44">
        <v>9</v>
      </c>
      <c r="J24" s="34" t="s">
        <v>12</v>
      </c>
      <c r="K24" s="35">
        <v>-31</v>
      </c>
      <c r="L24" s="35" t="s">
        <v>12</v>
      </c>
      <c r="M24" s="37" t="s">
        <v>13</v>
      </c>
      <c r="N24" s="134"/>
      <c r="O24" s="135"/>
      <c r="P24" s="167"/>
      <c r="Q24" s="163"/>
      <c r="W24" s="74"/>
      <c r="AD24" s="90">
        <v>3</v>
      </c>
      <c r="AE24" s="90" t="s">
        <v>130</v>
      </c>
      <c r="AF24" s="90" t="s">
        <v>131</v>
      </c>
      <c r="AG24" s="90" t="s">
        <v>132</v>
      </c>
      <c r="AI24" s="90"/>
      <c r="AL24" s="1">
        <v>2</v>
      </c>
      <c r="AM24" s="1">
        <v>3</v>
      </c>
    </row>
    <row r="25" spans="1:39">
      <c r="A25" s="53" t="s">
        <v>136</v>
      </c>
      <c r="B25" s="168" t="s">
        <v>107</v>
      </c>
      <c r="C25" s="169"/>
      <c r="D25" s="170"/>
      <c r="E25" s="144" t="s">
        <v>108</v>
      </c>
      <c r="F25" s="145"/>
      <c r="G25" s="145"/>
      <c r="H25" s="146"/>
      <c r="I25" s="44">
        <v>6</v>
      </c>
      <c r="J25" s="34" t="s">
        <v>12</v>
      </c>
      <c r="K25" s="35">
        <v>-31</v>
      </c>
      <c r="L25" s="35" t="s">
        <v>12</v>
      </c>
      <c r="M25" s="37" t="s">
        <v>13</v>
      </c>
      <c r="N25" s="134"/>
      <c r="O25" s="135"/>
      <c r="P25" s="167"/>
      <c r="Q25" s="163"/>
      <c r="W25" s="74"/>
      <c r="AD25" s="90">
        <v>3</v>
      </c>
      <c r="AE25" s="90" t="s">
        <v>130</v>
      </c>
      <c r="AF25" s="90" t="s">
        <v>131</v>
      </c>
      <c r="AG25" s="90" t="s">
        <v>132</v>
      </c>
      <c r="AL25" s="1">
        <v>2</v>
      </c>
      <c r="AM25" s="1">
        <v>3</v>
      </c>
    </row>
    <row r="26" spans="1:39" ht="12" thickBot="1">
      <c r="A26" s="53" t="s">
        <v>137</v>
      </c>
      <c r="B26" s="168" t="s">
        <v>107</v>
      </c>
      <c r="C26" s="169"/>
      <c r="D26" s="170"/>
      <c r="E26" s="144" t="s">
        <v>108</v>
      </c>
      <c r="F26" s="145"/>
      <c r="G26" s="145"/>
      <c r="H26" s="146"/>
      <c r="I26" s="44">
        <v>6</v>
      </c>
      <c r="J26" s="34" t="s">
        <v>12</v>
      </c>
      <c r="K26" s="35">
        <v>-31</v>
      </c>
      <c r="L26" s="35" t="s">
        <v>12</v>
      </c>
      <c r="M26" s="37" t="s">
        <v>13</v>
      </c>
      <c r="N26" s="134"/>
      <c r="O26" s="135"/>
      <c r="P26" s="167"/>
      <c r="Q26" s="163"/>
      <c r="W26" s="74"/>
      <c r="AD26" s="90">
        <v>3</v>
      </c>
      <c r="AE26" s="90" t="s">
        <v>130</v>
      </c>
      <c r="AF26" s="90" t="s">
        <v>131</v>
      </c>
      <c r="AG26" s="90" t="s">
        <v>132</v>
      </c>
      <c r="AL26" s="1">
        <v>2</v>
      </c>
      <c r="AM26" s="1">
        <v>3</v>
      </c>
    </row>
    <row r="27" spans="1:39" ht="12" thickTop="1">
      <c r="A27" s="54"/>
      <c r="B27" s="54"/>
      <c r="C27" s="54"/>
      <c r="D27" s="54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V27" s="1">
        <f>SUM(V17:V26)</f>
        <v>2</v>
      </c>
      <c r="W27" s="1">
        <f t="shared" ref="W27:AC27" si="0">SUM(W17:W26)</f>
        <v>0</v>
      </c>
      <c r="X27" s="1">
        <f t="shared" si="0"/>
        <v>2</v>
      </c>
      <c r="Y27" s="1">
        <f t="shared" si="0"/>
        <v>0</v>
      </c>
      <c r="Z27" s="1">
        <f t="shared" si="0"/>
        <v>0</v>
      </c>
      <c r="AA27" s="1">
        <f t="shared" si="0"/>
        <v>0</v>
      </c>
      <c r="AB27" s="1">
        <f t="shared" si="0"/>
        <v>0</v>
      </c>
      <c r="AC27" s="1">
        <f t="shared" si="0"/>
        <v>0</v>
      </c>
      <c r="AD27" s="1"/>
      <c r="AL27" s="1"/>
      <c r="AM27" s="1"/>
    </row>
    <row r="28" spans="1:39" ht="12">
      <c r="A28" s="24" t="s">
        <v>78</v>
      </c>
      <c r="B28" s="25"/>
      <c r="C28" s="25"/>
      <c r="D28" s="73" t="str">
        <f>CONCATENATE(G31-2,"°F")</f>
        <v>-33°F</v>
      </c>
      <c r="E28" s="26" t="s">
        <v>27</v>
      </c>
      <c r="F28" s="25"/>
      <c r="G28" s="32">
        <f>I16+I19</f>
        <v>108</v>
      </c>
      <c r="H28" s="27" t="s">
        <v>80</v>
      </c>
      <c r="AL28" s="1"/>
      <c r="AM28" s="1"/>
    </row>
    <row r="29" spans="1:39" ht="12">
      <c r="A29" s="38"/>
      <c r="B29" s="39"/>
      <c r="C29" s="39"/>
      <c r="D29" s="62"/>
      <c r="E29" s="40" t="s">
        <v>81</v>
      </c>
      <c r="F29" s="39"/>
      <c r="G29" s="85">
        <v>0.15</v>
      </c>
      <c r="H29" s="42"/>
      <c r="AL29" s="1"/>
      <c r="AM29" s="1"/>
    </row>
    <row r="30" spans="1:39" ht="12">
      <c r="A30" s="38"/>
      <c r="B30" s="39"/>
      <c r="C30" s="39"/>
      <c r="D30" s="62"/>
      <c r="E30" s="40" t="s">
        <v>82</v>
      </c>
      <c r="F30" s="39"/>
      <c r="G30" s="41">
        <f>(1+G29)*G28</f>
        <v>124.19999999999999</v>
      </c>
      <c r="H30" s="42" t="s">
        <v>80</v>
      </c>
      <c r="AL30" s="1"/>
      <c r="AM30" s="1"/>
    </row>
    <row r="31" spans="1:39" ht="12">
      <c r="A31" s="38"/>
      <c r="B31" s="39"/>
      <c r="C31" s="39"/>
      <c r="D31" s="39"/>
      <c r="E31" s="40" t="s">
        <v>51</v>
      </c>
      <c r="F31" s="39"/>
      <c r="G31" s="41">
        <f>MIN(K16,K19)</f>
        <v>-31</v>
      </c>
      <c r="H31" s="42" t="s">
        <v>79</v>
      </c>
      <c r="AL31" s="1"/>
      <c r="AM31" s="1"/>
    </row>
    <row r="32" spans="1:39">
      <c r="A32" s="28"/>
      <c r="B32" s="5"/>
      <c r="C32" s="5"/>
      <c r="D32" s="5"/>
      <c r="E32" s="29" t="s">
        <v>83</v>
      </c>
      <c r="F32" s="5"/>
      <c r="G32" s="43">
        <f>1.7*G28</f>
        <v>183.6</v>
      </c>
      <c r="H32" s="30" t="s">
        <v>80</v>
      </c>
      <c r="AL32" s="1"/>
      <c r="AM32" s="1"/>
    </row>
    <row r="33" spans="1:39">
      <c r="A33" s="39"/>
      <c r="B33" s="39"/>
      <c r="C33" s="39"/>
      <c r="D33" s="39"/>
      <c r="E33" s="40"/>
      <c r="F33" s="39"/>
      <c r="G33" s="86"/>
      <c r="H33" s="76"/>
      <c r="AL33" s="1"/>
      <c r="AM33" s="1"/>
    </row>
    <row r="34" spans="1:39" ht="12.75">
      <c r="A34" s="31" t="s">
        <v>99</v>
      </c>
      <c r="C34" s="7"/>
      <c r="AL34" s="1"/>
      <c r="AM34" s="1"/>
    </row>
    <row r="35" spans="1:39">
      <c r="A35" s="22" t="s">
        <v>5</v>
      </c>
      <c r="C35" s="80" t="s">
        <v>84</v>
      </c>
      <c r="AL35" s="1"/>
      <c r="AM35" s="1"/>
    </row>
    <row r="36" spans="1:39" ht="12" thickBot="1">
      <c r="A36" s="4" t="s">
        <v>75</v>
      </c>
      <c r="D36" s="80" t="s">
        <v>100</v>
      </c>
      <c r="AL36" s="1"/>
      <c r="AM36" s="1"/>
    </row>
    <row r="37" spans="1:39" ht="12" thickTop="1">
      <c r="A37" s="164" t="s">
        <v>6</v>
      </c>
      <c r="B37" s="129" t="s">
        <v>7</v>
      </c>
      <c r="C37" s="129"/>
      <c r="D37" s="129"/>
      <c r="E37" s="129" t="s">
        <v>70</v>
      </c>
      <c r="F37" s="129"/>
      <c r="G37" s="129"/>
      <c r="H37" s="142" t="s">
        <v>69</v>
      </c>
      <c r="I37" s="129" t="s">
        <v>80</v>
      </c>
      <c r="J37" s="127" t="s">
        <v>15</v>
      </c>
      <c r="K37" s="127" t="s">
        <v>16</v>
      </c>
      <c r="L37" s="129" t="s">
        <v>17</v>
      </c>
      <c r="M37" s="127" t="s">
        <v>8</v>
      </c>
      <c r="N37" s="129" t="s">
        <v>24</v>
      </c>
      <c r="O37" s="129"/>
      <c r="P37" s="129" t="s">
        <v>9</v>
      </c>
      <c r="Q37" s="156"/>
      <c r="AL37" s="1"/>
      <c r="AM37" s="1"/>
    </row>
    <row r="38" spans="1:39">
      <c r="A38" s="165"/>
      <c r="B38" s="130"/>
      <c r="C38" s="130"/>
      <c r="D38" s="130"/>
      <c r="E38" s="79" t="s">
        <v>72</v>
      </c>
      <c r="F38" s="79" t="s">
        <v>71</v>
      </c>
      <c r="G38" s="79" t="s">
        <v>73</v>
      </c>
      <c r="H38" s="143"/>
      <c r="I38" s="130"/>
      <c r="J38" s="128"/>
      <c r="K38" s="128"/>
      <c r="L38" s="130"/>
      <c r="M38" s="128"/>
      <c r="N38" s="130"/>
      <c r="O38" s="130"/>
      <c r="P38" s="130"/>
      <c r="Q38" s="157"/>
      <c r="AL38" s="1"/>
      <c r="AM38" s="1"/>
    </row>
    <row r="39" spans="1:39" ht="12">
      <c r="A39" s="82"/>
      <c r="B39" s="141"/>
      <c r="C39" s="141"/>
      <c r="D39" s="141"/>
      <c r="E39" s="6"/>
      <c r="F39" s="6"/>
      <c r="G39" s="6"/>
      <c r="H39" s="6"/>
      <c r="I39" s="11">
        <f>SUM(I40:I42)</f>
        <v>651.29099999999994</v>
      </c>
      <c r="J39" s="6"/>
      <c r="K39" s="12">
        <f>MIN(K40:K42)</f>
        <v>14</v>
      </c>
      <c r="L39" s="6"/>
      <c r="M39" s="13"/>
      <c r="N39" s="171" t="s">
        <v>12</v>
      </c>
      <c r="O39" s="171"/>
      <c r="P39" s="171"/>
      <c r="Q39" s="172"/>
      <c r="AL39" s="1"/>
      <c r="AM39" s="1"/>
    </row>
    <row r="40" spans="1:39">
      <c r="A40" s="49" t="s">
        <v>50</v>
      </c>
      <c r="B40" s="177" t="s">
        <v>98</v>
      </c>
      <c r="C40" s="177"/>
      <c r="D40" s="177"/>
      <c r="E40" s="18" t="s">
        <v>12</v>
      </c>
      <c r="F40" s="18" t="s">
        <v>12</v>
      </c>
      <c r="G40" s="18" t="s">
        <v>12</v>
      </c>
      <c r="H40" s="19" t="s">
        <v>12</v>
      </c>
      <c r="I40" s="9">
        <f>0.38*G30</f>
        <v>47.195999999999998</v>
      </c>
      <c r="J40" s="8" t="s">
        <v>12</v>
      </c>
      <c r="K40" s="10">
        <v>14</v>
      </c>
      <c r="L40" s="8" t="s">
        <v>12</v>
      </c>
      <c r="M40" s="50" t="s">
        <v>12</v>
      </c>
      <c r="N40" s="173"/>
      <c r="O40" s="173"/>
      <c r="P40" s="173"/>
      <c r="Q40" s="174"/>
      <c r="AL40" s="1"/>
      <c r="AM40" s="1"/>
    </row>
    <row r="41" spans="1:39" ht="12" thickBot="1">
      <c r="A41" s="117"/>
      <c r="B41" s="122" t="s">
        <v>217</v>
      </c>
      <c r="C41" s="122"/>
      <c r="D41" s="122"/>
      <c r="E41" s="18" t="s">
        <v>12</v>
      </c>
      <c r="F41" s="18" t="s">
        <v>12</v>
      </c>
      <c r="G41" s="18" t="s">
        <v>12</v>
      </c>
      <c r="H41" s="19" t="s">
        <v>12</v>
      </c>
      <c r="I41" s="9">
        <f>G98/2</f>
        <v>302.04749999999996</v>
      </c>
      <c r="J41" s="8" t="s">
        <v>12</v>
      </c>
      <c r="K41" s="10">
        <v>14</v>
      </c>
      <c r="L41" s="8" t="s">
        <v>12</v>
      </c>
      <c r="M41" s="50" t="s">
        <v>12</v>
      </c>
      <c r="N41" s="173"/>
      <c r="O41" s="173"/>
      <c r="P41" s="173"/>
      <c r="Q41" s="174"/>
      <c r="AL41" s="1"/>
      <c r="AM41" s="1"/>
    </row>
    <row r="42" spans="1:39" ht="12.75" thickTop="1" thickBot="1">
      <c r="A42" s="36" t="s">
        <v>50</v>
      </c>
      <c r="B42" s="122" t="s">
        <v>218</v>
      </c>
      <c r="C42" s="122"/>
      <c r="D42" s="122"/>
      <c r="E42" s="20" t="s">
        <v>12</v>
      </c>
      <c r="F42" s="20" t="s">
        <v>12</v>
      </c>
      <c r="G42" s="20" t="s">
        <v>12</v>
      </c>
      <c r="H42" s="21" t="s">
        <v>12</v>
      </c>
      <c r="I42" s="14">
        <f>G98/2</f>
        <v>302.04749999999996</v>
      </c>
      <c r="J42" s="15" t="s">
        <v>12</v>
      </c>
      <c r="K42" s="16">
        <v>14</v>
      </c>
      <c r="L42" s="15" t="s">
        <v>12</v>
      </c>
      <c r="M42" s="51" t="s">
        <v>12</v>
      </c>
      <c r="N42" s="175"/>
      <c r="O42" s="175"/>
      <c r="P42" s="175"/>
      <c r="Q42" s="176"/>
      <c r="AL42" s="1"/>
      <c r="AM42" s="1"/>
    </row>
    <row r="43" spans="1:39" ht="12" thickTop="1">
      <c r="A43" s="77"/>
      <c r="B43" s="77"/>
      <c r="C43" s="77"/>
      <c r="D43" s="77"/>
      <c r="E43" s="77"/>
      <c r="F43" s="77"/>
      <c r="G43" s="77"/>
      <c r="H43" s="77"/>
      <c r="I43" s="77"/>
      <c r="J43" s="78"/>
      <c r="K43" s="78"/>
      <c r="L43" s="77"/>
      <c r="M43" s="78"/>
      <c r="N43" s="77"/>
      <c r="O43" s="77"/>
      <c r="P43" s="77"/>
      <c r="Q43" s="77"/>
      <c r="AL43" s="1"/>
      <c r="AM43" s="1"/>
    </row>
    <row r="44" spans="1:39" ht="12">
      <c r="A44" s="24" t="s">
        <v>78</v>
      </c>
      <c r="B44" s="25"/>
      <c r="C44" s="25"/>
      <c r="D44" s="73" t="str">
        <f>CONCATENATE(G47-2,"°F")</f>
        <v>12°F</v>
      </c>
      <c r="E44" s="26" t="s">
        <v>27</v>
      </c>
      <c r="F44" s="25"/>
      <c r="G44" s="32">
        <f>I39</f>
        <v>651.29099999999994</v>
      </c>
      <c r="H44" s="27" t="s">
        <v>80</v>
      </c>
      <c r="I44" s="77"/>
      <c r="J44" s="78"/>
      <c r="K44" s="78"/>
      <c r="L44" s="77"/>
      <c r="M44" s="78"/>
      <c r="N44" s="77"/>
      <c r="O44" s="77"/>
      <c r="P44" s="77"/>
      <c r="Q44" s="77"/>
      <c r="AL44" s="1"/>
      <c r="AM44" s="1"/>
    </row>
    <row r="45" spans="1:39" ht="12">
      <c r="A45" s="38"/>
      <c r="B45" s="39"/>
      <c r="C45" s="39"/>
      <c r="D45" s="62"/>
      <c r="E45" s="40" t="s">
        <v>81</v>
      </c>
      <c r="F45" s="39"/>
      <c r="G45" s="85">
        <v>0</v>
      </c>
      <c r="H45" s="42"/>
      <c r="I45" s="77"/>
      <c r="J45" s="78"/>
      <c r="K45" s="78"/>
      <c r="L45" s="77"/>
      <c r="M45" s="78"/>
      <c r="N45" s="77"/>
      <c r="O45" s="77"/>
      <c r="P45" s="77"/>
      <c r="Q45" s="77"/>
      <c r="AL45" s="1"/>
      <c r="AM45" s="1"/>
    </row>
    <row r="46" spans="1:39" ht="12">
      <c r="A46" s="38"/>
      <c r="B46" s="39"/>
      <c r="C46" s="39"/>
      <c r="D46" s="62"/>
      <c r="E46" s="40" t="s">
        <v>82</v>
      </c>
      <c r="F46" s="39"/>
      <c r="G46" s="41">
        <f>(1+G45)*G44</f>
        <v>651.29099999999994</v>
      </c>
      <c r="H46" s="42" t="s">
        <v>80</v>
      </c>
      <c r="AL46" s="1"/>
      <c r="AM46" s="1"/>
    </row>
    <row r="47" spans="1:39" ht="12">
      <c r="A47" s="38"/>
      <c r="B47" s="39"/>
      <c r="C47" s="39"/>
      <c r="D47" s="39"/>
      <c r="E47" s="40" t="s">
        <v>51</v>
      </c>
      <c r="F47" s="39"/>
      <c r="G47" s="41">
        <f>K39</f>
        <v>14</v>
      </c>
      <c r="H47" s="42" t="s">
        <v>79</v>
      </c>
      <c r="AL47" s="1"/>
      <c r="AM47" s="1"/>
    </row>
    <row r="48" spans="1:39">
      <c r="A48" s="28"/>
      <c r="B48" s="5"/>
      <c r="C48" s="5"/>
      <c r="D48" s="5"/>
      <c r="E48" s="29" t="s">
        <v>83</v>
      </c>
      <c r="F48" s="5"/>
      <c r="G48" s="43">
        <f>1.48*G44</f>
        <v>963.91067999999984</v>
      </c>
      <c r="H48" s="30" t="s">
        <v>80</v>
      </c>
      <c r="AL48" s="1"/>
      <c r="AM48" s="1"/>
    </row>
    <row r="49" spans="1:39">
      <c r="A49" s="39"/>
      <c r="B49" s="39"/>
      <c r="C49" s="39"/>
      <c r="D49" s="39"/>
      <c r="E49" s="40"/>
      <c r="F49" s="39"/>
      <c r="G49" s="86"/>
      <c r="H49" s="76"/>
      <c r="AL49" s="1"/>
      <c r="AM49" s="1"/>
    </row>
    <row r="50" spans="1:39" ht="13.5" thickBot="1">
      <c r="A50" s="31" t="s">
        <v>94</v>
      </c>
      <c r="C50" s="7"/>
      <c r="AL50" s="1"/>
      <c r="AM50" s="1"/>
    </row>
    <row r="51" spans="1:39" ht="12" thickTop="1">
      <c r="A51" s="164" t="s">
        <v>6</v>
      </c>
      <c r="B51" s="129" t="s">
        <v>88</v>
      </c>
      <c r="C51" s="129"/>
      <c r="D51" s="129"/>
      <c r="E51" s="200" t="s">
        <v>69</v>
      </c>
      <c r="F51" s="201"/>
      <c r="G51" s="201"/>
      <c r="H51" s="202"/>
      <c r="I51" s="129" t="s">
        <v>89</v>
      </c>
      <c r="J51" s="127" t="s">
        <v>90</v>
      </c>
      <c r="K51" s="127" t="s">
        <v>91</v>
      </c>
      <c r="L51" s="129" t="s">
        <v>17</v>
      </c>
      <c r="M51" s="189" t="s">
        <v>92</v>
      </c>
      <c r="N51" s="190"/>
      <c r="O51" s="191"/>
      <c r="P51" s="129" t="s">
        <v>9</v>
      </c>
      <c r="Q51" s="156"/>
      <c r="AL51" s="1"/>
      <c r="AM51" s="1"/>
    </row>
    <row r="52" spans="1:39">
      <c r="A52" s="165"/>
      <c r="B52" s="130"/>
      <c r="C52" s="130"/>
      <c r="D52" s="130"/>
      <c r="E52" s="203"/>
      <c r="F52" s="204"/>
      <c r="G52" s="204"/>
      <c r="H52" s="205"/>
      <c r="I52" s="130"/>
      <c r="J52" s="128"/>
      <c r="K52" s="128"/>
      <c r="L52" s="130"/>
      <c r="M52" s="192"/>
      <c r="N52" s="193"/>
      <c r="O52" s="194"/>
      <c r="P52" s="130"/>
      <c r="Q52" s="157"/>
      <c r="S52" s="1" t="s">
        <v>220</v>
      </c>
      <c r="AL52" s="1"/>
      <c r="AM52" s="1"/>
    </row>
    <row r="53" spans="1:39" ht="12">
      <c r="A53" s="82"/>
      <c r="B53" s="141"/>
      <c r="C53" s="141"/>
      <c r="D53" s="141"/>
      <c r="E53" s="6"/>
      <c r="F53" s="6"/>
      <c r="G53" s="6"/>
      <c r="H53" s="6"/>
      <c r="I53" s="11"/>
      <c r="J53" s="6"/>
      <c r="K53" s="12"/>
      <c r="L53" s="6"/>
      <c r="M53" s="6"/>
      <c r="N53" s="87"/>
      <c r="O53" s="87"/>
      <c r="P53" s="180"/>
      <c r="Q53" s="181"/>
      <c r="AL53" s="1"/>
      <c r="AM53" s="1"/>
    </row>
    <row r="54" spans="1:39" ht="24.75" customHeight="1" thickBot="1">
      <c r="A54" s="88" t="s">
        <v>50</v>
      </c>
      <c r="B54" s="206" t="s">
        <v>93</v>
      </c>
      <c r="C54" s="207"/>
      <c r="D54" s="208"/>
      <c r="E54" s="184" t="s">
        <v>219</v>
      </c>
      <c r="F54" s="185"/>
      <c r="G54" s="185"/>
      <c r="H54" s="186"/>
      <c r="I54" s="46">
        <f>G32+G48</f>
        <v>1147.5106799999999</v>
      </c>
      <c r="J54" s="15">
        <v>95</v>
      </c>
      <c r="K54" s="16">
        <v>113</v>
      </c>
      <c r="L54" s="16">
        <f>K54-J54</f>
        <v>18</v>
      </c>
      <c r="M54" s="187">
        <f>(2*153900)*3.968/1000</f>
        <v>1221.3503999999998</v>
      </c>
      <c r="N54" s="188"/>
      <c r="O54" s="188"/>
      <c r="P54" s="182"/>
      <c r="Q54" s="183"/>
      <c r="S54" s="118">
        <f>((M54/I54)-1)*100</f>
        <v>6.4347740972659162</v>
      </c>
      <c r="AL54" s="1"/>
      <c r="AM54" s="1"/>
    </row>
    <row r="55" spans="1:39" ht="12" thickTop="1">
      <c r="A55" s="39"/>
      <c r="B55" s="39"/>
      <c r="C55" s="39"/>
      <c r="D55" s="39"/>
      <c r="E55" s="40"/>
      <c r="F55" s="39"/>
      <c r="G55" s="86"/>
      <c r="H55" s="76"/>
      <c r="AL55" s="1"/>
      <c r="AM55" s="1"/>
    </row>
    <row r="56" spans="1:39">
      <c r="AL56" s="1"/>
      <c r="AM56" s="1"/>
    </row>
    <row r="57" spans="1:39">
      <c r="F57" s="2" t="s">
        <v>0</v>
      </c>
      <c r="H57" s="152" t="str">
        <f>H2</f>
        <v>BIOMERCADOS SANTA CECILIA</v>
      </c>
      <c r="I57" s="152"/>
      <c r="J57" s="152"/>
      <c r="K57" s="152"/>
      <c r="L57" s="2" t="s">
        <v>2</v>
      </c>
      <c r="M57" s="149">
        <f>M2</f>
        <v>42796</v>
      </c>
      <c r="N57" s="149"/>
      <c r="AL57" s="1"/>
      <c r="AM57" s="1"/>
    </row>
    <row r="58" spans="1:39">
      <c r="F58" s="2"/>
      <c r="G58" s="4"/>
      <c r="H58" s="141" t="str">
        <f>H3</f>
        <v>VALENCIA</v>
      </c>
      <c r="I58" s="141"/>
      <c r="J58" s="141"/>
      <c r="K58" s="6"/>
      <c r="L58" s="2"/>
      <c r="M58" s="150"/>
      <c r="N58" s="150"/>
      <c r="AL58" s="1"/>
      <c r="AM58" s="1"/>
    </row>
    <row r="59" spans="1:39">
      <c r="F59" s="2" t="s">
        <v>1</v>
      </c>
      <c r="G59" s="4"/>
      <c r="H59" s="141" t="str">
        <f>H4</f>
        <v>OM15-2441</v>
      </c>
      <c r="I59" s="141"/>
      <c r="J59" s="141"/>
      <c r="K59" s="6"/>
      <c r="L59" s="2" t="s">
        <v>3</v>
      </c>
      <c r="M59" s="151">
        <f>M4</f>
        <v>0</v>
      </c>
      <c r="N59" s="151"/>
      <c r="AL59" s="1"/>
      <c r="AM59" s="1"/>
    </row>
    <row r="60" spans="1:39">
      <c r="A60" s="47"/>
      <c r="B60" s="47"/>
      <c r="C60" s="47"/>
      <c r="D60" s="47"/>
      <c r="E60" s="47"/>
      <c r="F60" s="47"/>
      <c r="G60" s="47"/>
      <c r="H60" s="47"/>
      <c r="I60" s="47"/>
      <c r="J60" s="48"/>
      <c r="K60" s="48"/>
      <c r="L60" s="47"/>
      <c r="M60" s="48"/>
      <c r="N60" s="47"/>
      <c r="O60" s="47"/>
      <c r="P60" s="47"/>
      <c r="Q60" s="47"/>
      <c r="AL60" s="1"/>
      <c r="AM60" s="1"/>
    </row>
    <row r="61" spans="1:39" ht="12.75">
      <c r="A61" s="31" t="s">
        <v>87</v>
      </c>
      <c r="C61" s="7"/>
      <c r="AL61" s="1"/>
      <c r="AM61" s="1"/>
    </row>
    <row r="62" spans="1:39" ht="12" thickBot="1">
      <c r="A62" s="22" t="s">
        <v>85</v>
      </c>
      <c r="C62" s="52" t="s">
        <v>47</v>
      </c>
      <c r="AL62" s="1"/>
      <c r="AM62" s="1"/>
    </row>
    <row r="63" spans="1:39" ht="12" customHeight="1" thickTop="1">
      <c r="A63" s="164" t="s">
        <v>6</v>
      </c>
      <c r="B63" s="129" t="s">
        <v>7</v>
      </c>
      <c r="C63" s="129"/>
      <c r="D63" s="129"/>
      <c r="E63" s="129" t="s">
        <v>148</v>
      </c>
      <c r="F63" s="129"/>
      <c r="G63" s="129"/>
      <c r="H63" s="142" t="s">
        <v>69</v>
      </c>
      <c r="I63" s="129" t="s">
        <v>149</v>
      </c>
      <c r="J63" s="127" t="s">
        <v>15</v>
      </c>
      <c r="K63" s="127" t="s">
        <v>31</v>
      </c>
      <c r="L63" s="127" t="s">
        <v>33</v>
      </c>
      <c r="M63" s="129" t="s">
        <v>17</v>
      </c>
      <c r="N63" s="127" t="s">
        <v>32</v>
      </c>
      <c r="O63" s="178" t="s">
        <v>8</v>
      </c>
      <c r="P63" s="129" t="s">
        <v>9</v>
      </c>
      <c r="Q63" s="156"/>
      <c r="AL63" s="1"/>
      <c r="AM63" s="1"/>
    </row>
    <row r="64" spans="1:39">
      <c r="A64" s="165"/>
      <c r="B64" s="130"/>
      <c r="C64" s="130"/>
      <c r="D64" s="130"/>
      <c r="E64" s="92" t="s">
        <v>150</v>
      </c>
      <c r="F64" s="92" t="s">
        <v>151</v>
      </c>
      <c r="G64" s="92" t="s">
        <v>152</v>
      </c>
      <c r="H64" s="143"/>
      <c r="I64" s="130"/>
      <c r="J64" s="128"/>
      <c r="K64" s="128"/>
      <c r="L64" s="128"/>
      <c r="M64" s="130"/>
      <c r="N64" s="128"/>
      <c r="O64" s="179"/>
      <c r="P64" s="130"/>
      <c r="Q64" s="157"/>
      <c r="S64" s="3" t="s">
        <v>35</v>
      </c>
      <c r="T64" s="1">
        <v>65.2</v>
      </c>
      <c r="U64" s="1" t="s">
        <v>37</v>
      </c>
      <c r="V64" s="121" t="s">
        <v>123</v>
      </c>
      <c r="W64" s="121"/>
      <c r="X64" s="121" t="s">
        <v>122</v>
      </c>
      <c r="Y64" s="121"/>
      <c r="AL64" s="1"/>
      <c r="AM64" s="1"/>
    </row>
    <row r="65" spans="1:39" ht="12" customHeight="1">
      <c r="A65" s="94" t="s">
        <v>20</v>
      </c>
      <c r="B65" s="131"/>
      <c r="C65" s="131"/>
      <c r="D65" s="131"/>
      <c r="E65" s="8"/>
      <c r="F65" s="8"/>
      <c r="G65" s="8"/>
      <c r="H65" s="8"/>
      <c r="I65" s="95">
        <f>SUM(I66:I83)</f>
        <v>340.1</v>
      </c>
      <c r="J65" s="8"/>
      <c r="K65" s="96">
        <f>MIN(K66:K83)</f>
        <v>19</v>
      </c>
      <c r="L65" s="8"/>
      <c r="M65" s="8"/>
      <c r="N65" s="95">
        <f>SUM(N66:N83)</f>
        <v>62.930787510149372</v>
      </c>
      <c r="O65" s="97"/>
      <c r="P65" s="132" t="s">
        <v>153</v>
      </c>
      <c r="Q65" s="133"/>
      <c r="S65" s="3" t="s">
        <v>36</v>
      </c>
      <c r="T65" s="1">
        <v>0.875</v>
      </c>
      <c r="U65" s="1" t="s">
        <v>38</v>
      </c>
      <c r="V65" s="8" t="s">
        <v>118</v>
      </c>
      <c r="W65" s="8" t="s">
        <v>119</v>
      </c>
      <c r="X65" s="8" t="s">
        <v>120</v>
      </c>
      <c r="Y65" s="8" t="s">
        <v>121</v>
      </c>
      <c r="AA65" s="90"/>
      <c r="AB65" s="91"/>
      <c r="AC65" s="91"/>
      <c r="AL65" s="1"/>
      <c r="AM65" s="1"/>
    </row>
    <row r="66" spans="1:39" ht="12" customHeight="1">
      <c r="A66" s="98" t="s">
        <v>21</v>
      </c>
      <c r="B66" s="126" t="s">
        <v>138</v>
      </c>
      <c r="C66" s="126"/>
      <c r="D66" s="126"/>
      <c r="E66" s="89">
        <v>21</v>
      </c>
      <c r="F66" s="89">
        <v>16</v>
      </c>
      <c r="G66" s="89">
        <v>9.8000000000000007</v>
      </c>
      <c r="H66" s="93" t="s">
        <v>154</v>
      </c>
      <c r="I66" s="44">
        <v>21.9</v>
      </c>
      <c r="J66" s="8">
        <v>39.200000000000003</v>
      </c>
      <c r="K66" s="10">
        <v>19</v>
      </c>
      <c r="L66" s="99">
        <v>31.8</v>
      </c>
      <c r="M66" s="100">
        <f>L66-K66</f>
        <v>12.8</v>
      </c>
      <c r="N66" s="101">
        <f>124.675*I66/($T$64*$T$65*M66)</f>
        <v>3.7390207329097271</v>
      </c>
      <c r="O66" s="102" t="s">
        <v>34</v>
      </c>
      <c r="P66" s="134"/>
      <c r="Q66" s="135"/>
      <c r="R66" s="1">
        <f>L66*N66</f>
        <v>118.90085930652933</v>
      </c>
      <c r="V66" s="8"/>
      <c r="W66" s="8"/>
      <c r="X66" s="8">
        <v>1</v>
      </c>
      <c r="Y66" s="8"/>
      <c r="AA66" s="90"/>
      <c r="AB66" s="91"/>
      <c r="AC66" s="91"/>
      <c r="AL66" s="1">
        <v>1</v>
      </c>
      <c r="AM66" s="1">
        <v>1</v>
      </c>
    </row>
    <row r="67" spans="1:39" ht="12" customHeight="1">
      <c r="A67" s="98" t="s">
        <v>45</v>
      </c>
      <c r="B67" s="126" t="s">
        <v>65</v>
      </c>
      <c r="C67" s="126"/>
      <c r="D67" s="126"/>
      <c r="E67" s="89">
        <v>16</v>
      </c>
      <c r="F67" s="89">
        <v>14.5</v>
      </c>
      <c r="G67" s="89">
        <v>9.8000000000000007</v>
      </c>
      <c r="H67" s="93" t="s">
        <v>155</v>
      </c>
      <c r="I67" s="44">
        <v>17</v>
      </c>
      <c r="J67" s="8">
        <v>50</v>
      </c>
      <c r="K67" s="10">
        <v>19</v>
      </c>
      <c r="L67" s="99">
        <v>38.799999999999997</v>
      </c>
      <c r="M67" s="100">
        <f t="shared" ref="M67:M83" si="1">L67-K67</f>
        <v>19.799999999999997</v>
      </c>
      <c r="N67" s="101">
        <f t="shared" ref="N67:N83" si="2">124.675*I67/($T$64*$T$65*M67)</f>
        <v>1.8763223824573518</v>
      </c>
      <c r="O67" s="102" t="s">
        <v>34</v>
      </c>
      <c r="P67" s="134"/>
      <c r="Q67" s="135"/>
      <c r="R67" s="1">
        <f t="shared" ref="R67:R96" si="3">L67*N67</f>
        <v>72.801308439345249</v>
      </c>
      <c r="S67" s="1" t="s">
        <v>81</v>
      </c>
      <c r="T67" s="1">
        <f>124.675*C100/(T64*T65*9)</f>
        <v>19.132859333917612</v>
      </c>
      <c r="U67" s="1" t="s">
        <v>43</v>
      </c>
      <c r="V67" s="8"/>
      <c r="W67" s="8"/>
      <c r="X67" s="8"/>
      <c r="Y67" s="8">
        <v>1</v>
      </c>
      <c r="AA67" s="90"/>
      <c r="AB67" s="91"/>
      <c r="AC67" s="91"/>
      <c r="AL67" s="1">
        <v>1</v>
      </c>
      <c r="AM67" s="1">
        <v>1</v>
      </c>
    </row>
    <row r="68" spans="1:39" ht="12" customHeight="1">
      <c r="A68" s="98" t="s">
        <v>52</v>
      </c>
      <c r="B68" s="126" t="s">
        <v>156</v>
      </c>
      <c r="C68" s="126"/>
      <c r="D68" s="126"/>
      <c r="E68" s="89">
        <v>28.6</v>
      </c>
      <c r="F68" s="89">
        <v>11</v>
      </c>
      <c r="G68" s="89">
        <v>9.8000000000000007</v>
      </c>
      <c r="H68" s="93" t="s">
        <v>157</v>
      </c>
      <c r="I68" s="44">
        <v>20.100000000000001</v>
      </c>
      <c r="J68" s="8">
        <v>50</v>
      </c>
      <c r="K68" s="10">
        <v>19</v>
      </c>
      <c r="L68" s="99">
        <v>42.4</v>
      </c>
      <c r="M68" s="100">
        <f t="shared" si="1"/>
        <v>23.4</v>
      </c>
      <c r="N68" s="101">
        <f t="shared" si="2"/>
        <v>1.8771713971100474</v>
      </c>
      <c r="O68" s="102" t="s">
        <v>34</v>
      </c>
      <c r="P68" s="134"/>
      <c r="Q68" s="135"/>
      <c r="R68" s="1">
        <f t="shared" si="3"/>
        <v>79.592067237466011</v>
      </c>
      <c r="V68" s="8"/>
      <c r="W68" s="8"/>
      <c r="X68" s="8"/>
      <c r="Y68" s="8">
        <v>1</v>
      </c>
      <c r="AA68" s="90"/>
      <c r="AB68" s="91"/>
      <c r="AC68" s="91"/>
      <c r="AL68" s="1">
        <v>1</v>
      </c>
      <c r="AM68" s="1">
        <v>1</v>
      </c>
    </row>
    <row r="69" spans="1:39" ht="12" customHeight="1">
      <c r="A69" s="98" t="s">
        <v>53</v>
      </c>
      <c r="B69" s="126" t="s">
        <v>139</v>
      </c>
      <c r="C69" s="126"/>
      <c r="D69" s="126"/>
      <c r="E69" s="89">
        <v>13.5</v>
      </c>
      <c r="F69" s="89">
        <v>7.9</v>
      </c>
      <c r="G69" s="89">
        <v>9.8000000000000007</v>
      </c>
      <c r="H69" s="93" t="s">
        <v>158</v>
      </c>
      <c r="I69" s="44">
        <v>12.7</v>
      </c>
      <c r="J69" s="8">
        <v>32</v>
      </c>
      <c r="K69" s="10">
        <v>19</v>
      </c>
      <c r="L69" s="99">
        <v>28.6</v>
      </c>
      <c r="M69" s="100">
        <f t="shared" si="1"/>
        <v>9.6000000000000014</v>
      </c>
      <c r="N69" s="101">
        <f t="shared" si="2"/>
        <v>2.891054082676014</v>
      </c>
      <c r="O69" s="103" t="s">
        <v>13</v>
      </c>
      <c r="P69" s="134"/>
      <c r="Q69" s="135"/>
      <c r="R69" s="1">
        <f t="shared" si="3"/>
        <v>82.684146764534006</v>
      </c>
      <c r="V69" s="8"/>
      <c r="W69" s="8"/>
      <c r="X69" s="8">
        <v>1</v>
      </c>
      <c r="Y69" s="8"/>
      <c r="AA69" s="90"/>
      <c r="AB69" s="91"/>
      <c r="AC69" s="91"/>
      <c r="AL69" s="1">
        <v>2</v>
      </c>
      <c r="AM69" s="1">
        <v>3</v>
      </c>
    </row>
    <row r="70" spans="1:39" ht="12" customHeight="1">
      <c r="A70" s="98" t="s">
        <v>54</v>
      </c>
      <c r="B70" s="126" t="s">
        <v>110</v>
      </c>
      <c r="C70" s="126"/>
      <c r="D70" s="126"/>
      <c r="E70" s="89">
        <v>14.5</v>
      </c>
      <c r="F70" s="89">
        <v>14.1</v>
      </c>
      <c r="G70" s="89">
        <v>9.8000000000000007</v>
      </c>
      <c r="H70" s="93" t="s">
        <v>159</v>
      </c>
      <c r="I70" s="44">
        <v>16.8</v>
      </c>
      <c r="J70" s="8">
        <v>32</v>
      </c>
      <c r="K70" s="10">
        <v>19</v>
      </c>
      <c r="L70" s="99">
        <v>28.8</v>
      </c>
      <c r="M70" s="100">
        <f t="shared" si="1"/>
        <v>9.8000000000000007</v>
      </c>
      <c r="N70" s="101">
        <f t="shared" si="2"/>
        <v>3.7463377989232498</v>
      </c>
      <c r="O70" s="103" t="s">
        <v>13</v>
      </c>
      <c r="P70" s="134"/>
      <c r="Q70" s="135"/>
      <c r="R70" s="1">
        <f t="shared" si="3"/>
        <v>107.8945286089896</v>
      </c>
      <c r="S70" s="104"/>
      <c r="V70" s="8"/>
      <c r="W70" s="8"/>
      <c r="X70" s="8">
        <v>1</v>
      </c>
      <c r="Y70" s="8"/>
      <c r="AA70" s="90"/>
      <c r="AB70" s="91"/>
      <c r="AC70" s="91"/>
      <c r="AL70" s="1">
        <v>2</v>
      </c>
      <c r="AM70" s="1">
        <v>3</v>
      </c>
    </row>
    <row r="71" spans="1:39" ht="12" customHeight="1">
      <c r="A71" s="98" t="s">
        <v>55</v>
      </c>
      <c r="B71" s="126" t="s">
        <v>111</v>
      </c>
      <c r="C71" s="126"/>
      <c r="D71" s="126"/>
      <c r="E71" s="89">
        <v>15.1</v>
      </c>
      <c r="F71" s="89">
        <v>9.8000000000000007</v>
      </c>
      <c r="G71" s="89">
        <v>9.8000000000000007</v>
      </c>
      <c r="H71" s="93" t="s">
        <v>160</v>
      </c>
      <c r="I71" s="44">
        <v>13.5</v>
      </c>
      <c r="J71" s="8">
        <v>50</v>
      </c>
      <c r="K71" s="10">
        <v>19</v>
      </c>
      <c r="L71" s="99">
        <v>34.700000000000003</v>
      </c>
      <c r="M71" s="100">
        <f t="shared" si="1"/>
        <v>15.700000000000003</v>
      </c>
      <c r="N71" s="101">
        <f t="shared" si="2"/>
        <v>1.8791344055108656</v>
      </c>
      <c r="O71" s="102" t="s">
        <v>34</v>
      </c>
      <c r="P71" s="134"/>
      <c r="Q71" s="135"/>
      <c r="R71" s="1">
        <f t="shared" si="3"/>
        <v>65.205963871227041</v>
      </c>
      <c r="V71" s="8"/>
      <c r="W71" s="8"/>
      <c r="X71" s="8"/>
      <c r="Y71" s="8">
        <v>1</v>
      </c>
      <c r="AA71" s="90"/>
      <c r="AB71" s="91"/>
      <c r="AC71" s="91"/>
      <c r="AL71" s="1">
        <v>1</v>
      </c>
      <c r="AM71" s="1">
        <v>1</v>
      </c>
    </row>
    <row r="72" spans="1:39" ht="12" customHeight="1">
      <c r="A72" s="98" t="s">
        <v>56</v>
      </c>
      <c r="B72" s="126" t="s">
        <v>109</v>
      </c>
      <c r="C72" s="126"/>
      <c r="D72" s="126"/>
      <c r="E72" s="89">
        <v>32.799999999999997</v>
      </c>
      <c r="F72" s="89">
        <v>9.8000000000000007</v>
      </c>
      <c r="G72" s="89">
        <v>9.8000000000000007</v>
      </c>
      <c r="H72" s="93" t="s">
        <v>157</v>
      </c>
      <c r="I72" s="44">
        <v>20.7</v>
      </c>
      <c r="J72" s="8">
        <v>50</v>
      </c>
      <c r="K72" s="10">
        <v>19</v>
      </c>
      <c r="L72" s="99">
        <v>38.6</v>
      </c>
      <c r="M72" s="100">
        <f t="shared" si="1"/>
        <v>19.600000000000001</v>
      </c>
      <c r="N72" s="101">
        <f t="shared" si="2"/>
        <v>2.308011679693788</v>
      </c>
      <c r="O72" s="102" t="s">
        <v>34</v>
      </c>
      <c r="P72" s="134"/>
      <c r="Q72" s="135"/>
      <c r="R72" s="1">
        <f t="shared" si="3"/>
        <v>89.089250836180213</v>
      </c>
      <c r="V72" s="8"/>
      <c r="W72" s="8"/>
      <c r="X72" s="8">
        <v>1</v>
      </c>
      <c r="Y72" s="8"/>
      <c r="AA72" s="90"/>
      <c r="AB72" s="91"/>
      <c r="AC72" s="91"/>
      <c r="AL72" s="1">
        <v>1</v>
      </c>
      <c r="AM72" s="1">
        <v>1</v>
      </c>
    </row>
    <row r="73" spans="1:39" ht="12" customHeight="1">
      <c r="A73" s="98" t="s">
        <v>57</v>
      </c>
      <c r="B73" s="126" t="s">
        <v>161</v>
      </c>
      <c r="C73" s="126"/>
      <c r="D73" s="126"/>
      <c r="E73" s="89">
        <v>34.5</v>
      </c>
      <c r="F73" s="89">
        <v>15.5</v>
      </c>
      <c r="G73" s="89">
        <v>9.8000000000000007</v>
      </c>
      <c r="H73" s="93" t="s">
        <v>162</v>
      </c>
      <c r="I73" s="44">
        <v>38.6</v>
      </c>
      <c r="J73" s="8">
        <v>50</v>
      </c>
      <c r="K73" s="10">
        <v>19</v>
      </c>
      <c r="L73" s="99">
        <v>38.5</v>
      </c>
      <c r="M73" s="100">
        <f t="shared" si="1"/>
        <v>19.5</v>
      </c>
      <c r="N73" s="101">
        <f t="shared" si="2"/>
        <v>4.3258994584147956</v>
      </c>
      <c r="O73" s="102" t="s">
        <v>34</v>
      </c>
      <c r="P73" s="134"/>
      <c r="Q73" s="135"/>
      <c r="R73" s="1">
        <f t="shared" si="3"/>
        <v>166.54712914896965</v>
      </c>
      <c r="V73" s="8"/>
      <c r="W73" s="8">
        <v>1</v>
      </c>
      <c r="X73" s="8"/>
      <c r="Y73" s="8"/>
      <c r="AA73" s="90"/>
      <c r="AB73" s="91"/>
      <c r="AC73" s="91"/>
      <c r="AL73" s="1">
        <v>1</v>
      </c>
      <c r="AM73" s="1">
        <v>1</v>
      </c>
    </row>
    <row r="74" spans="1:39" ht="12" customHeight="1">
      <c r="A74" s="98" t="s">
        <v>58</v>
      </c>
      <c r="B74" s="126" t="s">
        <v>112</v>
      </c>
      <c r="C74" s="126"/>
      <c r="D74" s="126"/>
      <c r="E74" s="89">
        <v>14.5</v>
      </c>
      <c r="F74" s="89">
        <v>5.9</v>
      </c>
      <c r="G74" s="89">
        <v>9.8000000000000007</v>
      </c>
      <c r="H74" s="93" t="s">
        <v>163</v>
      </c>
      <c r="I74" s="44">
        <v>10.9</v>
      </c>
      <c r="J74" s="8">
        <v>50</v>
      </c>
      <c r="K74" s="10">
        <v>19</v>
      </c>
      <c r="L74" s="99">
        <v>32.1</v>
      </c>
      <c r="M74" s="100">
        <f t="shared" si="1"/>
        <v>13.100000000000001</v>
      </c>
      <c r="N74" s="101">
        <f t="shared" si="2"/>
        <v>1.818356069070254</v>
      </c>
      <c r="O74" s="102" t="s">
        <v>34</v>
      </c>
      <c r="P74" s="134"/>
      <c r="Q74" s="135"/>
      <c r="R74" s="1">
        <f t="shared" si="3"/>
        <v>58.369229817155158</v>
      </c>
      <c r="V74" s="8"/>
      <c r="W74" s="8"/>
      <c r="X74" s="8"/>
      <c r="Y74" s="8">
        <v>1</v>
      </c>
      <c r="AA74" s="90"/>
      <c r="AB74" s="91"/>
      <c r="AC74" s="91"/>
      <c r="AL74" s="1">
        <v>1</v>
      </c>
      <c r="AM74" s="1">
        <v>1</v>
      </c>
    </row>
    <row r="75" spans="1:39" ht="12" customHeight="1">
      <c r="A75" s="98" t="s">
        <v>59</v>
      </c>
      <c r="B75" s="126" t="s">
        <v>113</v>
      </c>
      <c r="C75" s="126"/>
      <c r="D75" s="126"/>
      <c r="E75" s="89">
        <v>29.2</v>
      </c>
      <c r="F75" s="89">
        <v>6.2</v>
      </c>
      <c r="G75" s="89">
        <v>9.8000000000000007</v>
      </c>
      <c r="H75" s="93" t="s">
        <v>155</v>
      </c>
      <c r="I75" s="44">
        <v>14.9</v>
      </c>
      <c r="J75" s="8">
        <v>50</v>
      </c>
      <c r="K75" s="10">
        <v>19</v>
      </c>
      <c r="L75" s="99">
        <v>43.7</v>
      </c>
      <c r="M75" s="100">
        <f t="shared" si="1"/>
        <v>24.700000000000003</v>
      </c>
      <c r="N75" s="101">
        <f t="shared" si="2"/>
        <v>1.3182963307277158</v>
      </c>
      <c r="O75" s="102" t="s">
        <v>34</v>
      </c>
      <c r="P75" s="134"/>
      <c r="Q75" s="135"/>
      <c r="R75" s="1">
        <f t="shared" si="3"/>
        <v>57.609549652801185</v>
      </c>
      <c r="V75" s="8"/>
      <c r="W75" s="8"/>
      <c r="X75" s="8"/>
      <c r="Y75" s="8">
        <v>1</v>
      </c>
      <c r="AA75" s="90"/>
      <c r="AB75" s="91"/>
      <c r="AC75" s="91"/>
      <c r="AL75" s="1">
        <v>1</v>
      </c>
      <c r="AM75" s="1">
        <v>1</v>
      </c>
    </row>
    <row r="76" spans="1:39" ht="12" customHeight="1">
      <c r="A76" s="98" t="s">
        <v>61</v>
      </c>
      <c r="B76" s="126" t="s">
        <v>140</v>
      </c>
      <c r="C76" s="126"/>
      <c r="D76" s="126"/>
      <c r="E76" s="125" t="s">
        <v>141</v>
      </c>
      <c r="F76" s="125"/>
      <c r="G76" s="125"/>
      <c r="H76" s="125"/>
      <c r="I76" s="44">
        <v>5</v>
      </c>
      <c r="J76" s="8" t="s">
        <v>12</v>
      </c>
      <c r="K76" s="10">
        <v>19</v>
      </c>
      <c r="L76" s="99">
        <v>28</v>
      </c>
      <c r="M76" s="100">
        <f t="shared" si="1"/>
        <v>9</v>
      </c>
      <c r="N76" s="101">
        <f t="shared" si="2"/>
        <v>1.214090953354757</v>
      </c>
      <c r="O76" s="103" t="s">
        <v>13</v>
      </c>
      <c r="P76" s="134"/>
      <c r="Q76" s="135"/>
      <c r="R76" s="1">
        <f t="shared" si="3"/>
        <v>33.994546693933195</v>
      </c>
      <c r="V76" s="8"/>
      <c r="W76" s="8"/>
      <c r="X76" s="8"/>
      <c r="Y76" s="8">
        <v>1</v>
      </c>
      <c r="AA76" s="90"/>
      <c r="AB76" s="91"/>
      <c r="AC76" s="91"/>
      <c r="AL76" s="1">
        <v>2</v>
      </c>
      <c r="AM76" s="1">
        <v>3</v>
      </c>
    </row>
    <row r="77" spans="1:39" ht="12" customHeight="1">
      <c r="A77" s="98" t="s">
        <v>62</v>
      </c>
      <c r="B77" s="126" t="s">
        <v>164</v>
      </c>
      <c r="C77" s="126"/>
      <c r="D77" s="126"/>
      <c r="E77" s="125" t="s">
        <v>165</v>
      </c>
      <c r="F77" s="125"/>
      <c r="G77" s="125"/>
      <c r="H77" s="125"/>
      <c r="I77" s="44">
        <f>5+5</f>
        <v>10</v>
      </c>
      <c r="J77" s="8" t="s">
        <v>12</v>
      </c>
      <c r="K77" s="10">
        <v>19</v>
      </c>
      <c r="L77" s="99">
        <v>28</v>
      </c>
      <c r="M77" s="100">
        <f t="shared" si="1"/>
        <v>9</v>
      </c>
      <c r="N77" s="101">
        <f t="shared" si="2"/>
        <v>2.4281819067095141</v>
      </c>
      <c r="O77" s="102" t="s">
        <v>34</v>
      </c>
      <c r="P77" s="134"/>
      <c r="Q77" s="135"/>
      <c r="R77" s="1">
        <f t="shared" si="3"/>
        <v>67.98909338786639</v>
      </c>
      <c r="V77" s="8"/>
      <c r="W77" s="8"/>
      <c r="X77" s="8"/>
      <c r="Y77" s="8">
        <v>2</v>
      </c>
      <c r="AA77" s="90"/>
      <c r="AB77" s="91"/>
      <c r="AC77" s="91"/>
      <c r="AL77" s="1">
        <v>1</v>
      </c>
      <c r="AM77" s="1">
        <v>1</v>
      </c>
    </row>
    <row r="78" spans="1:39" ht="12" customHeight="1">
      <c r="A78" s="98" t="s">
        <v>63</v>
      </c>
      <c r="B78" s="126" t="s">
        <v>86</v>
      </c>
      <c r="C78" s="126"/>
      <c r="D78" s="126"/>
      <c r="E78" s="125" t="s">
        <v>142</v>
      </c>
      <c r="F78" s="125"/>
      <c r="G78" s="125"/>
      <c r="H78" s="125"/>
      <c r="I78" s="44">
        <f>17*2</f>
        <v>34</v>
      </c>
      <c r="J78" s="8" t="s">
        <v>12</v>
      </c>
      <c r="K78" s="10">
        <v>19</v>
      </c>
      <c r="L78" s="99">
        <v>28</v>
      </c>
      <c r="M78" s="100">
        <f t="shared" si="1"/>
        <v>9</v>
      </c>
      <c r="N78" s="101">
        <f t="shared" si="2"/>
        <v>8.2558184828123462</v>
      </c>
      <c r="O78" s="102" t="s">
        <v>34</v>
      </c>
      <c r="P78" s="134"/>
      <c r="Q78" s="135"/>
      <c r="R78" s="1">
        <f t="shared" si="3"/>
        <v>231.1629175187457</v>
      </c>
      <c r="V78" s="8"/>
      <c r="W78" s="8">
        <v>2</v>
      </c>
      <c r="X78" s="8"/>
      <c r="Y78" s="8"/>
      <c r="AA78" s="90"/>
      <c r="AB78" s="91"/>
      <c r="AC78" s="91"/>
      <c r="AL78" s="1">
        <v>1</v>
      </c>
      <c r="AM78" s="1">
        <v>1</v>
      </c>
    </row>
    <row r="79" spans="1:39" ht="12" customHeight="1">
      <c r="A79" s="98" t="s">
        <v>64</v>
      </c>
      <c r="B79" s="126" t="s">
        <v>86</v>
      </c>
      <c r="C79" s="126"/>
      <c r="D79" s="126"/>
      <c r="E79" s="125" t="s">
        <v>142</v>
      </c>
      <c r="F79" s="125"/>
      <c r="G79" s="125"/>
      <c r="H79" s="125"/>
      <c r="I79" s="44">
        <f>17*2</f>
        <v>34</v>
      </c>
      <c r="J79" s="8" t="s">
        <v>12</v>
      </c>
      <c r="K79" s="10">
        <v>19</v>
      </c>
      <c r="L79" s="99">
        <v>28</v>
      </c>
      <c r="M79" s="100">
        <f t="shared" si="1"/>
        <v>9</v>
      </c>
      <c r="N79" s="101">
        <f t="shared" si="2"/>
        <v>8.2558184828123462</v>
      </c>
      <c r="O79" s="102" t="s">
        <v>34</v>
      </c>
      <c r="P79" s="134"/>
      <c r="Q79" s="135"/>
      <c r="R79" s="1">
        <f t="shared" si="3"/>
        <v>231.1629175187457</v>
      </c>
      <c r="V79" s="8"/>
      <c r="W79" s="8">
        <v>2</v>
      </c>
      <c r="X79" s="8"/>
      <c r="Y79" s="8"/>
      <c r="AA79" s="90"/>
      <c r="AB79" s="91"/>
      <c r="AC79" s="91"/>
      <c r="AL79" s="1">
        <v>1</v>
      </c>
      <c r="AM79" s="1">
        <v>1</v>
      </c>
    </row>
    <row r="80" spans="1:39" ht="12" customHeight="1">
      <c r="A80" s="98" t="s">
        <v>67</v>
      </c>
      <c r="B80" s="126" t="s">
        <v>147</v>
      </c>
      <c r="C80" s="126"/>
      <c r="D80" s="126"/>
      <c r="E80" s="125" t="s">
        <v>143</v>
      </c>
      <c r="F80" s="125"/>
      <c r="G80" s="125"/>
      <c r="H80" s="125"/>
      <c r="I80" s="44">
        <v>9</v>
      </c>
      <c r="J80" s="8" t="s">
        <v>12</v>
      </c>
      <c r="K80" s="10">
        <v>19</v>
      </c>
      <c r="L80" s="99">
        <v>28</v>
      </c>
      <c r="M80" s="100">
        <f t="shared" si="1"/>
        <v>9</v>
      </c>
      <c r="N80" s="101">
        <f t="shared" si="2"/>
        <v>2.1853637160385624</v>
      </c>
      <c r="O80" s="102" t="s">
        <v>34</v>
      </c>
      <c r="P80" s="134"/>
      <c r="Q80" s="135"/>
      <c r="R80" s="1">
        <f t="shared" si="3"/>
        <v>61.190184049079747</v>
      </c>
      <c r="V80" s="8"/>
      <c r="W80" s="8"/>
      <c r="X80" s="8">
        <v>1</v>
      </c>
      <c r="Y80" s="8"/>
      <c r="AA80" s="90"/>
      <c r="AB80" s="91"/>
      <c r="AC80" s="91"/>
      <c r="AL80" s="1">
        <v>1</v>
      </c>
      <c r="AM80" s="1">
        <v>1</v>
      </c>
    </row>
    <row r="81" spans="1:39" ht="12" customHeight="1">
      <c r="A81" s="98" t="s">
        <v>145</v>
      </c>
      <c r="B81" s="126" t="s">
        <v>39</v>
      </c>
      <c r="C81" s="126"/>
      <c r="D81" s="126"/>
      <c r="E81" s="125" t="s">
        <v>144</v>
      </c>
      <c r="F81" s="125"/>
      <c r="G81" s="125"/>
      <c r="H81" s="125"/>
      <c r="I81" s="44">
        <f>13*2</f>
        <v>26</v>
      </c>
      <c r="J81" s="8" t="s">
        <v>12</v>
      </c>
      <c r="K81" s="10">
        <v>19</v>
      </c>
      <c r="L81" s="99">
        <v>28</v>
      </c>
      <c r="M81" s="100">
        <f t="shared" si="1"/>
        <v>9</v>
      </c>
      <c r="N81" s="101">
        <f t="shared" si="2"/>
        <v>6.3132729574447355</v>
      </c>
      <c r="O81" s="102" t="s">
        <v>34</v>
      </c>
      <c r="P81" s="134"/>
      <c r="Q81" s="135"/>
      <c r="R81" s="1">
        <f t="shared" si="3"/>
        <v>176.77164280845258</v>
      </c>
      <c r="V81" s="8"/>
      <c r="W81" s="8"/>
      <c r="X81" s="8">
        <v>2</v>
      </c>
      <c r="Y81" s="8"/>
      <c r="AA81" s="90"/>
      <c r="AB81" s="91"/>
      <c r="AC81" s="91"/>
      <c r="AL81" s="1">
        <v>1</v>
      </c>
      <c r="AM81" s="1">
        <v>1</v>
      </c>
    </row>
    <row r="82" spans="1:39" ht="12" customHeight="1">
      <c r="A82" s="98" t="s">
        <v>146</v>
      </c>
      <c r="B82" s="126" t="s">
        <v>39</v>
      </c>
      <c r="C82" s="126"/>
      <c r="D82" s="126"/>
      <c r="E82" s="125" t="s">
        <v>144</v>
      </c>
      <c r="F82" s="125"/>
      <c r="G82" s="125"/>
      <c r="H82" s="125"/>
      <c r="I82" s="44">
        <f>13*2</f>
        <v>26</v>
      </c>
      <c r="J82" s="8" t="s">
        <v>12</v>
      </c>
      <c r="K82" s="10">
        <v>19</v>
      </c>
      <c r="L82" s="99">
        <v>28</v>
      </c>
      <c r="M82" s="100">
        <f t="shared" si="1"/>
        <v>9</v>
      </c>
      <c r="N82" s="101">
        <f t="shared" si="2"/>
        <v>6.3132729574447355</v>
      </c>
      <c r="O82" s="102" t="s">
        <v>34</v>
      </c>
      <c r="P82" s="134"/>
      <c r="Q82" s="135"/>
      <c r="R82" s="1">
        <f t="shared" si="3"/>
        <v>176.77164280845258</v>
      </c>
      <c r="V82" s="8"/>
      <c r="W82" s="8"/>
      <c r="X82" s="8">
        <v>2</v>
      </c>
      <c r="Y82" s="8"/>
      <c r="AA82" s="90"/>
      <c r="AB82" s="91"/>
      <c r="AC82" s="91"/>
      <c r="AL82" s="1">
        <v>1</v>
      </c>
      <c r="AM82" s="1">
        <v>1</v>
      </c>
    </row>
    <row r="83" spans="1:39" ht="12.75" customHeight="1">
      <c r="A83" s="98" t="s">
        <v>166</v>
      </c>
      <c r="B83" s="126" t="s">
        <v>147</v>
      </c>
      <c r="C83" s="126"/>
      <c r="D83" s="126"/>
      <c r="E83" s="125" t="s">
        <v>143</v>
      </c>
      <c r="F83" s="125"/>
      <c r="G83" s="125"/>
      <c r="H83" s="125"/>
      <c r="I83" s="44">
        <v>9</v>
      </c>
      <c r="J83" s="8" t="s">
        <v>12</v>
      </c>
      <c r="K83" s="10">
        <v>19</v>
      </c>
      <c r="L83" s="99">
        <v>28</v>
      </c>
      <c r="M83" s="100">
        <f t="shared" si="1"/>
        <v>9</v>
      </c>
      <c r="N83" s="101">
        <f t="shared" si="2"/>
        <v>2.1853637160385624</v>
      </c>
      <c r="O83" s="102" t="s">
        <v>34</v>
      </c>
      <c r="P83" s="136"/>
      <c r="Q83" s="137"/>
      <c r="R83" s="1">
        <f t="shared" si="3"/>
        <v>61.190184049079747</v>
      </c>
      <c r="V83" s="8"/>
      <c r="W83" s="8"/>
      <c r="X83" s="8">
        <v>1</v>
      </c>
      <c r="Y83" s="8"/>
      <c r="AL83" s="1">
        <v>1</v>
      </c>
      <c r="AM83" s="1">
        <v>1</v>
      </c>
    </row>
    <row r="84" spans="1:39" ht="12">
      <c r="A84" s="94" t="s">
        <v>60</v>
      </c>
      <c r="B84" s="131"/>
      <c r="C84" s="131"/>
      <c r="D84" s="131"/>
      <c r="E84" s="138"/>
      <c r="F84" s="139"/>
      <c r="G84" s="139"/>
      <c r="H84" s="140"/>
      <c r="I84" s="95">
        <f>SUM(I85:I96)</f>
        <v>185.2</v>
      </c>
      <c r="J84" s="8"/>
      <c r="K84" s="96">
        <f>MIN(K85:K96)</f>
        <v>19</v>
      </c>
      <c r="L84" s="8"/>
      <c r="M84" s="8"/>
      <c r="N84" s="95">
        <f>SUM(N85:N96)</f>
        <v>38.991063674310837</v>
      </c>
      <c r="O84" s="97"/>
      <c r="P84" s="132"/>
      <c r="Q84" s="133"/>
      <c r="R84" s="1">
        <f t="shared" si="3"/>
        <v>0</v>
      </c>
      <c r="T84" s="4"/>
      <c r="U84" s="4"/>
      <c r="V84" s="114"/>
      <c r="W84" s="115"/>
      <c r="X84" s="115"/>
      <c r="Y84" s="116"/>
      <c r="AL84" s="1"/>
      <c r="AM84" s="1"/>
    </row>
    <row r="85" spans="1:39">
      <c r="A85" s="105" t="s">
        <v>22</v>
      </c>
      <c r="B85" s="124" t="s">
        <v>66</v>
      </c>
      <c r="C85" s="124"/>
      <c r="D85" s="124"/>
      <c r="E85" s="89">
        <v>16.399999999999999</v>
      </c>
      <c r="F85" s="89">
        <v>14.1</v>
      </c>
      <c r="G85" s="89">
        <v>9.8000000000000007</v>
      </c>
      <c r="H85" s="93" t="s">
        <v>155</v>
      </c>
      <c r="I85" s="44">
        <v>17.100000000000001</v>
      </c>
      <c r="J85" s="8">
        <v>46.4</v>
      </c>
      <c r="K85" s="10">
        <v>19</v>
      </c>
      <c r="L85" s="99">
        <v>38.799999999999997</v>
      </c>
      <c r="M85" s="100">
        <f t="shared" ref="M85:M96" si="4">L85-K85</f>
        <v>19.799999999999997</v>
      </c>
      <c r="N85" s="101">
        <f>124.675*I85/($T$64*$T$65*M85)</f>
        <v>1.8873595729423953</v>
      </c>
      <c r="O85" s="102" t="s">
        <v>34</v>
      </c>
      <c r="P85" s="123" t="s">
        <v>153</v>
      </c>
      <c r="Q85" s="123"/>
      <c r="R85" s="1">
        <f t="shared" si="3"/>
        <v>73.229551430164932</v>
      </c>
      <c r="T85" s="4"/>
      <c r="U85" s="4"/>
      <c r="V85" s="8"/>
      <c r="W85" s="8"/>
      <c r="X85" s="8"/>
      <c r="Y85" s="8">
        <v>1</v>
      </c>
      <c r="AL85" s="1">
        <v>1</v>
      </c>
      <c r="AM85" s="1">
        <v>1</v>
      </c>
    </row>
    <row r="86" spans="1:39">
      <c r="A86" s="105" t="s">
        <v>23</v>
      </c>
      <c r="B86" s="124" t="s">
        <v>40</v>
      </c>
      <c r="C86" s="124"/>
      <c r="D86" s="124"/>
      <c r="E86" s="89">
        <v>16.399999999999999</v>
      </c>
      <c r="F86" s="89">
        <v>12.8</v>
      </c>
      <c r="G86" s="89">
        <v>9.8000000000000007</v>
      </c>
      <c r="H86" s="93" t="s">
        <v>159</v>
      </c>
      <c r="I86" s="44">
        <v>17.100000000000001</v>
      </c>
      <c r="J86" s="8">
        <v>32</v>
      </c>
      <c r="K86" s="10">
        <v>19</v>
      </c>
      <c r="L86" s="99">
        <v>28.8</v>
      </c>
      <c r="M86" s="100">
        <f t="shared" si="4"/>
        <v>9.8000000000000007</v>
      </c>
      <c r="N86" s="101">
        <f t="shared" ref="N86:N96" si="5">124.675*I86/($T$64*$T$65*M86)</f>
        <v>3.813236688189737</v>
      </c>
      <c r="O86" s="103" t="s">
        <v>13</v>
      </c>
      <c r="P86" s="123"/>
      <c r="Q86" s="123"/>
      <c r="R86" s="1">
        <f t="shared" si="3"/>
        <v>109.82121661986443</v>
      </c>
      <c r="T86" s="4"/>
      <c r="U86" s="4"/>
      <c r="V86" s="8"/>
      <c r="W86" s="8"/>
      <c r="X86" s="8">
        <v>1</v>
      </c>
      <c r="Y86" s="8"/>
      <c r="AL86" s="1">
        <v>2</v>
      </c>
      <c r="AM86" s="1">
        <v>3</v>
      </c>
    </row>
    <row r="87" spans="1:39">
      <c r="A87" s="105" t="s">
        <v>46</v>
      </c>
      <c r="B87" s="124" t="s">
        <v>167</v>
      </c>
      <c r="C87" s="124"/>
      <c r="D87" s="124"/>
      <c r="E87" s="89">
        <v>16.399999999999999</v>
      </c>
      <c r="F87" s="89">
        <v>11.5</v>
      </c>
      <c r="G87" s="89">
        <v>9.8000000000000007</v>
      </c>
      <c r="H87" s="93" t="s">
        <v>155</v>
      </c>
      <c r="I87" s="44">
        <v>15.1</v>
      </c>
      <c r="J87" s="8">
        <v>50</v>
      </c>
      <c r="K87" s="10">
        <v>19</v>
      </c>
      <c r="L87" s="99">
        <v>43.7</v>
      </c>
      <c r="M87" s="100">
        <f t="shared" si="4"/>
        <v>24.700000000000003</v>
      </c>
      <c r="N87" s="101">
        <f t="shared" si="5"/>
        <v>1.3359915834891616</v>
      </c>
      <c r="O87" s="102" t="s">
        <v>34</v>
      </c>
      <c r="P87" s="123"/>
      <c r="Q87" s="123"/>
      <c r="R87" s="1">
        <f t="shared" si="3"/>
        <v>58.382832198476365</v>
      </c>
      <c r="T87" s="4"/>
      <c r="U87" s="4"/>
      <c r="V87" s="8"/>
      <c r="W87" s="8"/>
      <c r="X87" s="8"/>
      <c r="Y87" s="8">
        <v>1</v>
      </c>
      <c r="AL87" s="1">
        <v>1</v>
      </c>
      <c r="AM87" s="1">
        <v>1</v>
      </c>
    </row>
    <row r="88" spans="1:39">
      <c r="A88" s="105" t="s">
        <v>168</v>
      </c>
      <c r="B88" s="124" t="s">
        <v>169</v>
      </c>
      <c r="C88" s="124"/>
      <c r="D88" s="124"/>
      <c r="E88" s="89">
        <v>16.399999999999999</v>
      </c>
      <c r="F88" s="89">
        <v>12.8</v>
      </c>
      <c r="G88" s="89">
        <v>9.8000000000000007</v>
      </c>
      <c r="H88" s="93" t="s">
        <v>170</v>
      </c>
      <c r="I88" s="44">
        <v>16.399999999999999</v>
      </c>
      <c r="J88" s="8">
        <v>42.8</v>
      </c>
      <c r="K88" s="10">
        <v>19</v>
      </c>
      <c r="L88" s="99">
        <v>31.2</v>
      </c>
      <c r="M88" s="100">
        <f t="shared" si="4"/>
        <v>12.2</v>
      </c>
      <c r="N88" s="101">
        <f t="shared" si="5"/>
        <v>2.9377020445108544</v>
      </c>
      <c r="O88" s="102" t="s">
        <v>34</v>
      </c>
      <c r="P88" s="123"/>
      <c r="Q88" s="123"/>
      <c r="R88" s="1">
        <f t="shared" si="3"/>
        <v>91.656303788738654</v>
      </c>
      <c r="T88" s="4"/>
      <c r="U88" s="4"/>
      <c r="V88" s="8"/>
      <c r="W88" s="8"/>
      <c r="X88" s="8">
        <v>1</v>
      </c>
      <c r="Y88" s="8"/>
      <c r="AL88" s="1">
        <v>1</v>
      </c>
      <c r="AM88" s="1">
        <v>1</v>
      </c>
    </row>
    <row r="89" spans="1:39">
      <c r="A89" s="105" t="s">
        <v>171</v>
      </c>
      <c r="B89" s="124" t="s">
        <v>172</v>
      </c>
      <c r="C89" s="124"/>
      <c r="D89" s="124"/>
      <c r="E89" s="125" t="s">
        <v>173</v>
      </c>
      <c r="F89" s="125"/>
      <c r="G89" s="125"/>
      <c r="H89" s="125"/>
      <c r="I89" s="44">
        <v>19</v>
      </c>
      <c r="J89" s="8" t="s">
        <v>12</v>
      </c>
      <c r="K89" s="10">
        <v>19</v>
      </c>
      <c r="L89" s="99">
        <v>28</v>
      </c>
      <c r="M89" s="100">
        <f t="shared" si="4"/>
        <v>9</v>
      </c>
      <c r="N89" s="101">
        <f t="shared" si="5"/>
        <v>4.6135456227480756</v>
      </c>
      <c r="O89" s="103" t="s">
        <v>13</v>
      </c>
      <c r="P89" s="123"/>
      <c r="Q89" s="123"/>
      <c r="R89" s="1">
        <f t="shared" si="3"/>
        <v>129.17927743694611</v>
      </c>
      <c r="T89" s="4"/>
      <c r="U89" s="4"/>
      <c r="V89" s="8"/>
      <c r="W89" s="8">
        <v>1</v>
      </c>
      <c r="X89" s="8"/>
      <c r="Y89" s="8"/>
      <c r="AL89" s="1">
        <v>2</v>
      </c>
      <c r="AM89" s="1">
        <v>3</v>
      </c>
    </row>
    <row r="90" spans="1:39">
      <c r="A90" s="105" t="s">
        <v>174</v>
      </c>
      <c r="B90" s="124" t="s">
        <v>175</v>
      </c>
      <c r="C90" s="124"/>
      <c r="D90" s="124"/>
      <c r="E90" s="125" t="s">
        <v>176</v>
      </c>
      <c r="F90" s="125"/>
      <c r="G90" s="125"/>
      <c r="H90" s="125"/>
      <c r="I90" s="44">
        <v>2</v>
      </c>
      <c r="J90" s="8" t="s">
        <v>12</v>
      </c>
      <c r="K90" s="10">
        <v>19</v>
      </c>
      <c r="L90" s="99">
        <v>28</v>
      </c>
      <c r="M90" s="100">
        <f t="shared" si="4"/>
        <v>9</v>
      </c>
      <c r="N90" s="101">
        <f t="shared" si="5"/>
        <v>0.48563638134190273</v>
      </c>
      <c r="O90" s="103" t="s">
        <v>13</v>
      </c>
      <c r="P90" s="123"/>
      <c r="Q90" s="123"/>
      <c r="R90" s="1">
        <f t="shared" si="3"/>
        <v>13.597818677573276</v>
      </c>
      <c r="T90" s="4"/>
      <c r="U90" s="4"/>
      <c r="V90" s="8"/>
      <c r="W90" s="8"/>
      <c r="X90" s="8"/>
      <c r="Y90" s="8">
        <v>1</v>
      </c>
      <c r="AL90" s="1">
        <v>2</v>
      </c>
      <c r="AM90" s="1">
        <v>3</v>
      </c>
    </row>
    <row r="91" spans="1:39">
      <c r="A91" s="105" t="s">
        <v>177</v>
      </c>
      <c r="B91" s="124" t="s">
        <v>178</v>
      </c>
      <c r="C91" s="124"/>
      <c r="D91" s="124"/>
      <c r="E91" s="125" t="s">
        <v>179</v>
      </c>
      <c r="F91" s="125"/>
      <c r="G91" s="125"/>
      <c r="H91" s="125"/>
      <c r="I91" s="44">
        <v>4.5</v>
      </c>
      <c r="J91" s="8" t="s">
        <v>12</v>
      </c>
      <c r="K91" s="10">
        <v>19</v>
      </c>
      <c r="L91" s="99">
        <v>28</v>
      </c>
      <c r="M91" s="100">
        <f t="shared" si="4"/>
        <v>9</v>
      </c>
      <c r="N91" s="101">
        <f t="shared" si="5"/>
        <v>1.0926818580192812</v>
      </c>
      <c r="O91" s="103" t="s">
        <v>13</v>
      </c>
      <c r="P91" s="123"/>
      <c r="Q91" s="123"/>
      <c r="R91" s="1">
        <f t="shared" si="3"/>
        <v>30.595092024539873</v>
      </c>
      <c r="T91" s="4"/>
      <c r="U91" s="4"/>
      <c r="V91" s="8"/>
      <c r="W91" s="8"/>
      <c r="X91" s="8"/>
      <c r="Y91" s="8">
        <v>1</v>
      </c>
      <c r="AL91" s="1">
        <v>2</v>
      </c>
      <c r="AM91" s="1">
        <v>3</v>
      </c>
    </row>
    <row r="92" spans="1:39">
      <c r="A92" s="105" t="s">
        <v>180</v>
      </c>
      <c r="B92" s="124" t="s">
        <v>175</v>
      </c>
      <c r="C92" s="124"/>
      <c r="D92" s="124"/>
      <c r="E92" s="125" t="s">
        <v>176</v>
      </c>
      <c r="F92" s="125"/>
      <c r="G92" s="125"/>
      <c r="H92" s="125"/>
      <c r="I92" s="44">
        <v>2</v>
      </c>
      <c r="J92" s="8" t="s">
        <v>12</v>
      </c>
      <c r="K92" s="10">
        <v>19</v>
      </c>
      <c r="L92" s="99">
        <v>28</v>
      </c>
      <c r="M92" s="100">
        <f t="shared" si="4"/>
        <v>9</v>
      </c>
      <c r="N92" s="101">
        <f t="shared" si="5"/>
        <v>0.48563638134190273</v>
      </c>
      <c r="O92" s="103" t="s">
        <v>13</v>
      </c>
      <c r="P92" s="123"/>
      <c r="Q92" s="123"/>
      <c r="R92" s="1">
        <f t="shared" si="3"/>
        <v>13.597818677573276</v>
      </c>
      <c r="T92" s="4"/>
      <c r="U92" s="4"/>
      <c r="V92" s="8"/>
      <c r="W92" s="8"/>
      <c r="X92" s="8"/>
      <c r="Y92" s="8">
        <v>1</v>
      </c>
      <c r="AL92" s="1">
        <v>2</v>
      </c>
      <c r="AM92" s="1">
        <v>3</v>
      </c>
    </row>
    <row r="93" spans="1:39">
      <c r="A93" s="105" t="s">
        <v>181</v>
      </c>
      <c r="B93" s="124" t="s">
        <v>182</v>
      </c>
      <c r="C93" s="124"/>
      <c r="D93" s="124"/>
      <c r="E93" s="125" t="s">
        <v>183</v>
      </c>
      <c r="F93" s="125"/>
      <c r="G93" s="125"/>
      <c r="H93" s="125"/>
      <c r="I93" s="44">
        <f>11*2</f>
        <v>22</v>
      </c>
      <c r="J93" s="8" t="s">
        <v>12</v>
      </c>
      <c r="K93" s="10">
        <v>19</v>
      </c>
      <c r="L93" s="99">
        <v>28</v>
      </c>
      <c r="M93" s="100">
        <f t="shared" si="4"/>
        <v>9</v>
      </c>
      <c r="N93" s="101">
        <f t="shared" si="5"/>
        <v>5.3420001947609306</v>
      </c>
      <c r="O93" s="102" t="s">
        <v>34</v>
      </c>
      <c r="P93" s="123"/>
      <c r="Q93" s="123"/>
      <c r="R93" s="1">
        <f t="shared" si="3"/>
        <v>149.57600545330607</v>
      </c>
      <c r="T93" s="4"/>
      <c r="U93" s="4"/>
      <c r="V93" s="8"/>
      <c r="W93" s="8">
        <v>2</v>
      </c>
      <c r="X93" s="8"/>
      <c r="Y93" s="8"/>
      <c r="AL93" s="1">
        <v>1</v>
      </c>
      <c r="AM93" s="1">
        <v>1</v>
      </c>
    </row>
    <row r="94" spans="1:39">
      <c r="A94" s="105" t="s">
        <v>184</v>
      </c>
      <c r="B94" s="124" t="s">
        <v>185</v>
      </c>
      <c r="C94" s="124"/>
      <c r="D94" s="124"/>
      <c r="E94" s="125" t="s">
        <v>186</v>
      </c>
      <c r="F94" s="125"/>
      <c r="G94" s="125"/>
      <c r="H94" s="125"/>
      <c r="I94" s="44">
        <f>16*2</f>
        <v>32</v>
      </c>
      <c r="J94" s="8" t="s">
        <v>12</v>
      </c>
      <c r="K94" s="10">
        <v>19</v>
      </c>
      <c r="L94" s="99">
        <v>28</v>
      </c>
      <c r="M94" s="100">
        <f t="shared" si="4"/>
        <v>9</v>
      </c>
      <c r="N94" s="101">
        <f t="shared" si="5"/>
        <v>7.7701821014704437</v>
      </c>
      <c r="O94" s="102" t="s">
        <v>34</v>
      </c>
      <c r="P94" s="123"/>
      <c r="Q94" s="123"/>
      <c r="R94" s="1">
        <f t="shared" si="3"/>
        <v>217.56509884117241</v>
      </c>
      <c r="T94" s="4"/>
      <c r="U94" s="4"/>
      <c r="V94" s="8"/>
      <c r="W94" s="8">
        <v>2</v>
      </c>
      <c r="X94" s="8"/>
      <c r="Y94" s="8"/>
      <c r="AL94" s="1">
        <v>1</v>
      </c>
      <c r="AM94" s="1">
        <v>1</v>
      </c>
    </row>
    <row r="95" spans="1:39">
      <c r="A95" s="105" t="s">
        <v>187</v>
      </c>
      <c r="B95" s="124" t="s">
        <v>188</v>
      </c>
      <c r="C95" s="124"/>
      <c r="D95" s="124"/>
      <c r="E95" s="125" t="s">
        <v>189</v>
      </c>
      <c r="F95" s="125"/>
      <c r="G95" s="125"/>
      <c r="H95" s="125"/>
      <c r="I95" s="44">
        <v>11</v>
      </c>
      <c r="J95" s="8" t="s">
        <v>12</v>
      </c>
      <c r="K95" s="10">
        <v>19</v>
      </c>
      <c r="L95" s="99">
        <v>28</v>
      </c>
      <c r="M95" s="100">
        <f t="shared" si="4"/>
        <v>9</v>
      </c>
      <c r="N95" s="101">
        <f t="shared" si="5"/>
        <v>2.6710000973804653</v>
      </c>
      <c r="O95" s="102" t="s">
        <v>34</v>
      </c>
      <c r="P95" s="123"/>
      <c r="Q95" s="123"/>
      <c r="R95" s="1">
        <f t="shared" si="3"/>
        <v>74.788002726653033</v>
      </c>
      <c r="T95" s="4"/>
      <c r="U95" s="4"/>
      <c r="V95" s="8"/>
      <c r="W95" s="8">
        <v>1</v>
      </c>
      <c r="X95" s="8"/>
      <c r="Y95" s="8"/>
      <c r="AL95" s="1">
        <v>1</v>
      </c>
      <c r="AM95" s="1">
        <v>1</v>
      </c>
    </row>
    <row r="96" spans="1:39">
      <c r="A96" s="105" t="s">
        <v>190</v>
      </c>
      <c r="B96" s="124" t="s">
        <v>191</v>
      </c>
      <c r="C96" s="124"/>
      <c r="D96" s="124"/>
      <c r="E96" s="125" t="s">
        <v>192</v>
      </c>
      <c r="F96" s="125"/>
      <c r="G96" s="125"/>
      <c r="H96" s="125"/>
      <c r="I96" s="44">
        <f>16+11</f>
        <v>27</v>
      </c>
      <c r="J96" s="8" t="s">
        <v>12</v>
      </c>
      <c r="K96" s="10">
        <v>19</v>
      </c>
      <c r="L96" s="99">
        <v>28</v>
      </c>
      <c r="M96" s="100">
        <f t="shared" si="4"/>
        <v>9</v>
      </c>
      <c r="N96" s="101">
        <f t="shared" si="5"/>
        <v>6.5560911481156872</v>
      </c>
      <c r="O96" s="102" t="s">
        <v>34</v>
      </c>
      <c r="P96" s="123"/>
      <c r="Q96" s="123"/>
      <c r="R96" s="1">
        <f t="shared" si="3"/>
        <v>183.57055214723925</v>
      </c>
      <c r="T96" s="4"/>
      <c r="U96" s="4"/>
      <c r="V96" s="8"/>
      <c r="W96" s="8">
        <v>2</v>
      </c>
      <c r="X96" s="8"/>
      <c r="Y96" s="8"/>
      <c r="AL96" s="1">
        <v>1</v>
      </c>
      <c r="AM96" s="1">
        <v>1</v>
      </c>
    </row>
    <row r="97" spans="1:40">
      <c r="V97" s="1">
        <f>SUM(V66:V96)</f>
        <v>0</v>
      </c>
      <c r="W97" s="1">
        <f>SUM(W66:W96)</f>
        <v>13</v>
      </c>
      <c r="X97" s="1">
        <f>SUM(X66:X96)</f>
        <v>12</v>
      </c>
      <c r="Y97" s="1">
        <f>SUM(Y66:Y96)</f>
        <v>13</v>
      </c>
      <c r="AL97" s="1">
        <f>SUM(AL17:AL96)</f>
        <v>56</v>
      </c>
      <c r="AM97" s="1">
        <f>SUM(AM17:AM96)</f>
        <v>73</v>
      </c>
    </row>
    <row r="98" spans="1:40" ht="12">
      <c r="A98" s="24" t="s">
        <v>193</v>
      </c>
      <c r="B98" s="25"/>
      <c r="C98" s="25"/>
      <c r="D98" s="25"/>
      <c r="E98" s="26" t="s">
        <v>27</v>
      </c>
      <c r="F98" s="25"/>
      <c r="G98" s="32">
        <f>C99+C100</f>
        <v>604.09499999999991</v>
      </c>
      <c r="H98" s="27" t="s">
        <v>149</v>
      </c>
      <c r="AL98" s="1"/>
      <c r="AM98" s="106" t="s">
        <v>200</v>
      </c>
      <c r="AN98" s="107">
        <f>IF(AL97&gt;AM97,(AL97/8)*1.25,(AM97/8)*1.25)</f>
        <v>11.40625</v>
      </c>
    </row>
    <row r="99" spans="1:40">
      <c r="A99" s="108" t="s">
        <v>213</v>
      </c>
      <c r="B99" s="39"/>
      <c r="C99" s="64">
        <f>I65+I84</f>
        <v>525.29999999999995</v>
      </c>
      <c r="D99" s="109" t="s">
        <v>80</v>
      </c>
      <c r="E99" s="40" t="s">
        <v>41</v>
      </c>
      <c r="F99" s="39"/>
      <c r="G99" s="41">
        <f>MIN(K65:K96)</f>
        <v>19</v>
      </c>
      <c r="H99" s="42" t="s">
        <v>194</v>
      </c>
      <c r="AL99" s="1"/>
      <c r="AM99" s="106" t="s">
        <v>201</v>
      </c>
      <c r="AN99" s="107">
        <f>AL97</f>
        <v>56</v>
      </c>
    </row>
    <row r="100" spans="1:40">
      <c r="A100" s="110" t="s">
        <v>214</v>
      </c>
      <c r="B100" s="39"/>
      <c r="C100" s="39">
        <f>0.15*C99</f>
        <v>78.794999999999987</v>
      </c>
      <c r="D100" s="111" t="s">
        <v>80</v>
      </c>
      <c r="E100" s="40" t="s">
        <v>216</v>
      </c>
      <c r="F100" s="39"/>
      <c r="G100" s="41">
        <f>(SUM(R66:R96)+(T67*28))/G101</f>
        <v>29.905542530209061</v>
      </c>
      <c r="H100" s="42"/>
      <c r="AL100" s="1"/>
      <c r="AM100" s="106" t="s">
        <v>202</v>
      </c>
      <c r="AN100" s="107">
        <v>2</v>
      </c>
    </row>
    <row r="101" spans="1:40">
      <c r="A101" s="112" t="s">
        <v>215</v>
      </c>
      <c r="B101" s="5"/>
      <c r="C101" s="5">
        <v>22.9</v>
      </c>
      <c r="D101" s="113" t="s">
        <v>80</v>
      </c>
      <c r="E101" s="29" t="s">
        <v>42</v>
      </c>
      <c r="F101" s="5"/>
      <c r="G101" s="43">
        <f>N84+N65+T67</f>
        <v>121.05471051837782</v>
      </c>
      <c r="H101" s="30" t="s">
        <v>43</v>
      </c>
      <c r="AL101" s="1"/>
      <c r="AM101" s="106" t="s">
        <v>203</v>
      </c>
      <c r="AN101" s="107">
        <v>2</v>
      </c>
    </row>
    <row r="102" spans="1:40" ht="12">
      <c r="A102" s="61"/>
      <c r="B102" s="199"/>
      <c r="C102" s="199"/>
      <c r="D102" s="199"/>
      <c r="E102" s="39"/>
      <c r="F102" s="39"/>
      <c r="G102" s="39"/>
      <c r="H102" s="39"/>
      <c r="I102" s="62"/>
      <c r="J102" s="39"/>
      <c r="K102" s="63"/>
      <c r="L102" s="39"/>
      <c r="M102" s="39"/>
      <c r="N102" s="196"/>
      <c r="O102" s="196"/>
      <c r="P102" s="196"/>
      <c r="Q102" s="196"/>
      <c r="AL102" s="1"/>
      <c r="AM102" s="1"/>
    </row>
    <row r="103" spans="1:40">
      <c r="A103" s="69"/>
      <c r="B103" s="197"/>
      <c r="C103" s="197"/>
      <c r="D103" s="197"/>
      <c r="E103" s="70"/>
      <c r="F103" s="70"/>
      <c r="G103" s="70"/>
      <c r="H103" s="71"/>
      <c r="I103" s="64"/>
      <c r="J103" s="39"/>
      <c r="K103" s="65"/>
      <c r="L103" s="39"/>
      <c r="M103" s="66"/>
      <c r="N103" s="196"/>
      <c r="O103" s="196"/>
      <c r="P103" s="196"/>
      <c r="Q103" s="196"/>
      <c r="AL103" s="1"/>
      <c r="AM103" s="1"/>
    </row>
    <row r="104" spans="1:40">
      <c r="A104" s="69"/>
      <c r="B104" s="197"/>
      <c r="C104" s="197"/>
      <c r="D104" s="197"/>
      <c r="E104" s="70"/>
      <c r="F104" s="70"/>
      <c r="G104" s="70"/>
      <c r="H104" s="71"/>
      <c r="I104" s="64"/>
      <c r="J104" s="39"/>
      <c r="K104" s="65"/>
      <c r="L104" s="39"/>
      <c r="M104" s="66"/>
      <c r="N104" s="196"/>
      <c r="O104" s="196"/>
      <c r="P104" s="196"/>
      <c r="Q104" s="196"/>
      <c r="AL104" s="1"/>
      <c r="AM104" s="1"/>
    </row>
    <row r="105" spans="1:40">
      <c r="A105" s="47"/>
      <c r="B105" s="47"/>
      <c r="C105" s="47"/>
      <c r="D105" s="47"/>
      <c r="E105" s="47"/>
      <c r="F105" s="47"/>
      <c r="G105" s="47"/>
      <c r="H105" s="47"/>
      <c r="I105" s="47"/>
      <c r="J105" s="48"/>
      <c r="K105" s="48"/>
      <c r="L105" s="47"/>
      <c r="M105" s="48"/>
      <c r="N105" s="47"/>
      <c r="O105" s="47"/>
      <c r="P105" s="47"/>
      <c r="Q105" s="47"/>
      <c r="AL105" s="1"/>
      <c r="AM105" s="1"/>
    </row>
    <row r="106" spans="1:40" ht="12">
      <c r="A106" s="61"/>
      <c r="B106" s="39"/>
      <c r="C106" s="39"/>
      <c r="D106" s="39"/>
      <c r="E106" s="40"/>
      <c r="F106" s="39"/>
      <c r="G106" s="41"/>
      <c r="H106" s="57"/>
      <c r="I106" s="47"/>
      <c r="J106" s="48"/>
      <c r="K106" s="48"/>
      <c r="L106" s="47"/>
      <c r="M106" s="48"/>
      <c r="N106" s="47"/>
      <c r="O106" s="47"/>
      <c r="P106" s="47"/>
      <c r="Q106" s="47"/>
      <c r="AL106" s="1"/>
      <c r="AM106" s="1"/>
    </row>
    <row r="107" spans="1:40">
      <c r="A107" s="39"/>
      <c r="B107" s="39"/>
      <c r="C107" s="39"/>
      <c r="D107" s="39"/>
      <c r="E107" s="40"/>
      <c r="F107" s="39"/>
      <c r="G107" s="56"/>
      <c r="H107" s="57"/>
      <c r="I107" s="47"/>
      <c r="J107" s="48"/>
      <c r="K107" s="48"/>
      <c r="L107" s="47"/>
      <c r="M107" s="48"/>
      <c r="N107" s="47"/>
      <c r="O107" s="47"/>
      <c r="P107" s="47"/>
      <c r="Q107" s="47"/>
      <c r="AL107" s="1"/>
      <c r="AM107" s="1"/>
    </row>
    <row r="108" spans="1:40">
      <c r="A108" s="39"/>
      <c r="B108" s="39"/>
      <c r="C108" s="39"/>
      <c r="D108" s="39"/>
      <c r="E108" s="40"/>
      <c r="F108" s="39"/>
      <c r="G108" s="56"/>
      <c r="H108" s="57"/>
      <c r="I108" s="47"/>
      <c r="J108" s="48"/>
      <c r="K108" s="48"/>
      <c r="L108" s="47"/>
      <c r="M108" s="48"/>
      <c r="N108" s="47"/>
      <c r="O108" s="47"/>
      <c r="P108" s="47"/>
      <c r="Q108" s="47"/>
      <c r="AL108" s="1"/>
      <c r="AM108" s="1"/>
    </row>
    <row r="109" spans="1:40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AL109" s="1"/>
      <c r="AM109" s="1"/>
    </row>
    <row r="110" spans="1:40" ht="12.75">
      <c r="A110" s="67"/>
      <c r="B110" s="39"/>
      <c r="C110" s="68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AL110" s="1"/>
      <c r="AM110" s="1"/>
    </row>
    <row r="111" spans="1:40">
      <c r="A111" s="40"/>
      <c r="B111" s="39"/>
      <c r="C111" s="57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AL111" s="1"/>
      <c r="AM111" s="1"/>
    </row>
    <row r="112" spans="1:40" ht="12.75">
      <c r="A112" s="67"/>
      <c r="B112" s="39"/>
      <c r="C112" s="68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AL112" s="1"/>
      <c r="AM112" s="1"/>
    </row>
    <row r="113" spans="1:39">
      <c r="A113" s="195"/>
      <c r="B113" s="195"/>
      <c r="C113" s="195"/>
      <c r="D113" s="195"/>
      <c r="E113" s="195"/>
      <c r="F113" s="195"/>
      <c r="G113" s="195"/>
      <c r="H113" s="60"/>
      <c r="I113" s="195"/>
      <c r="J113" s="198"/>
      <c r="K113" s="198"/>
      <c r="L113" s="195"/>
      <c r="M113" s="198"/>
      <c r="N113" s="195"/>
      <c r="O113" s="195"/>
      <c r="P113" s="195"/>
      <c r="Q113" s="195"/>
      <c r="AL113" s="1"/>
      <c r="AM113" s="1"/>
    </row>
    <row r="114" spans="1:39">
      <c r="A114" s="195"/>
      <c r="B114" s="195"/>
      <c r="C114" s="195"/>
      <c r="D114" s="195"/>
      <c r="E114" s="60"/>
      <c r="F114" s="60"/>
      <c r="G114" s="60"/>
      <c r="H114" s="60"/>
      <c r="I114" s="195"/>
      <c r="J114" s="198"/>
      <c r="K114" s="198"/>
      <c r="L114" s="195"/>
      <c r="M114" s="198"/>
      <c r="N114" s="195"/>
      <c r="O114" s="195"/>
      <c r="P114" s="195"/>
      <c r="Q114" s="195"/>
    </row>
    <row r="115" spans="1:39" ht="12">
      <c r="A115" s="61"/>
      <c r="B115" s="199"/>
      <c r="C115" s="199"/>
      <c r="D115" s="199"/>
      <c r="E115" s="39"/>
      <c r="F115" s="39"/>
      <c r="G115" s="39"/>
      <c r="H115" s="39"/>
      <c r="I115" s="62"/>
      <c r="J115" s="39"/>
      <c r="K115" s="63"/>
      <c r="L115" s="39"/>
      <c r="M115" s="39"/>
      <c r="N115" s="196"/>
      <c r="O115" s="196"/>
      <c r="P115" s="196"/>
      <c r="Q115" s="196"/>
    </row>
    <row r="116" spans="1:39">
      <c r="A116" s="69"/>
      <c r="B116" s="197"/>
      <c r="C116" s="197"/>
      <c r="D116" s="197"/>
      <c r="E116" s="70"/>
      <c r="F116" s="70"/>
      <c r="G116" s="70"/>
      <c r="H116" s="71"/>
      <c r="I116" s="64"/>
      <c r="J116" s="39"/>
      <c r="K116" s="65"/>
      <c r="L116" s="39"/>
      <c r="M116" s="66"/>
      <c r="N116" s="196"/>
      <c r="O116" s="196"/>
      <c r="P116" s="196"/>
      <c r="Q116" s="196"/>
    </row>
    <row r="117" spans="1:39">
      <c r="A117" s="69"/>
      <c r="B117" s="197"/>
      <c r="C117" s="197"/>
      <c r="D117" s="197"/>
      <c r="E117" s="70"/>
      <c r="F117" s="70"/>
      <c r="G117" s="70"/>
      <c r="H117" s="71"/>
      <c r="I117" s="64"/>
      <c r="J117" s="39"/>
      <c r="K117" s="65"/>
      <c r="L117" s="39"/>
      <c r="M117" s="66"/>
      <c r="N117" s="196"/>
      <c r="O117" s="196"/>
      <c r="P117" s="196"/>
      <c r="Q117" s="196"/>
    </row>
    <row r="118" spans="1:39">
      <c r="A118" s="47"/>
      <c r="B118" s="47"/>
      <c r="C118" s="47"/>
      <c r="D118" s="47"/>
      <c r="E118" s="47"/>
      <c r="F118" s="47"/>
      <c r="G118" s="47"/>
      <c r="H118" s="47"/>
      <c r="I118" s="47"/>
      <c r="J118" s="48"/>
      <c r="K118" s="48"/>
      <c r="L118" s="47"/>
      <c r="M118" s="48"/>
      <c r="N118" s="47"/>
      <c r="O118" s="47"/>
      <c r="P118" s="47"/>
      <c r="Q118" s="47"/>
    </row>
    <row r="119" spans="1:39" ht="12">
      <c r="A119" s="61"/>
      <c r="B119" s="39"/>
      <c r="C119" s="39"/>
      <c r="D119" s="39"/>
      <c r="E119" s="40"/>
      <c r="F119" s="39"/>
      <c r="G119" s="41"/>
      <c r="H119" s="57"/>
      <c r="I119" s="47"/>
      <c r="J119" s="48"/>
      <c r="K119" s="48"/>
      <c r="L119" s="47"/>
      <c r="M119" s="48"/>
      <c r="N119" s="47"/>
      <c r="O119" s="47"/>
      <c r="P119" s="47"/>
      <c r="Q119" s="47"/>
    </row>
    <row r="120" spans="1:39">
      <c r="A120" s="39"/>
      <c r="B120" s="39"/>
      <c r="C120" s="39"/>
      <c r="D120" s="39"/>
      <c r="E120" s="40"/>
      <c r="F120" s="39"/>
      <c r="G120" s="56"/>
      <c r="H120" s="57"/>
      <c r="I120" s="47"/>
      <c r="J120" s="48"/>
      <c r="K120" s="48"/>
      <c r="L120" s="47"/>
      <c r="M120" s="48"/>
      <c r="N120" s="47"/>
      <c r="O120" s="47"/>
      <c r="P120" s="47"/>
      <c r="Q120" s="47"/>
    </row>
    <row r="121" spans="1:39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</row>
    <row r="122" spans="1:39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</row>
    <row r="123" spans="1:39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</row>
    <row r="124" spans="1:39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</row>
    <row r="125" spans="1:39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</row>
    <row r="126" spans="1:39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</row>
    <row r="127" spans="1:39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</row>
  </sheetData>
  <mergeCells count="164">
    <mergeCell ref="A51:A52"/>
    <mergeCell ref="B51:D52"/>
    <mergeCell ref="E51:H52"/>
    <mergeCell ref="B53:D53"/>
    <mergeCell ref="B54:D54"/>
    <mergeCell ref="H57:K57"/>
    <mergeCell ref="J63:J64"/>
    <mergeCell ref="B66:D66"/>
    <mergeCell ref="B115:D115"/>
    <mergeCell ref="B113:D114"/>
    <mergeCell ref="E113:G113"/>
    <mergeCell ref="I113:I114"/>
    <mergeCell ref="J113:J114"/>
    <mergeCell ref="K113:K114"/>
    <mergeCell ref="B84:D84"/>
    <mergeCell ref="B85:D85"/>
    <mergeCell ref="B86:D86"/>
    <mergeCell ref="H58:J58"/>
    <mergeCell ref="B75:D75"/>
    <mergeCell ref="B76:D76"/>
    <mergeCell ref="E76:H76"/>
    <mergeCell ref="N113:O114"/>
    <mergeCell ref="P113:Q114"/>
    <mergeCell ref="N115:O117"/>
    <mergeCell ref="P115:Q117"/>
    <mergeCell ref="B116:D116"/>
    <mergeCell ref="B117:D117"/>
    <mergeCell ref="L113:L114"/>
    <mergeCell ref="M113:M114"/>
    <mergeCell ref="A63:A64"/>
    <mergeCell ref="B63:D64"/>
    <mergeCell ref="B67:D67"/>
    <mergeCell ref="B68:D68"/>
    <mergeCell ref="B69:D69"/>
    <mergeCell ref="B70:D70"/>
    <mergeCell ref="B71:D71"/>
    <mergeCell ref="B72:D72"/>
    <mergeCell ref="B73:D73"/>
    <mergeCell ref="B74:D74"/>
    <mergeCell ref="B102:D102"/>
    <mergeCell ref="N102:O104"/>
    <mergeCell ref="P102:Q104"/>
    <mergeCell ref="B103:D103"/>
    <mergeCell ref="B104:D104"/>
    <mergeCell ref="A113:A114"/>
    <mergeCell ref="P37:Q38"/>
    <mergeCell ref="B39:D39"/>
    <mergeCell ref="P39:Q42"/>
    <mergeCell ref="B40:D40"/>
    <mergeCell ref="B42:D42"/>
    <mergeCell ref="N39:O42"/>
    <mergeCell ref="H63:H64"/>
    <mergeCell ref="E63:G63"/>
    <mergeCell ref="H59:J59"/>
    <mergeCell ref="I63:I64"/>
    <mergeCell ref="M57:N57"/>
    <mergeCell ref="M58:N58"/>
    <mergeCell ref="M59:N59"/>
    <mergeCell ref="O63:O64"/>
    <mergeCell ref="P63:Q64"/>
    <mergeCell ref="P53:Q54"/>
    <mergeCell ref="E54:H54"/>
    <mergeCell ref="M54:O54"/>
    <mergeCell ref="J51:J52"/>
    <mergeCell ref="K51:K52"/>
    <mergeCell ref="L51:L52"/>
    <mergeCell ref="M51:O52"/>
    <mergeCell ref="P51:Q52"/>
    <mergeCell ref="I51:I52"/>
    <mergeCell ref="M37:M38"/>
    <mergeCell ref="N37:O38"/>
    <mergeCell ref="B23:D23"/>
    <mergeCell ref="E22:H22"/>
    <mergeCell ref="B25:D25"/>
    <mergeCell ref="B26:D26"/>
    <mergeCell ref="B77:D77"/>
    <mergeCell ref="E77:H77"/>
    <mergeCell ref="B78:D78"/>
    <mergeCell ref="E78:H78"/>
    <mergeCell ref="M2:N2"/>
    <mergeCell ref="N14:O15"/>
    <mergeCell ref="M3:N3"/>
    <mergeCell ref="K14:K15"/>
    <mergeCell ref="M4:N4"/>
    <mergeCell ref="H2:K2"/>
    <mergeCell ref="E24:H24"/>
    <mergeCell ref="E37:G37"/>
    <mergeCell ref="I37:I38"/>
    <mergeCell ref="J37:J38"/>
    <mergeCell ref="H37:H38"/>
    <mergeCell ref="E25:H25"/>
    <mergeCell ref="E20:H20"/>
    <mergeCell ref="E21:H21"/>
    <mergeCell ref="L14:L15"/>
    <mergeCell ref="M14:M15"/>
    <mergeCell ref="N16:O18"/>
    <mergeCell ref="A16:H16"/>
    <mergeCell ref="A14:A15"/>
    <mergeCell ref="B14:D15"/>
    <mergeCell ref="E14:G14"/>
    <mergeCell ref="I14:I15"/>
    <mergeCell ref="J14:J15"/>
    <mergeCell ref="B24:D24"/>
    <mergeCell ref="P65:Q83"/>
    <mergeCell ref="B83:D83"/>
    <mergeCell ref="E83:H83"/>
    <mergeCell ref="E84:H84"/>
    <mergeCell ref="P84:Q84"/>
    <mergeCell ref="H3:J3"/>
    <mergeCell ref="H4:J4"/>
    <mergeCell ref="H14:H15"/>
    <mergeCell ref="B37:D38"/>
    <mergeCell ref="E23:H23"/>
    <mergeCell ref="A19:H19"/>
    <mergeCell ref="B20:D20"/>
    <mergeCell ref="B21:D21"/>
    <mergeCell ref="B22:D22"/>
    <mergeCell ref="P14:Q15"/>
    <mergeCell ref="B17:D17"/>
    <mergeCell ref="B18:D18"/>
    <mergeCell ref="P16:Q18"/>
    <mergeCell ref="P19:Q26"/>
    <mergeCell ref="A37:A38"/>
    <mergeCell ref="E26:H26"/>
    <mergeCell ref="N19:O26"/>
    <mergeCell ref="K37:K38"/>
    <mergeCell ref="L37:L38"/>
    <mergeCell ref="B79:D79"/>
    <mergeCell ref="B80:D80"/>
    <mergeCell ref="B81:D81"/>
    <mergeCell ref="B82:D82"/>
    <mergeCell ref="K63:K64"/>
    <mergeCell ref="M63:M64"/>
    <mergeCell ref="N63:N64"/>
    <mergeCell ref="L63:L64"/>
    <mergeCell ref="B65:D65"/>
    <mergeCell ref="E79:H79"/>
    <mergeCell ref="E80:H80"/>
    <mergeCell ref="E81:H81"/>
    <mergeCell ref="E82:H82"/>
    <mergeCell ref="L7:O7"/>
    <mergeCell ref="H8:J8"/>
    <mergeCell ref="V64:W64"/>
    <mergeCell ref="X64:Y64"/>
    <mergeCell ref="B41:D41"/>
    <mergeCell ref="P85:Q96"/>
    <mergeCell ref="B87:D87"/>
    <mergeCell ref="B88:D88"/>
    <mergeCell ref="B89:D89"/>
    <mergeCell ref="E89:H89"/>
    <mergeCell ref="B90:D90"/>
    <mergeCell ref="E90:H90"/>
    <mergeCell ref="B91:D91"/>
    <mergeCell ref="E91:H91"/>
    <mergeCell ref="B92:D92"/>
    <mergeCell ref="E92:H92"/>
    <mergeCell ref="B93:D93"/>
    <mergeCell ref="E93:H93"/>
    <mergeCell ref="B94:D94"/>
    <mergeCell ref="E94:H94"/>
    <mergeCell ref="B95:D95"/>
    <mergeCell ref="E95:H95"/>
    <mergeCell ref="B96:D96"/>
    <mergeCell ref="E96:H96"/>
  </mergeCells>
  <pageMargins left="0.70866141732283472" right="0.70866141732283472" top="0.74803149606299213" bottom="0.74803149606299213" header="0.31496062992125984" footer="0.31496062992125984"/>
  <pageSetup scale="77" fitToHeight="0" orientation="portrait" r:id="rId1"/>
  <headerFooter>
    <oddHeader>&amp;RPage &amp;P of &amp;N</oddHeader>
  </headerFooter>
  <rowBreaks count="1" manualBreakCount="1">
    <brk id="55" max="16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1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Ferro</dc:creator>
  <cp:lastModifiedBy>Jacosta</cp:lastModifiedBy>
  <cp:lastPrinted>2017-03-03T14:06:30Z</cp:lastPrinted>
  <dcterms:created xsi:type="dcterms:W3CDTF">2010-04-14T15:25:18Z</dcterms:created>
  <dcterms:modified xsi:type="dcterms:W3CDTF">2017-03-16T19:23:45Z</dcterms:modified>
</cp:coreProperties>
</file>